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hidePivotFieldList="1" defaultThemeVersion="124226"/>
  <mc:AlternateContent xmlns:mc="http://schemas.openxmlformats.org/markup-compatibility/2006">
    <mc:Choice Requires="x15">
      <x15ac:absPath xmlns:x15ac="http://schemas.microsoft.com/office/spreadsheetml/2010/11/ac" url="G:\Dept\Rates\2017 Rate Cases\WA\Testimony\Parvinen\"/>
    </mc:Choice>
  </mc:AlternateContent>
  <bookViews>
    <workbookView xWindow="480" yWindow="135" windowWidth="18195" windowHeight="6900" activeTab="5" xr2:uid="{00000000-000D-0000-FFFF-FFFF00000000}"/>
  </bookViews>
  <sheets>
    <sheet name="Cover Page MPP-2" sheetId="51" r:id="rId1"/>
    <sheet name="Exh MPP-2 - ROO Summary Sheet" sheetId="1" r:id="rId2"/>
    <sheet name="Cover Page MPP-3" sheetId="53" r:id="rId3"/>
    <sheet name="Exh MPP-3 - Rev Req Calc" sheetId="26" r:id="rId4"/>
    <sheet name="Cover Page MPP-4" sheetId="54" r:id="rId5"/>
    <sheet name="Exh MPP-4 - Conversion Factor" sheetId="2" r:id="rId6"/>
    <sheet name="Cover Page MPP-5" sheetId="55" r:id="rId7"/>
    <sheet name="Exh MPP-5 - Summary of Adj" sheetId="4" r:id="rId8"/>
    <sheet name="Cover Page MPP-6" sheetId="56" r:id="rId9"/>
    <sheet name="MPP-6 - Plant Additions" sheetId="49" r:id="rId10"/>
    <sheet name="MP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Working Capital" sheetId="33" r:id="rId18"/>
    <sheet name="Capital Structure Calculation" sheetId="3" r:id="rId19"/>
    <sheet name="State Allocation Formulas" sheetId="60" r:id="rId20"/>
    <sheet name="Adjustment Workpapers---&gt;" sheetId="30" r:id="rId21"/>
    <sheet name="Weather Normalization" sheetId="21" r:id="rId22"/>
    <sheet name="Advertising Adj" sheetId="18" r:id="rId23"/>
    <sheet name="Restate Revenues" sheetId="36" r:id="rId24"/>
    <sheet name="Low-Income Bill Assistance" sheetId="44" r:id="rId25"/>
    <sheet name="Interest Coord. Adj." sheetId="24" r:id="rId26"/>
    <sheet name="Pro Forma Wage Adjustment" sheetId="6" r:id="rId27"/>
    <sheet name="Pro Forma Plant Additions" sheetId="13" r:id="rId28"/>
    <sheet name="Rate Case Costs" sheetId="15" r:id="rId29"/>
    <sheet name="Pro Forma Compliance Department" sheetId="46" r:id="rId30"/>
    <sheet name="MAOP UG-160787 Deferral" sheetId="38" r:id="rId31"/>
    <sheet name="Miscellaneous Charges" sheetId="41" r:id="rId32"/>
    <sheet name="CRM Adjustment (a)" sheetId="47" r:id="rId33"/>
    <sheet name="CRM Adjustment (b)" sheetId="48" r:id="rId34"/>
    <sheet name="Revenue Adjustment" sheetId="5" r:id="rId35"/>
    <sheet name="Working Capital Work Paper" sheetId="34" r:id="rId36"/>
  </sheets>
  <externalReferences>
    <externalReference r:id="rId37"/>
  </externalReferences>
  <definedNames>
    <definedName name="first_day">'[1]Historic Data'!$K$3</definedName>
    <definedName name="_xlnm.Print_Area" localSheetId="18">'Capital Structure Calculation'!$A$1:$J$17</definedName>
    <definedName name="_xlnm.Print_Area" localSheetId="32">'CRM Adjustment (a)'!$A$1:$H$23</definedName>
    <definedName name="_xlnm.Print_Area" localSheetId="1">'Exh MPP-2 - ROO Summary Sheet'!$A$1:$Q$42</definedName>
    <definedName name="_xlnm.Print_Area" localSheetId="7">'Exh MPP-5 - Summary of Adj'!$A$1:$AB$45</definedName>
    <definedName name="_xlnm.Print_Area" localSheetId="12">Index!$A$1:$F$38</definedName>
    <definedName name="_xlnm.Print_Area" localSheetId="31">'Miscellaneous Charges'!$A$1:$O$19</definedName>
    <definedName name="_xlnm.Print_Area" localSheetId="13">'Operating Report'!$A$1:$H$186,'Operating Report'!$I$1:$Y$157</definedName>
    <definedName name="_xlnm.Print_Area" localSheetId="27">'Pro Forma Plant Additions'!$A$1:$F$34</definedName>
    <definedName name="_xlnm.Print_Area" localSheetId="26">'Pro Forma Wage Adjustment'!$A$1:$P$92</definedName>
    <definedName name="_xlnm.Print_Area" localSheetId="34">'Revenue Adjustment'!$A$1:$G$27</definedName>
    <definedName name="_xlnm.Print_Area" localSheetId="19">'State Allocation Formulas'!$A$1:$T$80</definedName>
    <definedName name="_xlnm.Print_Area" localSheetId="21">'Weather Normalization'!$A$1:$H$46</definedName>
    <definedName name="_xlnm.Print_Area" localSheetId="35">'Working Capital Work Paper'!$C$1:$X$344</definedName>
    <definedName name="_xlnm.Print_Area" localSheetId="11">'Workpaper - Support Documents &gt;'!$A$1:$I$31</definedName>
    <definedName name="_xlnm.Print_Titles" localSheetId="16">'Adv for Const. &amp; Def Tax'!$A:$A,'Adv for Const. &amp; Def Tax'!$1:$8</definedName>
    <definedName name="_xlnm.Print_Titles" localSheetId="22">'Advertising Adj'!$1:$5</definedName>
    <definedName name="_xlnm.Print_Titles" localSheetId="33">'CRM Adjustment (b)'!$A:$A,'CRM Adjustment (b)'!$1:$7</definedName>
    <definedName name="_xlnm.Print_Titles" localSheetId="9">'MPP-6 - Plant Additions'!$A:$A,'MPP-6 - Plant Additions'!$1:$7</definedName>
    <definedName name="_xlnm.Print_Titles" localSheetId="10">'MPP-6 - Supporting Explanations'!$A:$B,'MPP-6 -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6">'Pro Forma Wage Adjustment'!$1:$7</definedName>
    <definedName name="_xlnm.Print_Titles" localSheetId="23">'Restate Revenues'!$1:$8</definedName>
    <definedName name="_xlnm.Print_Titles" localSheetId="35">'Working Capital Work Paper'!$C:$C,'Working Capital Work Paper'!$1:$9</definedName>
  </definedNames>
  <calcPr calcId="171027"/>
  <fileRecoveryPr autoRecover="0"/>
</workbook>
</file>

<file path=xl/calcChain.xml><?xml version="1.0" encoding="utf-8"?>
<calcChain xmlns="http://schemas.openxmlformats.org/spreadsheetml/2006/main">
  <c r="H33" i="4" l="1"/>
  <c r="A19" i="57" l="1"/>
  <c r="K14" i="46" l="1"/>
  <c r="K13" i="46"/>
  <c r="K12" i="46"/>
  <c r="E30" i="13" l="1"/>
  <c r="C11" i="13" s="1"/>
  <c r="E33" i="13" l="1"/>
  <c r="E14" i="13" s="1"/>
  <c r="C21" i="60"/>
  <c r="F9" i="31" s="1"/>
  <c r="H10" i="31"/>
  <c r="H9" i="31"/>
  <c r="G10" i="31"/>
  <c r="G9" i="31"/>
  <c r="F10" i="31"/>
  <c r="S203" i="49"/>
  <c r="S201" i="49"/>
  <c r="S199" i="49"/>
  <c r="S198" i="49"/>
  <c r="S184" i="49"/>
  <c r="S180" i="49"/>
  <c r="S179" i="49"/>
  <c r="S178" i="49"/>
  <c r="S172" i="49"/>
  <c r="S171" i="49"/>
  <c r="S110" i="49"/>
  <c r="S49" i="49"/>
  <c r="S48" i="49"/>
  <c r="S21" i="49"/>
  <c r="S20" i="49"/>
  <c r="S19" i="49"/>
  <c r="S18" i="49"/>
  <c r="S17" i="49"/>
  <c r="S16" i="49"/>
  <c r="S15" i="49"/>
  <c r="S14" i="49"/>
  <c r="S13" i="49"/>
  <c r="S12" i="49"/>
  <c r="S11" i="49"/>
  <c r="S10" i="49"/>
  <c r="S9" i="49"/>
  <c r="S8" i="49"/>
  <c r="F11" i="60" l="1"/>
  <c r="K11" i="60"/>
  <c r="O11" i="60"/>
  <c r="R11" i="60"/>
  <c r="S17" i="60" s="1"/>
  <c r="P17" i="60"/>
  <c r="C18" i="60"/>
  <c r="D18" i="60"/>
  <c r="G18" i="60"/>
  <c r="N18" i="60"/>
  <c r="G19" i="60"/>
  <c r="G20" i="60"/>
  <c r="E21" i="60"/>
  <c r="G21" i="60"/>
  <c r="G22" i="60" s="1"/>
  <c r="G23" i="60" s="1"/>
  <c r="G24" i="60" s="1"/>
  <c r="G25" i="60" s="1"/>
  <c r="G26" i="60" s="1"/>
  <c r="G27" i="60" s="1"/>
  <c r="G28" i="60" s="1"/>
  <c r="G29" i="60" s="1"/>
  <c r="L25" i="60"/>
  <c r="M25" i="60"/>
  <c r="S25" i="60"/>
  <c r="T21" i="60" s="1"/>
  <c r="H32" i="60"/>
  <c r="I32" i="60"/>
  <c r="H35" i="60"/>
  <c r="I35" i="60"/>
  <c r="J35" i="60"/>
  <c r="H39" i="60"/>
  <c r="I39" i="60" s="1"/>
  <c r="R50" i="60"/>
  <c r="R51" i="60"/>
  <c r="R52" i="60"/>
  <c r="R53" i="60"/>
  <c r="R54" i="60"/>
  <c r="R55" i="60"/>
  <c r="R56" i="60"/>
  <c r="R57" i="60"/>
  <c r="R58" i="60"/>
  <c r="R59" i="60"/>
  <c r="R60" i="60"/>
  <c r="R61" i="60"/>
  <c r="P62" i="60"/>
  <c r="Q62" i="60"/>
  <c r="P18" i="60" s="1"/>
  <c r="T22" i="60" l="1"/>
  <c r="C29" i="60"/>
  <c r="D29" i="60" s="1"/>
  <c r="P21" i="60"/>
  <c r="Q17" i="60" s="1"/>
  <c r="C17" i="60"/>
  <c r="D17" i="60" s="1"/>
  <c r="K16" i="31"/>
  <c r="K15" i="31"/>
  <c r="C16" i="60" l="1"/>
  <c r="Q18" i="60"/>
  <c r="A14" i="57"/>
  <c r="A15" i="57" s="1"/>
  <c r="A16" i="57" s="1"/>
  <c r="A17" i="57" s="1"/>
  <c r="A18" i="57" s="1"/>
  <c r="A22" i="57" s="1"/>
  <c r="A23" i="57" s="1"/>
  <c r="A24" i="57" s="1"/>
  <c r="A25" i="57" s="1"/>
  <c r="A26" i="57" s="1"/>
  <c r="A27" i="57" s="1"/>
  <c r="A28" i="57" s="1"/>
  <c r="A29" i="57" s="1"/>
  <c r="A30" i="57" s="1"/>
  <c r="A31" i="57" s="1"/>
  <c r="A32" i="57" s="1"/>
  <c r="A13" i="57"/>
  <c r="D16" i="60" l="1"/>
  <c r="D21" i="60" s="1"/>
  <c r="E45" i="21"/>
  <c r="E44" i="21"/>
  <c r="E43" i="21"/>
  <c r="E42" i="21"/>
  <c r="F45" i="21"/>
  <c r="E19" i="21" s="1"/>
  <c r="F44" i="21"/>
  <c r="E32" i="21" s="1"/>
  <c r="F43" i="21"/>
  <c r="E15" i="21" s="1"/>
  <c r="F42" i="21"/>
  <c r="E12" i="21" s="1"/>
  <c r="F46" i="21" l="1"/>
  <c r="E26" i="21"/>
  <c r="E29" i="21"/>
  <c r="E18" i="21"/>
  <c r="E21" i="21" s="1"/>
  <c r="AW41" i="59" l="1"/>
  <c r="AW40" i="59"/>
  <c r="AW51" i="59"/>
  <c r="AW50" i="59"/>
  <c r="AT50" i="59"/>
  <c r="AT51" i="59"/>
  <c r="AW42" i="59"/>
  <c r="AT42" i="59"/>
  <c r="AT48" i="59" s="1"/>
  <c r="AQ42" i="59"/>
  <c r="AQ48" i="59" s="1"/>
  <c r="AN47" i="59"/>
  <c r="AN42" i="59"/>
  <c r="AN48" i="59" s="1"/>
  <c r="AK42" i="59"/>
  <c r="AK48" i="59" s="1"/>
  <c r="AH42" i="59"/>
  <c r="AH48" i="59" s="1"/>
  <c r="AE42" i="59"/>
  <c r="AE48" i="59" s="1"/>
  <c r="AB47" i="59"/>
  <c r="AB42" i="59"/>
  <c r="AB48" i="59" s="1"/>
  <c r="Y42" i="59"/>
  <c r="V42" i="59"/>
  <c r="V48" i="59" s="1"/>
  <c r="S48" i="59"/>
  <c r="S42" i="59"/>
  <c r="P47" i="59"/>
  <c r="P42" i="59"/>
  <c r="P48" i="59" s="1"/>
  <c r="M42" i="59"/>
  <c r="M48" i="59" s="1"/>
  <c r="AT38" i="59"/>
  <c r="AT47" i="59" s="1"/>
  <c r="AQ38" i="59"/>
  <c r="AQ47" i="59" s="1"/>
  <c r="AN38" i="59"/>
  <c r="AK38" i="59"/>
  <c r="AK47" i="59" s="1"/>
  <c r="AK49" i="59" s="1"/>
  <c r="AH38" i="59"/>
  <c r="AH47" i="59" s="1"/>
  <c r="AE38" i="59"/>
  <c r="AE47" i="59" s="1"/>
  <c r="AB38" i="59"/>
  <c r="Y38" i="59"/>
  <c r="Y47" i="59" s="1"/>
  <c r="V38" i="59"/>
  <c r="V47" i="59" s="1"/>
  <c r="S38" i="59"/>
  <c r="S47" i="59" s="1"/>
  <c r="S49" i="59" s="1"/>
  <c r="P38" i="59"/>
  <c r="M38" i="59"/>
  <c r="M47" i="59" s="1"/>
  <c r="AW37" i="59"/>
  <c r="AW36" i="59"/>
  <c r="AW35" i="59"/>
  <c r="AW34" i="59"/>
  <c r="AW33" i="59"/>
  <c r="AW32" i="59"/>
  <c r="AW38" i="59" s="1"/>
  <c r="AB49" i="59" l="1"/>
  <c r="P49" i="59"/>
  <c r="AN49" i="59"/>
  <c r="AT53" i="59"/>
  <c r="AT52" i="59"/>
  <c r="Y48" i="59"/>
  <c r="AT49" i="59"/>
  <c r="AQ49" i="59"/>
  <c r="AH49" i="59"/>
  <c r="AE49" i="59"/>
  <c r="V49" i="59"/>
  <c r="M49" i="59"/>
  <c r="Y49" i="59" l="1"/>
  <c r="AQ51" i="59"/>
  <c r="AQ53" i="59" s="1"/>
  <c r="AN51" i="59"/>
  <c r="AN53" i="59" s="1"/>
  <c r="AK51" i="59"/>
  <c r="AK53" i="59" s="1"/>
  <c r="AH51" i="59"/>
  <c r="AH53" i="59" s="1"/>
  <c r="AE51" i="59"/>
  <c r="AE53" i="59" s="1"/>
  <c r="AB51" i="59"/>
  <c r="AB53" i="59" s="1"/>
  <c r="Y51" i="59"/>
  <c r="Y53" i="59" s="1"/>
  <c r="V51" i="59"/>
  <c r="V53" i="59" s="1"/>
  <c r="S51" i="59"/>
  <c r="S53" i="59" s="1"/>
  <c r="P51" i="59"/>
  <c r="P53" i="59" s="1"/>
  <c r="M51" i="59"/>
  <c r="M53" i="59" s="1"/>
  <c r="AQ50" i="59"/>
  <c r="AQ52" i="59" s="1"/>
  <c r="AN50" i="59"/>
  <c r="AN52" i="59" s="1"/>
  <c r="AK50" i="59"/>
  <c r="AK52" i="59" s="1"/>
  <c r="AH50" i="59"/>
  <c r="AH52" i="59" s="1"/>
  <c r="AE50" i="59"/>
  <c r="AE52" i="59" s="1"/>
  <c r="AB50" i="59"/>
  <c r="AB52" i="59" s="1"/>
  <c r="Y50" i="59"/>
  <c r="Y52" i="59" s="1"/>
  <c r="V50" i="59"/>
  <c r="V52" i="59" s="1"/>
  <c r="S50" i="59"/>
  <c r="S52" i="59" s="1"/>
  <c r="P50" i="59"/>
  <c r="P52" i="59" s="1"/>
  <c r="M50" i="59"/>
  <c r="M52" i="59" s="1"/>
  <c r="J51" i="59"/>
  <c r="J50" i="59"/>
  <c r="J42" i="59"/>
  <c r="J48" i="59" s="1"/>
  <c r="J38" i="59"/>
  <c r="J47" i="59" s="1"/>
  <c r="J53" i="59" l="1"/>
  <c r="J49" i="59"/>
  <c r="J52" i="59"/>
  <c r="X274" i="34"/>
  <c r="AF140" i="58" l="1"/>
  <c r="AE139" i="58"/>
  <c r="AW24" i="59"/>
  <c r="AY29" i="59"/>
  <c r="AX29" i="59"/>
  <c r="AW29" i="59"/>
  <c r="AY28" i="59"/>
  <c r="AX28" i="59"/>
  <c r="AY27" i="59"/>
  <c r="AX27" i="59"/>
  <c r="AY26" i="59"/>
  <c r="AX26" i="59"/>
  <c r="AW28" i="59"/>
  <c r="AW27" i="59"/>
  <c r="AW48" i="59" s="1"/>
  <c r="AW53" i="59" s="1"/>
  <c r="AW26" i="59"/>
  <c r="AW47" i="59" s="1"/>
  <c r="AW52" i="59" s="1"/>
  <c r="J30" i="59"/>
  <c r="J44" i="59" s="1"/>
  <c r="K30" i="59"/>
  <c r="L30" i="59"/>
  <c r="M30" i="59"/>
  <c r="M44" i="59" s="1"/>
  <c r="N30" i="59"/>
  <c r="O30" i="59"/>
  <c r="P30" i="59"/>
  <c r="P44" i="59" s="1"/>
  <c r="Q30" i="59"/>
  <c r="R30" i="59"/>
  <c r="S30" i="59"/>
  <c r="S44" i="59" s="1"/>
  <c r="T30" i="59"/>
  <c r="U30" i="59"/>
  <c r="V30" i="59"/>
  <c r="V44" i="59" s="1"/>
  <c r="W30" i="59"/>
  <c r="X30" i="59"/>
  <c r="Y30" i="59"/>
  <c r="Y44" i="59" s="1"/>
  <c r="Z30" i="59"/>
  <c r="AA30" i="59"/>
  <c r="AB30" i="59"/>
  <c r="AB44" i="59" s="1"/>
  <c r="AC30" i="59"/>
  <c r="AD30" i="59"/>
  <c r="AE30" i="59"/>
  <c r="AE44" i="59" s="1"/>
  <c r="AF30" i="59"/>
  <c r="AG30" i="59"/>
  <c r="AH30" i="59"/>
  <c r="AH44" i="59" s="1"/>
  <c r="AI30" i="59"/>
  <c r="AJ30" i="59"/>
  <c r="AK30" i="59"/>
  <c r="AK44" i="59" s="1"/>
  <c r="AL30" i="59"/>
  <c r="AM30" i="59"/>
  <c r="AN30" i="59"/>
  <c r="AN44" i="59" s="1"/>
  <c r="AO30" i="59"/>
  <c r="AP30" i="59"/>
  <c r="AQ30" i="59"/>
  <c r="AQ44" i="59" s="1"/>
  <c r="AR30" i="59"/>
  <c r="AS30" i="59"/>
  <c r="AT30" i="59"/>
  <c r="AT44" i="59" s="1"/>
  <c r="AU30" i="59"/>
  <c r="AV30" i="59"/>
  <c r="AV23" i="59"/>
  <c r="AU23" i="59"/>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X21" i="59"/>
  <c r="AY20" i="59"/>
  <c r="AX20" i="59"/>
  <c r="AY19" i="59"/>
  <c r="AX19" i="59"/>
  <c r="AY18" i="59"/>
  <c r="AX18" i="59"/>
  <c r="AW22" i="59"/>
  <c r="AW21" i="59"/>
  <c r="AW20" i="59"/>
  <c r="AW19" i="59"/>
  <c r="AW18" i="59"/>
  <c r="AD151" i="58"/>
  <c r="AB151" i="58"/>
  <c r="Z151" i="58"/>
  <c r="X151" i="58"/>
  <c r="V151" i="58"/>
  <c r="T151" i="58"/>
  <c r="R151" i="58"/>
  <c r="P151" i="58"/>
  <c r="N151" i="58"/>
  <c r="L151" i="58"/>
  <c r="J151" i="58"/>
  <c r="H151" i="58"/>
  <c r="F151" i="58"/>
  <c r="AD150" i="58"/>
  <c r="AB150" i="58"/>
  <c r="Z150" i="58"/>
  <c r="X150" i="58"/>
  <c r="V150" i="58"/>
  <c r="T150" i="58"/>
  <c r="R150" i="58"/>
  <c r="P150" i="58"/>
  <c r="N150" i="58"/>
  <c r="L150" i="58"/>
  <c r="J150" i="58"/>
  <c r="H150" i="58"/>
  <c r="F150" i="58"/>
  <c r="AD145" i="58"/>
  <c r="AB145" i="58"/>
  <c r="Z145" i="58"/>
  <c r="X145" i="58"/>
  <c r="V145" i="58"/>
  <c r="T145" i="58"/>
  <c r="R145" i="58"/>
  <c r="P145" i="58"/>
  <c r="N145" i="58"/>
  <c r="L145" i="58"/>
  <c r="J145" i="58"/>
  <c r="H145" i="58"/>
  <c r="F145" i="58"/>
  <c r="AD144" i="58"/>
  <c r="AB144" i="58"/>
  <c r="Z144" i="58"/>
  <c r="X144" i="58"/>
  <c r="V144" i="58"/>
  <c r="T144" i="58"/>
  <c r="R144" i="58"/>
  <c r="P144" i="58"/>
  <c r="N144" i="58"/>
  <c r="L144" i="58"/>
  <c r="J144" i="58"/>
  <c r="H144" i="58"/>
  <c r="F144" i="58"/>
  <c r="AD135" i="58"/>
  <c r="AC135" i="58"/>
  <c r="AB135" i="58"/>
  <c r="AA135" i="58"/>
  <c r="Z135" i="58"/>
  <c r="Y135" i="58"/>
  <c r="X135" i="58"/>
  <c r="W135" i="58"/>
  <c r="V135" i="58"/>
  <c r="U135" i="58"/>
  <c r="T135" i="58"/>
  <c r="S135" i="58"/>
  <c r="R135" i="58"/>
  <c r="Q135" i="58"/>
  <c r="P135" i="58"/>
  <c r="O135" i="58"/>
  <c r="N135" i="58"/>
  <c r="M135" i="58"/>
  <c r="L135" i="58"/>
  <c r="K135" i="58"/>
  <c r="J135" i="58"/>
  <c r="I135" i="58"/>
  <c r="H135" i="58"/>
  <c r="G135" i="58"/>
  <c r="F135" i="58"/>
  <c r="E135" i="58"/>
  <c r="AF134" i="58"/>
  <c r="AE134" i="58"/>
  <c r="AF133" i="58"/>
  <c r="AE133" i="58"/>
  <c r="AF132" i="58"/>
  <c r="AE132" i="58"/>
  <c r="AD130" i="58"/>
  <c r="AC130" i="58"/>
  <c r="AB130" i="58"/>
  <c r="AA130" i="58"/>
  <c r="Z130" i="58"/>
  <c r="Y130" i="58"/>
  <c r="X130" i="58"/>
  <c r="W130" i="58"/>
  <c r="V130" i="58"/>
  <c r="U130" i="58"/>
  <c r="T130" i="58"/>
  <c r="S130" i="58"/>
  <c r="R130" i="58"/>
  <c r="Q130" i="58"/>
  <c r="P130" i="58"/>
  <c r="O130" i="58"/>
  <c r="N130" i="58"/>
  <c r="M130" i="58"/>
  <c r="L130" i="58"/>
  <c r="K130" i="58"/>
  <c r="J130" i="58"/>
  <c r="I130" i="58"/>
  <c r="H130" i="58"/>
  <c r="G130" i="58"/>
  <c r="F130" i="58"/>
  <c r="E130" i="58"/>
  <c r="AF129" i="58"/>
  <c r="AE129" i="58"/>
  <c r="D129" i="58"/>
  <c r="AF128" i="58"/>
  <c r="AE128" i="58"/>
  <c r="D128" i="58"/>
  <c r="AF127" i="58"/>
  <c r="AE127" i="58"/>
  <c r="D127" i="58"/>
  <c r="AF126" i="58"/>
  <c r="AE126" i="58"/>
  <c r="D126" i="58"/>
  <c r="AF125" i="58"/>
  <c r="AE125" i="58"/>
  <c r="D125" i="58"/>
  <c r="AF124" i="58"/>
  <c r="AE124" i="58"/>
  <c r="D124" i="58"/>
  <c r="AF123" i="58"/>
  <c r="AE123" i="58"/>
  <c r="D123" i="58"/>
  <c r="AF122" i="58"/>
  <c r="AE122" i="58"/>
  <c r="D122" i="58"/>
  <c r="AF121" i="58"/>
  <c r="AE121" i="58"/>
  <c r="D121" i="58"/>
  <c r="AF120" i="58"/>
  <c r="AE120" i="58"/>
  <c r="D120" i="58"/>
  <c r="AF119" i="58"/>
  <c r="AE119" i="58"/>
  <c r="D119" i="58"/>
  <c r="AF118" i="58"/>
  <c r="AE118" i="58"/>
  <c r="D118" i="58"/>
  <c r="AF117" i="58"/>
  <c r="AE117" i="58"/>
  <c r="D117" i="58"/>
  <c r="AF116" i="58"/>
  <c r="AE116" i="58"/>
  <c r="D116" i="58"/>
  <c r="AF115" i="58"/>
  <c r="AE115" i="58"/>
  <c r="D115" i="58"/>
  <c r="AF114" i="58"/>
  <c r="AE114" i="58"/>
  <c r="D114" i="58"/>
  <c r="AF113" i="58"/>
  <c r="AE113" i="58"/>
  <c r="D113" i="58"/>
  <c r="AF112" i="58"/>
  <c r="AE112" i="58"/>
  <c r="D112" i="58"/>
  <c r="AF111" i="58"/>
  <c r="AE111" i="58"/>
  <c r="D111" i="58"/>
  <c r="AF110" i="58"/>
  <c r="AE110" i="58"/>
  <c r="D110" i="58"/>
  <c r="AF109" i="58"/>
  <c r="AE109" i="58"/>
  <c r="D109" i="58"/>
  <c r="AF108" i="58"/>
  <c r="AE108" i="58"/>
  <c r="D108" i="58"/>
  <c r="AF107" i="58"/>
  <c r="AE107" i="58"/>
  <c r="D107" i="58"/>
  <c r="AF106" i="58"/>
  <c r="AE106" i="58"/>
  <c r="D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F93" i="58"/>
  <c r="AE93" i="58"/>
  <c r="AF92" i="58"/>
  <c r="AE92" i="58"/>
  <c r="AF91" i="58"/>
  <c r="AE91" i="58"/>
  <c r="D91" i="58"/>
  <c r="AD89" i="58"/>
  <c r="AD149" i="58" s="1"/>
  <c r="AD153" i="58" s="1"/>
  <c r="AC89" i="58"/>
  <c r="AD143" i="58" s="1"/>
  <c r="AB89" i="58"/>
  <c r="AB149" i="58" s="1"/>
  <c r="AB153" i="58" s="1"/>
  <c r="AA89" i="58"/>
  <c r="AB143" i="58" s="1"/>
  <c r="Z89" i="58"/>
  <c r="Z149" i="58" s="1"/>
  <c r="Y89" i="58"/>
  <c r="Z143" i="58" s="1"/>
  <c r="Z147" i="58" s="1"/>
  <c r="X89" i="58"/>
  <c r="X149" i="58" s="1"/>
  <c r="X153" i="58" s="1"/>
  <c r="W89" i="58"/>
  <c r="X143" i="58" s="1"/>
  <c r="X147" i="58" s="1"/>
  <c r="V89" i="58"/>
  <c r="V149" i="58" s="1"/>
  <c r="V153" i="58" s="1"/>
  <c r="U89" i="58"/>
  <c r="V143" i="58" s="1"/>
  <c r="T89" i="58"/>
  <c r="T149" i="58" s="1"/>
  <c r="T153" i="58" s="1"/>
  <c r="S89" i="58"/>
  <c r="T143" i="58" s="1"/>
  <c r="R89" i="58"/>
  <c r="R149" i="58" s="1"/>
  <c r="Q89" i="58"/>
  <c r="R143" i="58" s="1"/>
  <c r="R147" i="58" s="1"/>
  <c r="P89" i="58"/>
  <c r="P149" i="58" s="1"/>
  <c r="P153" i="58" s="1"/>
  <c r="O89" i="58"/>
  <c r="P143" i="58" s="1"/>
  <c r="P147" i="58" s="1"/>
  <c r="N89" i="58"/>
  <c r="N149" i="58" s="1"/>
  <c r="N153" i="58" s="1"/>
  <c r="M89" i="58"/>
  <c r="N143" i="58" s="1"/>
  <c r="L89" i="58"/>
  <c r="L149" i="58" s="1"/>
  <c r="L153" i="58" s="1"/>
  <c r="K89" i="58"/>
  <c r="L143" i="58" s="1"/>
  <c r="J89" i="58"/>
  <c r="J149" i="58" s="1"/>
  <c r="I89" i="58"/>
  <c r="J143" i="58" s="1"/>
  <c r="J147" i="58" s="1"/>
  <c r="H89" i="58"/>
  <c r="H149" i="58" s="1"/>
  <c r="H153" i="58" s="1"/>
  <c r="G89" i="58"/>
  <c r="H143" i="58" s="1"/>
  <c r="H147" i="58" s="1"/>
  <c r="F89" i="58"/>
  <c r="F149" i="58" s="1"/>
  <c r="F153" i="58" s="1"/>
  <c r="E89" i="58"/>
  <c r="F143" i="58" s="1"/>
  <c r="AF88" i="58"/>
  <c r="AE88" i="58"/>
  <c r="D88" i="58"/>
  <c r="AF87" i="58"/>
  <c r="AE87" i="58"/>
  <c r="D87" i="58"/>
  <c r="AF86" i="58"/>
  <c r="AE86" i="58"/>
  <c r="D86" i="58"/>
  <c r="AF85" i="58"/>
  <c r="AE85" i="58"/>
  <c r="D85" i="58"/>
  <c r="AF84" i="58"/>
  <c r="AE84" i="58"/>
  <c r="D84" i="58"/>
  <c r="AF83" i="58"/>
  <c r="AE83" i="58"/>
  <c r="D83" i="58"/>
  <c r="AF82" i="58"/>
  <c r="AE82" i="58"/>
  <c r="D82" i="58"/>
  <c r="AF81" i="58"/>
  <c r="AE81" i="58"/>
  <c r="D81" i="58"/>
  <c r="AF80" i="58"/>
  <c r="AE80" i="58"/>
  <c r="D80" i="58"/>
  <c r="AF79" i="58"/>
  <c r="AE79" i="58"/>
  <c r="D79" i="58"/>
  <c r="AF78" i="58"/>
  <c r="AE78" i="58"/>
  <c r="D78" i="58"/>
  <c r="AF77" i="58"/>
  <c r="AE77" i="58"/>
  <c r="D77" i="58"/>
  <c r="AF76" i="58"/>
  <c r="AE76" i="58"/>
  <c r="D76" i="58"/>
  <c r="AF75" i="58"/>
  <c r="AE75" i="58"/>
  <c r="D75" i="58"/>
  <c r="AF74" i="58"/>
  <c r="AE74" i="58"/>
  <c r="D74" i="58"/>
  <c r="AF73" i="58"/>
  <c r="AE73" i="58"/>
  <c r="D73" i="58"/>
  <c r="AF72" i="58"/>
  <c r="AE72" i="58"/>
  <c r="D72" i="58"/>
  <c r="AF71" i="58"/>
  <c r="AE71" i="58"/>
  <c r="D71" i="58"/>
  <c r="AF70" i="58"/>
  <c r="AE70" i="58"/>
  <c r="D70" i="58"/>
  <c r="AF69" i="58"/>
  <c r="AE69" i="58"/>
  <c r="D69" i="58"/>
  <c r="AF68" i="58"/>
  <c r="AE68" i="58"/>
  <c r="D68" i="58"/>
  <c r="AF67" i="58"/>
  <c r="AE67" i="58"/>
  <c r="D67" i="58"/>
  <c r="AF66" i="58"/>
  <c r="AE66" i="58"/>
  <c r="D66" i="58"/>
  <c r="AF65" i="58"/>
  <c r="AE65" i="58"/>
  <c r="D65" i="58"/>
  <c r="AF64" i="58"/>
  <c r="AE64" i="58"/>
  <c r="D64" i="58"/>
  <c r="AF63" i="58"/>
  <c r="AE63" i="58"/>
  <c r="D63" i="58"/>
  <c r="AF62" i="58"/>
  <c r="AE62" i="58"/>
  <c r="D62" i="58"/>
  <c r="AF61" i="58"/>
  <c r="AE61" i="58"/>
  <c r="D61" i="58"/>
  <c r="AF60" i="58"/>
  <c r="AE60" i="58"/>
  <c r="D60" i="58"/>
  <c r="AF59" i="58"/>
  <c r="AE59" i="58"/>
  <c r="D59" i="58"/>
  <c r="AF58" i="58"/>
  <c r="AE58" i="58"/>
  <c r="D58" i="58"/>
  <c r="AF57" i="58"/>
  <c r="AE57" i="58"/>
  <c r="D57" i="58"/>
  <c r="AF56" i="58"/>
  <c r="AE56" i="58"/>
  <c r="D56" i="58"/>
  <c r="AF55" i="58"/>
  <c r="AE55" i="58"/>
  <c r="D55" i="58"/>
  <c r="AF54" i="58"/>
  <c r="AE54" i="58"/>
  <c r="D54" i="58"/>
  <c r="AF53" i="58"/>
  <c r="AE53" i="58"/>
  <c r="D53" i="58"/>
  <c r="AF52" i="58"/>
  <c r="AE52" i="58"/>
  <c r="D52" i="58"/>
  <c r="AF51" i="58"/>
  <c r="AE51" i="58"/>
  <c r="AF50" i="58"/>
  <c r="AE50" i="58"/>
  <c r="AF49" i="58"/>
  <c r="AE49" i="58"/>
  <c r="AF48" i="58"/>
  <c r="AE48" i="58"/>
  <c r="D48"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AF45" i="58"/>
  <c r="AE45" i="58"/>
  <c r="D45" i="58"/>
  <c r="AF44" i="58"/>
  <c r="AE44" i="58"/>
  <c r="D44" i="58"/>
  <c r="AF43" i="58"/>
  <c r="AE43" i="58"/>
  <c r="D43" i="58"/>
  <c r="AF42" i="58"/>
  <c r="AE42" i="58"/>
  <c r="D42" i="58"/>
  <c r="AF41" i="58"/>
  <c r="AE41" i="58"/>
  <c r="D41" i="58"/>
  <c r="AF40" i="58"/>
  <c r="AE40" i="58"/>
  <c r="D40" i="58"/>
  <c r="AF39" i="58"/>
  <c r="AE39" i="58"/>
  <c r="D39" i="58"/>
  <c r="AF38" i="58"/>
  <c r="AE38" i="58"/>
  <c r="D38" i="58"/>
  <c r="AF37" i="58"/>
  <c r="AE37" i="58"/>
  <c r="D37" i="58"/>
  <c r="AF36" i="58"/>
  <c r="AE36" i="58"/>
  <c r="D36" i="58"/>
  <c r="AF35" i="58"/>
  <c r="AE35" i="58"/>
  <c r="D35" i="58"/>
  <c r="AF34" i="58"/>
  <c r="AE34" i="58"/>
  <c r="D34" i="58"/>
  <c r="AF33" i="58"/>
  <c r="AE33" i="58"/>
  <c r="D33" i="58"/>
  <c r="AF32" i="58"/>
  <c r="AE32" i="58"/>
  <c r="D32" i="58"/>
  <c r="AF31" i="58"/>
  <c r="AE31" i="58"/>
  <c r="D31" i="58"/>
  <c r="AF30" i="58"/>
  <c r="AE30" i="58"/>
  <c r="D30" i="58"/>
  <c r="AF29" i="58"/>
  <c r="AE29" i="58"/>
  <c r="D29" i="58"/>
  <c r="AF28" i="58"/>
  <c r="AE28" i="58"/>
  <c r="D28" i="58"/>
  <c r="AF27" i="58"/>
  <c r="AE27" i="58"/>
  <c r="D27" i="58"/>
  <c r="AF26" i="58"/>
  <c r="AE26" i="58"/>
  <c r="D26" i="58"/>
  <c r="AF25" i="58"/>
  <c r="AE25" i="58"/>
  <c r="D25" i="58"/>
  <c r="AF24" i="58"/>
  <c r="AE24" i="58"/>
  <c r="D24" i="58"/>
  <c r="AF23" i="58"/>
  <c r="AE23" i="58"/>
  <c r="D23" i="58"/>
  <c r="AF22" i="58"/>
  <c r="AE22" i="58"/>
  <c r="D22" i="58"/>
  <c r="AF21" i="58"/>
  <c r="AE21" i="58"/>
  <c r="D21" i="58"/>
  <c r="AF20" i="58"/>
  <c r="AE20" i="58"/>
  <c r="D20" i="58"/>
  <c r="AF19" i="58"/>
  <c r="AE19" i="58"/>
  <c r="D19" i="58"/>
  <c r="AF18" i="58"/>
  <c r="AE18" i="58"/>
  <c r="D18" i="58"/>
  <c r="AF17" i="58"/>
  <c r="AE17" i="58"/>
  <c r="D17" i="58"/>
  <c r="AF16" i="58"/>
  <c r="AE16" i="58"/>
  <c r="D16" i="58"/>
  <c r="AF15" i="58"/>
  <c r="AE15" i="58"/>
  <c r="D15" i="58"/>
  <c r="AF14" i="58"/>
  <c r="AE14" i="58"/>
  <c r="D14" i="58"/>
  <c r="AF13" i="58"/>
  <c r="AE13" i="58"/>
  <c r="D13" i="58"/>
  <c r="AF12" i="58"/>
  <c r="AE12" i="58"/>
  <c r="D12" i="58"/>
  <c r="AF11" i="58"/>
  <c r="AE11" i="58"/>
  <c r="AF10" i="58"/>
  <c r="AE10" i="58"/>
  <c r="D10" i="58"/>
  <c r="R340" i="34"/>
  <c r="Q340" i="34"/>
  <c r="P340" i="34"/>
  <c r="O340" i="34"/>
  <c r="N340" i="34"/>
  <c r="M340" i="34"/>
  <c r="L340" i="34"/>
  <c r="K340" i="34"/>
  <c r="J340" i="34"/>
  <c r="I340" i="34"/>
  <c r="H340" i="34"/>
  <c r="G340" i="34"/>
  <c r="R330" i="34"/>
  <c r="Q330" i="34"/>
  <c r="P330" i="34"/>
  <c r="O330" i="34"/>
  <c r="N330" i="34"/>
  <c r="M330" i="34"/>
  <c r="L330" i="34"/>
  <c r="K330" i="34"/>
  <c r="J330" i="34"/>
  <c r="I330" i="34"/>
  <c r="H330" i="34"/>
  <c r="G330" i="34"/>
  <c r="R318" i="34"/>
  <c r="Q318" i="34"/>
  <c r="P318" i="34"/>
  <c r="O318" i="34"/>
  <c r="N318" i="34"/>
  <c r="M318" i="34"/>
  <c r="L318" i="34"/>
  <c r="K318" i="34"/>
  <c r="J318" i="34"/>
  <c r="I318" i="34"/>
  <c r="H318" i="34"/>
  <c r="G318" i="34"/>
  <c r="R312" i="34"/>
  <c r="Q312" i="34"/>
  <c r="P312" i="34"/>
  <c r="O312" i="34"/>
  <c r="N312" i="34"/>
  <c r="M312" i="34"/>
  <c r="L312" i="34"/>
  <c r="K312" i="34"/>
  <c r="J312" i="34"/>
  <c r="I312" i="34"/>
  <c r="H312" i="34"/>
  <c r="G312" i="34"/>
  <c r="R295" i="34"/>
  <c r="Q295" i="34"/>
  <c r="P295" i="34"/>
  <c r="O295" i="34"/>
  <c r="N295" i="34"/>
  <c r="M295" i="34"/>
  <c r="L295" i="34"/>
  <c r="K295" i="34"/>
  <c r="J295" i="34"/>
  <c r="I295" i="34"/>
  <c r="H295" i="34"/>
  <c r="G295" i="34"/>
  <c r="R264" i="34"/>
  <c r="Q264" i="34"/>
  <c r="P264" i="34"/>
  <c r="O264" i="34"/>
  <c r="N264" i="34"/>
  <c r="M264" i="34"/>
  <c r="L264" i="34"/>
  <c r="K264" i="34"/>
  <c r="J264" i="34"/>
  <c r="I264" i="34"/>
  <c r="H264" i="34"/>
  <c r="G264" i="34"/>
  <c r="R259" i="34"/>
  <c r="R266" i="34" s="1"/>
  <c r="Q259" i="34"/>
  <c r="P259" i="34"/>
  <c r="P266" i="34" s="1"/>
  <c r="O259" i="34"/>
  <c r="O266" i="34" s="1"/>
  <c r="N259" i="34"/>
  <c r="N266" i="34" s="1"/>
  <c r="M259" i="34"/>
  <c r="L259" i="34"/>
  <c r="L266" i="34" s="1"/>
  <c r="K259" i="34"/>
  <c r="K266" i="34" s="1"/>
  <c r="J259" i="34"/>
  <c r="J266" i="34" s="1"/>
  <c r="I259" i="34"/>
  <c r="H259" i="34"/>
  <c r="H266" i="34" s="1"/>
  <c r="G259" i="34"/>
  <c r="G266" i="34" s="1"/>
  <c r="R234" i="34"/>
  <c r="Q234" i="34"/>
  <c r="P234" i="34"/>
  <c r="O234" i="34"/>
  <c r="N234" i="34"/>
  <c r="M234" i="34"/>
  <c r="L234" i="34"/>
  <c r="K234" i="34"/>
  <c r="J234" i="34"/>
  <c r="I234" i="34"/>
  <c r="H234" i="34"/>
  <c r="G234" i="34"/>
  <c r="R213" i="34"/>
  <c r="Q213" i="34"/>
  <c r="P213" i="34"/>
  <c r="O213" i="34"/>
  <c r="N213" i="34"/>
  <c r="M213" i="34"/>
  <c r="L213" i="34"/>
  <c r="K213" i="34"/>
  <c r="J213" i="34"/>
  <c r="I213" i="34"/>
  <c r="H213" i="34"/>
  <c r="G213" i="34"/>
  <c r="R197" i="34"/>
  <c r="Q197" i="34"/>
  <c r="P197" i="34"/>
  <c r="O197" i="34"/>
  <c r="N197" i="34"/>
  <c r="M197" i="34"/>
  <c r="L197" i="34"/>
  <c r="K197" i="34"/>
  <c r="J197" i="34"/>
  <c r="I197" i="34"/>
  <c r="H197" i="34"/>
  <c r="G197" i="34"/>
  <c r="R194" i="34"/>
  <c r="Q194" i="34"/>
  <c r="P194" i="34"/>
  <c r="O194" i="34"/>
  <c r="N194" i="34"/>
  <c r="M194" i="34"/>
  <c r="L194" i="34"/>
  <c r="K194" i="34"/>
  <c r="J194" i="34"/>
  <c r="I194" i="34"/>
  <c r="H194" i="34"/>
  <c r="G194" i="34"/>
  <c r="R182" i="34"/>
  <c r="Q182" i="34"/>
  <c r="P182" i="34"/>
  <c r="O182" i="34"/>
  <c r="N182" i="34"/>
  <c r="M182" i="34"/>
  <c r="L182" i="34"/>
  <c r="K182" i="34"/>
  <c r="J182" i="34"/>
  <c r="I182" i="34"/>
  <c r="H182" i="34"/>
  <c r="G182" i="34"/>
  <c r="R173" i="34"/>
  <c r="Q173" i="34"/>
  <c r="P173" i="34"/>
  <c r="O173" i="34"/>
  <c r="N173" i="34"/>
  <c r="M173" i="34"/>
  <c r="L173" i="34"/>
  <c r="K173" i="34"/>
  <c r="J173" i="34"/>
  <c r="I173" i="34"/>
  <c r="H173" i="34"/>
  <c r="G173" i="34"/>
  <c r="R164" i="34"/>
  <c r="Q164" i="34"/>
  <c r="P164" i="34"/>
  <c r="O164" i="34"/>
  <c r="N164" i="34"/>
  <c r="M164" i="34"/>
  <c r="L164" i="34"/>
  <c r="K164" i="34"/>
  <c r="J164" i="34"/>
  <c r="I164" i="34"/>
  <c r="H164" i="34"/>
  <c r="G164" i="34"/>
  <c r="R159" i="34"/>
  <c r="Q159" i="34"/>
  <c r="P159" i="34"/>
  <c r="O159" i="34"/>
  <c r="N159" i="34"/>
  <c r="M159" i="34"/>
  <c r="L159" i="34"/>
  <c r="K159" i="34"/>
  <c r="J159" i="34"/>
  <c r="I159" i="34"/>
  <c r="H159" i="34"/>
  <c r="G159" i="34"/>
  <c r="R153" i="34"/>
  <c r="Q153" i="34"/>
  <c r="P153" i="34"/>
  <c r="O153" i="34"/>
  <c r="N153" i="34"/>
  <c r="M153" i="34"/>
  <c r="L153" i="34"/>
  <c r="K153" i="34"/>
  <c r="J153" i="34"/>
  <c r="I153" i="34"/>
  <c r="H153" i="34"/>
  <c r="G153" i="34"/>
  <c r="R147" i="34"/>
  <c r="Q147" i="34"/>
  <c r="P147" i="34"/>
  <c r="O147" i="34"/>
  <c r="N147" i="34"/>
  <c r="M147" i="34"/>
  <c r="L147" i="34"/>
  <c r="K147" i="34"/>
  <c r="J147" i="34"/>
  <c r="I147" i="34"/>
  <c r="H147" i="34"/>
  <c r="G147" i="34"/>
  <c r="R132" i="34"/>
  <c r="Q132" i="34"/>
  <c r="P132" i="34"/>
  <c r="O132" i="34"/>
  <c r="N132" i="34"/>
  <c r="M132" i="34"/>
  <c r="L132" i="34"/>
  <c r="K132" i="34"/>
  <c r="J132" i="34"/>
  <c r="I132" i="34"/>
  <c r="H132" i="34"/>
  <c r="G132" i="34"/>
  <c r="R124" i="34"/>
  <c r="Q124" i="34"/>
  <c r="P124" i="34"/>
  <c r="O124" i="34"/>
  <c r="N124" i="34"/>
  <c r="M124" i="34"/>
  <c r="L124" i="34"/>
  <c r="K124" i="34"/>
  <c r="J124" i="34"/>
  <c r="I124" i="34"/>
  <c r="H124" i="34"/>
  <c r="G124" i="34"/>
  <c r="R104" i="34"/>
  <c r="Q104" i="34"/>
  <c r="P104" i="34"/>
  <c r="O104" i="34"/>
  <c r="N104" i="34"/>
  <c r="M104" i="34"/>
  <c r="L104" i="34"/>
  <c r="K104" i="34"/>
  <c r="J104" i="34"/>
  <c r="I104" i="34"/>
  <c r="H104" i="34"/>
  <c r="G104" i="34"/>
  <c r="R100" i="34"/>
  <c r="Q100" i="34"/>
  <c r="P100" i="34"/>
  <c r="O100" i="34"/>
  <c r="N100" i="34"/>
  <c r="M100" i="34"/>
  <c r="L100" i="34"/>
  <c r="K100" i="34"/>
  <c r="J100" i="34"/>
  <c r="I100" i="34"/>
  <c r="H100" i="34"/>
  <c r="G100" i="34"/>
  <c r="R90" i="34"/>
  <c r="Q90" i="34"/>
  <c r="P90" i="34"/>
  <c r="O90" i="34"/>
  <c r="N90" i="34"/>
  <c r="M90" i="34"/>
  <c r="L90" i="34"/>
  <c r="K90" i="34"/>
  <c r="J90" i="34"/>
  <c r="I90" i="34"/>
  <c r="H90" i="34"/>
  <c r="G90" i="34"/>
  <c r="R79" i="34"/>
  <c r="Q79" i="34"/>
  <c r="P79" i="34"/>
  <c r="O79" i="34"/>
  <c r="N79" i="34"/>
  <c r="M79" i="34"/>
  <c r="L79" i="34"/>
  <c r="K79" i="34"/>
  <c r="J79" i="34"/>
  <c r="I79" i="34"/>
  <c r="H79" i="34"/>
  <c r="G79" i="34"/>
  <c r="R69" i="34"/>
  <c r="Q69" i="34"/>
  <c r="P69" i="34"/>
  <c r="O69" i="34"/>
  <c r="N69" i="34"/>
  <c r="M69" i="34"/>
  <c r="L69" i="34"/>
  <c r="K69" i="34"/>
  <c r="J69" i="34"/>
  <c r="I69" i="34"/>
  <c r="H69" i="34"/>
  <c r="G69" i="34"/>
  <c r="R54" i="34"/>
  <c r="Q54" i="34"/>
  <c r="Q73" i="34" s="1"/>
  <c r="P54" i="34"/>
  <c r="O54" i="34"/>
  <c r="N54" i="34"/>
  <c r="M54" i="34"/>
  <c r="M73" i="34" s="1"/>
  <c r="L54" i="34"/>
  <c r="K54" i="34"/>
  <c r="J54" i="34"/>
  <c r="I54" i="34"/>
  <c r="I73" i="34" s="1"/>
  <c r="H54" i="34"/>
  <c r="G54" i="34"/>
  <c r="R49" i="34"/>
  <c r="Q49" i="34"/>
  <c r="P49" i="34"/>
  <c r="O49" i="34"/>
  <c r="N49" i="34"/>
  <c r="M49" i="34"/>
  <c r="L49" i="34"/>
  <c r="K49" i="34"/>
  <c r="J49" i="34"/>
  <c r="I49" i="34"/>
  <c r="H49" i="34"/>
  <c r="G49" i="34"/>
  <c r="R45" i="34"/>
  <c r="Q45" i="34"/>
  <c r="P45" i="34"/>
  <c r="O45" i="34"/>
  <c r="N45" i="34"/>
  <c r="M45" i="34"/>
  <c r="L45" i="34"/>
  <c r="K45" i="34"/>
  <c r="J45" i="34"/>
  <c r="I45" i="34"/>
  <c r="H45" i="34"/>
  <c r="G45" i="34"/>
  <c r="R39" i="34"/>
  <c r="Q39" i="34"/>
  <c r="P39" i="34"/>
  <c r="O39" i="34"/>
  <c r="N39" i="34"/>
  <c r="M39" i="34"/>
  <c r="L39" i="34"/>
  <c r="K39" i="34"/>
  <c r="J39" i="34"/>
  <c r="I39" i="34"/>
  <c r="H39" i="34"/>
  <c r="G39" i="34"/>
  <c r="R25" i="34"/>
  <c r="Q25" i="34"/>
  <c r="P25" i="34"/>
  <c r="O25" i="34"/>
  <c r="N25" i="34"/>
  <c r="M25" i="34"/>
  <c r="L25" i="34"/>
  <c r="K25" i="34"/>
  <c r="J25" i="34"/>
  <c r="I25" i="34"/>
  <c r="H25" i="34"/>
  <c r="G25" i="34"/>
  <c r="R21" i="34"/>
  <c r="Q21" i="34"/>
  <c r="P21" i="34"/>
  <c r="P27" i="34" s="1"/>
  <c r="O21" i="34"/>
  <c r="N21" i="34"/>
  <c r="M21" i="34"/>
  <c r="L21" i="34"/>
  <c r="L27" i="34" s="1"/>
  <c r="K21" i="34"/>
  <c r="J21" i="34"/>
  <c r="I21" i="34"/>
  <c r="H21" i="34"/>
  <c r="H27" i="34" s="1"/>
  <c r="G21" i="34"/>
  <c r="R15" i="34"/>
  <c r="Q15" i="34"/>
  <c r="P15" i="34"/>
  <c r="P29" i="34" s="1"/>
  <c r="O15" i="34"/>
  <c r="N15" i="34"/>
  <c r="M15" i="34"/>
  <c r="L15" i="34"/>
  <c r="L29" i="34" s="1"/>
  <c r="K15" i="34"/>
  <c r="J15" i="34"/>
  <c r="I15" i="34"/>
  <c r="H15" i="34"/>
  <c r="H29" i="34" s="1"/>
  <c r="G15" i="34"/>
  <c r="F340" i="34"/>
  <c r="F330" i="34"/>
  <c r="F318" i="34"/>
  <c r="F312" i="34"/>
  <c r="F295" i="34"/>
  <c r="F264" i="34"/>
  <c r="F259" i="34"/>
  <c r="F234" i="34"/>
  <c r="F213" i="34"/>
  <c r="F197" i="34"/>
  <c r="F194" i="34"/>
  <c r="F182" i="34"/>
  <c r="F173" i="34"/>
  <c r="F164" i="34"/>
  <c r="F159" i="34"/>
  <c r="F153" i="34"/>
  <c r="F147" i="34"/>
  <c r="F132" i="34"/>
  <c r="F124" i="34"/>
  <c r="F104" i="34"/>
  <c r="F100" i="34"/>
  <c r="F90" i="34"/>
  <c r="F79" i="34"/>
  <c r="F69" i="34"/>
  <c r="F54" i="34"/>
  <c r="F49" i="34"/>
  <c r="F45" i="34"/>
  <c r="F39" i="34"/>
  <c r="F33" i="34"/>
  <c r="S33" i="34" s="1"/>
  <c r="F25" i="34"/>
  <c r="F21" i="34"/>
  <c r="F15" i="34"/>
  <c r="S341" i="34"/>
  <c r="S339" i="34"/>
  <c r="S338" i="34"/>
  <c r="S337" i="34"/>
  <c r="S336" i="34"/>
  <c r="S335" i="34"/>
  <c r="S334" i="34"/>
  <c r="S333" i="34"/>
  <c r="S332" i="34"/>
  <c r="S331" i="34"/>
  <c r="S329" i="34"/>
  <c r="S328" i="34"/>
  <c r="S327" i="34"/>
  <c r="S326" i="34"/>
  <c r="S325" i="34"/>
  <c r="S324" i="34"/>
  <c r="S323" i="34"/>
  <c r="S322" i="34"/>
  <c r="S321" i="34"/>
  <c r="S320" i="34"/>
  <c r="S319" i="34"/>
  <c r="S317" i="34"/>
  <c r="S316" i="34"/>
  <c r="S315" i="34"/>
  <c r="S314" i="34"/>
  <c r="S313" i="34"/>
  <c r="S311" i="34"/>
  <c r="S310" i="34"/>
  <c r="S309" i="34"/>
  <c r="S308" i="34"/>
  <c r="S307" i="34"/>
  <c r="S306" i="34"/>
  <c r="S305" i="34"/>
  <c r="S304" i="34"/>
  <c r="S303" i="34"/>
  <c r="S302" i="34"/>
  <c r="S301" i="34"/>
  <c r="S300" i="34"/>
  <c r="S299" i="34"/>
  <c r="S298" i="34"/>
  <c r="S297" i="34"/>
  <c r="S296" i="34"/>
  <c r="S294" i="34"/>
  <c r="S293" i="34"/>
  <c r="S292" i="34"/>
  <c r="S291" i="34"/>
  <c r="S290" i="34"/>
  <c r="S289" i="34"/>
  <c r="S288" i="34"/>
  <c r="S287" i="34"/>
  <c r="S286" i="34"/>
  <c r="S285" i="34"/>
  <c r="S284" i="34"/>
  <c r="S283" i="34"/>
  <c r="S282" i="34"/>
  <c r="S281" i="34"/>
  <c r="S280" i="34"/>
  <c r="S279" i="34"/>
  <c r="S278" i="34"/>
  <c r="S277" i="34"/>
  <c r="S276" i="34"/>
  <c r="S275" i="34"/>
  <c r="S274" i="34"/>
  <c r="S273" i="34"/>
  <c r="S272" i="34"/>
  <c r="S271" i="34"/>
  <c r="S270" i="34"/>
  <c r="S269" i="34"/>
  <c r="S268" i="34"/>
  <c r="S267" i="34"/>
  <c r="S265" i="34"/>
  <c r="S263" i="34"/>
  <c r="S262" i="34"/>
  <c r="S261" i="34"/>
  <c r="S260" i="34"/>
  <c r="S258" i="34"/>
  <c r="S257" i="34"/>
  <c r="S256" i="34"/>
  <c r="S255" i="34"/>
  <c r="S254" i="34"/>
  <c r="S253" i="34"/>
  <c r="S252" i="34"/>
  <c r="S251" i="34"/>
  <c r="S250" i="34"/>
  <c r="S249" i="34"/>
  <c r="S248" i="34"/>
  <c r="S247" i="34"/>
  <c r="S246" i="34"/>
  <c r="S245" i="34"/>
  <c r="S244" i="34"/>
  <c r="S243" i="34"/>
  <c r="S242" i="34"/>
  <c r="S241" i="34"/>
  <c r="S240" i="34"/>
  <c r="S239" i="34"/>
  <c r="S238" i="34"/>
  <c r="S237" i="34"/>
  <c r="S236" i="34"/>
  <c r="S235" i="34"/>
  <c r="S233" i="34"/>
  <c r="S232" i="34"/>
  <c r="S231" i="34"/>
  <c r="S230" i="34"/>
  <c r="S229" i="34"/>
  <c r="S228" i="34"/>
  <c r="S227" i="34"/>
  <c r="S226" i="34"/>
  <c r="S225" i="34"/>
  <c r="S224" i="34"/>
  <c r="S223" i="34"/>
  <c r="S222" i="34"/>
  <c r="S221" i="34"/>
  <c r="S220" i="34"/>
  <c r="S219" i="34"/>
  <c r="S218" i="34"/>
  <c r="S217" i="34"/>
  <c r="S216" i="34"/>
  <c r="S215" i="34"/>
  <c r="S214" i="34"/>
  <c r="S212" i="34"/>
  <c r="S211" i="34"/>
  <c r="S210" i="34"/>
  <c r="S209" i="34"/>
  <c r="S208" i="34"/>
  <c r="S207" i="34"/>
  <c r="S206" i="34"/>
  <c r="S205" i="34"/>
  <c r="S204" i="34"/>
  <c r="S203" i="34"/>
  <c r="S202" i="34"/>
  <c r="S201" i="34"/>
  <c r="S200" i="34"/>
  <c r="S198" i="34"/>
  <c r="S196" i="34"/>
  <c r="S197" i="34" s="1"/>
  <c r="S195" i="34"/>
  <c r="S193" i="34"/>
  <c r="S192" i="34"/>
  <c r="S191" i="34"/>
  <c r="S190" i="34"/>
  <c r="S189" i="34"/>
  <c r="S188" i="34"/>
  <c r="S187" i="34"/>
  <c r="S186" i="34"/>
  <c r="S185" i="34"/>
  <c r="S184" i="34"/>
  <c r="S183" i="34"/>
  <c r="S181" i="34"/>
  <c r="S180" i="34"/>
  <c r="S179" i="34"/>
  <c r="S178" i="34"/>
  <c r="S177" i="34"/>
  <c r="S176" i="34"/>
  <c r="S175" i="34"/>
  <c r="S174" i="34"/>
  <c r="S172" i="34"/>
  <c r="S171" i="34"/>
  <c r="S170" i="34"/>
  <c r="S169" i="34"/>
  <c r="S168" i="34"/>
  <c r="S167" i="34"/>
  <c r="S166" i="34"/>
  <c r="S165" i="34"/>
  <c r="S163" i="34"/>
  <c r="S162" i="34"/>
  <c r="S161" i="34"/>
  <c r="S160" i="34"/>
  <c r="S158" i="34"/>
  <c r="S157" i="34"/>
  <c r="S159" i="34" s="1"/>
  <c r="S156" i="34"/>
  <c r="S155" i="34"/>
  <c r="S154" i="34"/>
  <c r="S152" i="34"/>
  <c r="S151" i="34"/>
  <c r="S150" i="34"/>
  <c r="S149" i="34"/>
  <c r="S148" i="34"/>
  <c r="S146" i="34"/>
  <c r="S145" i="34"/>
  <c r="S144" i="34"/>
  <c r="S143" i="34"/>
  <c r="S142" i="34"/>
  <c r="S141" i="34"/>
  <c r="S140" i="34"/>
  <c r="S139" i="34"/>
  <c r="S138" i="34"/>
  <c r="S137" i="34"/>
  <c r="S136" i="34"/>
  <c r="S135" i="34"/>
  <c r="S134" i="34"/>
  <c r="S133" i="34"/>
  <c r="S131" i="34"/>
  <c r="S130" i="34"/>
  <c r="S129" i="34"/>
  <c r="S128" i="34"/>
  <c r="S127" i="34"/>
  <c r="S126" i="34"/>
  <c r="S125" i="34"/>
  <c r="S123" i="34"/>
  <c r="S122" i="34"/>
  <c r="S121" i="34"/>
  <c r="S120" i="34"/>
  <c r="S119" i="34"/>
  <c r="S118" i="34"/>
  <c r="S117" i="34"/>
  <c r="S116" i="34"/>
  <c r="S115" i="34"/>
  <c r="S114" i="34"/>
  <c r="S113" i="34"/>
  <c r="S112" i="34"/>
  <c r="S111" i="34"/>
  <c r="S110" i="34"/>
  <c r="S109" i="34"/>
  <c r="S108" i="34"/>
  <c r="S107" i="34"/>
  <c r="S106" i="34"/>
  <c r="S105" i="34"/>
  <c r="S103" i="34"/>
  <c r="S102" i="34"/>
  <c r="S101" i="34"/>
  <c r="S99" i="34"/>
  <c r="S98" i="34"/>
  <c r="S97" i="34"/>
  <c r="S96" i="34"/>
  <c r="S95" i="34"/>
  <c r="S94" i="34"/>
  <c r="S93" i="34"/>
  <c r="S92" i="34"/>
  <c r="S91" i="34"/>
  <c r="S89" i="34"/>
  <c r="S88" i="34"/>
  <c r="S87" i="34"/>
  <c r="S86" i="34"/>
  <c r="S85" i="34"/>
  <c r="S84" i="34"/>
  <c r="S83" i="34"/>
  <c r="S82" i="34"/>
  <c r="S78" i="34"/>
  <c r="S77" i="34"/>
  <c r="S76" i="34"/>
  <c r="S75" i="34"/>
  <c r="S74" i="34"/>
  <c r="S72" i="34"/>
  <c r="S71" i="34"/>
  <c r="S70" i="34"/>
  <c r="S68" i="34"/>
  <c r="S67" i="34"/>
  <c r="S66" i="34"/>
  <c r="S65" i="34"/>
  <c r="S64" i="34"/>
  <c r="S63" i="34"/>
  <c r="S62" i="34"/>
  <c r="S61" i="34"/>
  <c r="S60" i="34"/>
  <c r="S59" i="34"/>
  <c r="S58" i="34"/>
  <c r="S57" i="34"/>
  <c r="S56" i="34"/>
  <c r="S55" i="34"/>
  <c r="S53" i="34"/>
  <c r="S52" i="34"/>
  <c r="S51" i="34"/>
  <c r="S50" i="34"/>
  <c r="S48" i="34"/>
  <c r="S47" i="34"/>
  <c r="S49" i="34" s="1"/>
  <c r="S46" i="34"/>
  <c r="S44" i="34"/>
  <c r="S43" i="34"/>
  <c r="S42" i="34"/>
  <c r="S41" i="34"/>
  <c r="S40" i="34"/>
  <c r="S38" i="34"/>
  <c r="S37" i="34"/>
  <c r="S36" i="34"/>
  <c r="S35" i="34"/>
  <c r="S34" i="34"/>
  <c r="S32" i="34"/>
  <c r="S31" i="34"/>
  <c r="S30" i="34"/>
  <c r="S28" i="34"/>
  <c r="S26" i="34"/>
  <c r="S24" i="34"/>
  <c r="S23" i="34"/>
  <c r="S22" i="34"/>
  <c r="S20" i="34"/>
  <c r="S19" i="34"/>
  <c r="S18" i="34"/>
  <c r="S17" i="34"/>
  <c r="S16" i="34"/>
  <c r="S14" i="34"/>
  <c r="S13" i="34"/>
  <c r="S12" i="34"/>
  <c r="S11" i="34"/>
  <c r="F147" i="58" l="1"/>
  <c r="N147" i="58"/>
  <c r="AF147" i="58" s="1"/>
  <c r="D13" i="32" s="1"/>
  <c r="V147" i="58"/>
  <c r="AD147" i="58"/>
  <c r="J153" i="58"/>
  <c r="R153" i="58"/>
  <c r="AF153" i="58" s="1"/>
  <c r="D14" i="32" s="1"/>
  <c r="Z153" i="58"/>
  <c r="L147" i="58"/>
  <c r="T147" i="58"/>
  <c r="AB147" i="58"/>
  <c r="AF89" i="58"/>
  <c r="AE130" i="58"/>
  <c r="AE135" i="58"/>
  <c r="K137" i="58"/>
  <c r="S137" i="58"/>
  <c r="AA137" i="58"/>
  <c r="AE46" i="58"/>
  <c r="AF130" i="58"/>
  <c r="AF135" i="58"/>
  <c r="H137" i="58"/>
  <c r="L137" i="58"/>
  <c r="P137" i="58"/>
  <c r="T137" i="58"/>
  <c r="X137" i="58"/>
  <c r="AB137" i="58"/>
  <c r="G137" i="58"/>
  <c r="O137" i="58"/>
  <c r="W137" i="58"/>
  <c r="AF46" i="58"/>
  <c r="AE89" i="58"/>
  <c r="AE137" i="58" s="1"/>
  <c r="E137" i="58"/>
  <c r="I137" i="58"/>
  <c r="M137" i="58"/>
  <c r="Q137" i="58"/>
  <c r="U137" i="58"/>
  <c r="Y137" i="58"/>
  <c r="AC137" i="58"/>
  <c r="F137" i="58"/>
  <c r="J137" i="58"/>
  <c r="N137" i="58"/>
  <c r="R137" i="58"/>
  <c r="V137" i="58"/>
  <c r="Z137" i="58"/>
  <c r="AD137" i="58"/>
  <c r="AW49" i="59"/>
  <c r="AY30" i="59"/>
  <c r="AW23" i="59"/>
  <c r="AX30" i="59"/>
  <c r="D17" i="32" s="1"/>
  <c r="AW30" i="59"/>
  <c r="AW44" i="59" s="1"/>
  <c r="AX23" i="59"/>
  <c r="D16" i="32" s="1"/>
  <c r="AY23" i="59"/>
  <c r="S164" i="34"/>
  <c r="R27" i="34"/>
  <c r="S79" i="34"/>
  <c r="G73" i="34"/>
  <c r="G81" i="34" s="1"/>
  <c r="K73" i="34"/>
  <c r="S25" i="34"/>
  <c r="S182" i="34"/>
  <c r="S312" i="34"/>
  <c r="J27" i="34"/>
  <c r="N27" i="34"/>
  <c r="N29" i="34" s="1"/>
  <c r="F266" i="34"/>
  <c r="F342" i="34" s="1"/>
  <c r="J29" i="34"/>
  <c r="N73" i="34"/>
  <c r="S15" i="34"/>
  <c r="S124" i="34"/>
  <c r="S173" i="34"/>
  <c r="S234" i="34"/>
  <c r="S295" i="34"/>
  <c r="S330" i="34"/>
  <c r="K27" i="34"/>
  <c r="K29" i="34" s="1"/>
  <c r="M266" i="34"/>
  <c r="M342" i="34" s="1"/>
  <c r="N342" i="34"/>
  <c r="S21" i="34"/>
  <c r="S153" i="34"/>
  <c r="H73" i="34"/>
  <c r="H81" i="34" s="1"/>
  <c r="L73" i="34"/>
  <c r="L81" i="34" s="1"/>
  <c r="L199" i="34" s="1"/>
  <c r="P73" i="34"/>
  <c r="P81" i="34" s="1"/>
  <c r="P199" i="34" s="1"/>
  <c r="G342" i="34"/>
  <c r="K342" i="34"/>
  <c r="O342" i="34"/>
  <c r="S69" i="34"/>
  <c r="R29" i="34"/>
  <c r="J73" i="34"/>
  <c r="R73" i="34"/>
  <c r="S45" i="34"/>
  <c r="S54" i="34"/>
  <c r="S73" i="34" s="1"/>
  <c r="S132" i="34"/>
  <c r="S147" i="34"/>
  <c r="S194" i="34"/>
  <c r="S318" i="34"/>
  <c r="S340" i="34"/>
  <c r="F73" i="34"/>
  <c r="F81" i="34" s="1"/>
  <c r="O29" i="34"/>
  <c r="G27" i="34"/>
  <c r="G29" i="34" s="1"/>
  <c r="O27" i="34"/>
  <c r="I266" i="34"/>
  <c r="I342" i="34" s="1"/>
  <c r="Q266" i="34"/>
  <c r="Q342" i="34" s="1"/>
  <c r="J342" i="34"/>
  <c r="R342" i="34"/>
  <c r="S90" i="34"/>
  <c r="S100" i="34"/>
  <c r="S39" i="34"/>
  <c r="S104" i="34"/>
  <c r="S213" i="34"/>
  <c r="S259" i="34"/>
  <c r="S264" i="34"/>
  <c r="F27" i="34"/>
  <c r="F29" i="34" s="1"/>
  <c r="I27" i="34"/>
  <c r="I29" i="34" s="1"/>
  <c r="M27" i="34"/>
  <c r="M29" i="34" s="1"/>
  <c r="Q27" i="34"/>
  <c r="Q29" i="34" s="1"/>
  <c r="H342" i="34"/>
  <c r="L342" i="34"/>
  <c r="P342" i="34"/>
  <c r="H199" i="34"/>
  <c r="I81" i="34"/>
  <c r="I199" i="34" s="1"/>
  <c r="M81" i="34"/>
  <c r="K81" i="34"/>
  <c r="O73" i="34"/>
  <c r="O81" i="34" s="1"/>
  <c r="O199" i="34" s="1"/>
  <c r="J81" i="34"/>
  <c r="J199" i="34" s="1"/>
  <c r="N81" i="34"/>
  <c r="R81" i="34"/>
  <c r="Q81" i="34"/>
  <c r="O11" i="41"/>
  <c r="O12" i="41"/>
  <c r="O13" i="41"/>
  <c r="O14" i="41"/>
  <c r="O15" i="41"/>
  <c r="O10" i="41"/>
  <c r="AF137" i="58" l="1"/>
  <c r="S266" i="34"/>
  <c r="S342" i="34" s="1"/>
  <c r="F199" i="34"/>
  <c r="K199" i="34"/>
  <c r="M199" i="34"/>
  <c r="S81" i="34"/>
  <c r="R199" i="34"/>
  <c r="N199" i="34"/>
  <c r="G199" i="34"/>
  <c r="S27" i="34"/>
  <c r="S29" i="34" s="1"/>
  <c r="S199" i="34" s="1"/>
  <c r="Q199" i="34"/>
  <c r="D10" i="38" l="1"/>
  <c r="X217" i="49" l="1"/>
  <c r="X160" i="49" l="1"/>
  <c r="P217" i="49"/>
  <c r="P214" i="49" l="1"/>
  <c r="G22" i="5" l="1"/>
  <c r="G21" i="5"/>
  <c r="L29" i="36"/>
  <c r="M29" i="36" s="1"/>
  <c r="I17" i="4" s="1"/>
  <c r="X228" i="49" l="1"/>
  <c r="X227" i="49"/>
  <c r="Z223" i="49"/>
  <c r="Z221" i="49"/>
  <c r="R204" i="49"/>
  <c r="O204" i="49"/>
  <c r="N204" i="49"/>
  <c r="M204" i="49"/>
  <c r="L204" i="49"/>
  <c r="K204" i="49"/>
  <c r="J204" i="49"/>
  <c r="I204" i="49"/>
  <c r="H204" i="49"/>
  <c r="G204" i="49"/>
  <c r="F204" i="49"/>
  <c r="E204" i="49"/>
  <c r="D204" i="49"/>
  <c r="V203" i="49"/>
  <c r="U203" i="49"/>
  <c r="T203" i="49"/>
  <c r="X203" i="49" s="1"/>
  <c r="V202" i="49"/>
  <c r="U202" i="49"/>
  <c r="W202" i="49" s="1"/>
  <c r="V201" i="49"/>
  <c r="U201" i="49"/>
  <c r="W201" i="49" s="1"/>
  <c r="T201" i="49"/>
  <c r="X201" i="49" s="1"/>
  <c r="V200" i="49"/>
  <c r="U200" i="49"/>
  <c r="T200" i="49"/>
  <c r="V199" i="49"/>
  <c r="U199" i="49"/>
  <c r="T199" i="49"/>
  <c r="X199" i="49" s="1"/>
  <c r="V198" i="49"/>
  <c r="U198" i="49"/>
  <c r="W198" i="49" s="1"/>
  <c r="T198" i="49"/>
  <c r="X198" i="49" s="1"/>
  <c r="V197" i="49"/>
  <c r="U197" i="49"/>
  <c r="W197" i="49" s="1"/>
  <c r="V196" i="49"/>
  <c r="U196" i="49"/>
  <c r="V195" i="49"/>
  <c r="U195" i="49"/>
  <c r="W195" i="49" s="1"/>
  <c r="T195" i="49"/>
  <c r="V194" i="49"/>
  <c r="U194" i="49"/>
  <c r="W194" i="49" s="1"/>
  <c r="T194" i="49"/>
  <c r="V193" i="49"/>
  <c r="U193" i="49"/>
  <c r="W193" i="49" s="1"/>
  <c r="T193" i="49"/>
  <c r="V192" i="49"/>
  <c r="U192" i="49"/>
  <c r="T192" i="49"/>
  <c r="V191" i="49"/>
  <c r="U191" i="49"/>
  <c r="W191" i="49" s="1"/>
  <c r="T191" i="49"/>
  <c r="V190" i="49"/>
  <c r="U190" i="49"/>
  <c r="W190" i="49" s="1"/>
  <c r="T190" i="49"/>
  <c r="V189" i="49"/>
  <c r="U189" i="49"/>
  <c r="T189" i="49"/>
  <c r="X189" i="49" s="1"/>
  <c r="W188" i="49"/>
  <c r="V188" i="49"/>
  <c r="U188" i="49"/>
  <c r="T188" i="49"/>
  <c r="X188" i="49" s="1"/>
  <c r="X225" i="49" s="1"/>
  <c r="Z225" i="49" s="1"/>
  <c r="W187" i="49"/>
  <c r="V187" i="49"/>
  <c r="U187" i="49"/>
  <c r="T187" i="49"/>
  <c r="V186" i="49"/>
  <c r="U186" i="49"/>
  <c r="T186" i="49"/>
  <c r="X186" i="49" s="1"/>
  <c r="V185" i="49"/>
  <c r="U185" i="49"/>
  <c r="W185" i="49" s="1"/>
  <c r="T185" i="49"/>
  <c r="X185" i="49" s="1"/>
  <c r="X223" i="49" s="1"/>
  <c r="V184" i="49"/>
  <c r="U184" i="49"/>
  <c r="W184" i="49" s="1"/>
  <c r="T184" i="49"/>
  <c r="V183" i="49"/>
  <c r="U183" i="49"/>
  <c r="W183" i="49" s="1"/>
  <c r="T183" i="49"/>
  <c r="V182" i="49"/>
  <c r="U182" i="49"/>
  <c r="V181" i="49"/>
  <c r="U181" i="49"/>
  <c r="W181" i="49" s="1"/>
  <c r="W180" i="49"/>
  <c r="V180" i="49"/>
  <c r="U180" i="49"/>
  <c r="T180" i="49"/>
  <c r="W179" i="49"/>
  <c r="V179" i="49"/>
  <c r="U179" i="49"/>
  <c r="T179" i="49"/>
  <c r="W178" i="49"/>
  <c r="V178" i="49"/>
  <c r="U178" i="49"/>
  <c r="T178" i="49"/>
  <c r="W177" i="49"/>
  <c r="V177" i="49"/>
  <c r="U177" i="49"/>
  <c r="T177" i="49"/>
  <c r="W176" i="49"/>
  <c r="V176" i="49"/>
  <c r="U176" i="49"/>
  <c r="T176" i="49"/>
  <c r="W175" i="49"/>
  <c r="V175" i="49"/>
  <c r="U175" i="49"/>
  <c r="T175" i="49"/>
  <c r="W174" i="49"/>
  <c r="V174" i="49"/>
  <c r="U174" i="49"/>
  <c r="V173" i="49"/>
  <c r="U173" i="49"/>
  <c r="V172" i="49"/>
  <c r="U172" i="49"/>
  <c r="T172" i="49"/>
  <c r="V171" i="49"/>
  <c r="U171" i="49"/>
  <c r="T171" i="49"/>
  <c r="R167" i="49"/>
  <c r="O167" i="49"/>
  <c r="N167" i="49"/>
  <c r="M167" i="49"/>
  <c r="L167" i="49"/>
  <c r="K167" i="49"/>
  <c r="J167" i="49"/>
  <c r="I167" i="49"/>
  <c r="H167" i="49"/>
  <c r="G167" i="49"/>
  <c r="F167" i="49"/>
  <c r="E167" i="49"/>
  <c r="D167" i="49"/>
  <c r="V166" i="49"/>
  <c r="U166" i="49"/>
  <c r="T166" i="49"/>
  <c r="V165" i="49"/>
  <c r="U165" i="49"/>
  <c r="W165" i="49" s="1"/>
  <c r="T165" i="49"/>
  <c r="V164" i="49"/>
  <c r="U164" i="49"/>
  <c r="V163" i="49"/>
  <c r="U163" i="49"/>
  <c r="T163" i="49"/>
  <c r="V162" i="49"/>
  <c r="U162" i="49"/>
  <c r="W162" i="49" s="1"/>
  <c r="T162" i="49"/>
  <c r="V161" i="49"/>
  <c r="U161" i="49"/>
  <c r="W161" i="49" s="1"/>
  <c r="T161" i="49"/>
  <c r="V160" i="49"/>
  <c r="U160" i="49"/>
  <c r="W160" i="49" s="1"/>
  <c r="T160" i="49"/>
  <c r="V159" i="49"/>
  <c r="U159" i="49"/>
  <c r="T159" i="49"/>
  <c r="V158" i="49"/>
  <c r="U158" i="49"/>
  <c r="W158" i="49" s="1"/>
  <c r="T158" i="49"/>
  <c r="V157" i="49"/>
  <c r="U157" i="49"/>
  <c r="W157" i="49" s="1"/>
  <c r="T157" i="49"/>
  <c r="V156" i="49"/>
  <c r="U156" i="49"/>
  <c r="W156" i="49" s="1"/>
  <c r="T156" i="49"/>
  <c r="V155" i="49"/>
  <c r="U155" i="49"/>
  <c r="V154" i="49"/>
  <c r="U154" i="49"/>
  <c r="W154" i="49" s="1"/>
  <c r="T154" i="49"/>
  <c r="V153" i="49"/>
  <c r="U153" i="49"/>
  <c r="W153" i="49" s="1"/>
  <c r="T153" i="49"/>
  <c r="V152" i="49"/>
  <c r="U152" i="49"/>
  <c r="W152" i="49" s="1"/>
  <c r="T152" i="49"/>
  <c r="V151" i="49"/>
  <c r="U151" i="49"/>
  <c r="W151" i="49" s="1"/>
  <c r="T151" i="49"/>
  <c r="V150" i="49"/>
  <c r="U150" i="49"/>
  <c r="W150" i="49" s="1"/>
  <c r="T150" i="49"/>
  <c r="V149" i="49"/>
  <c r="U149" i="49"/>
  <c r="W149" i="49" s="1"/>
  <c r="T149" i="49"/>
  <c r="X149" i="49" s="1"/>
  <c r="V148" i="49"/>
  <c r="U148" i="49"/>
  <c r="W148" i="49" s="1"/>
  <c r="T148" i="49"/>
  <c r="V147" i="49"/>
  <c r="U147" i="49"/>
  <c r="T147" i="49"/>
  <c r="V146" i="49"/>
  <c r="U146" i="49"/>
  <c r="W146" i="49" s="1"/>
  <c r="T146" i="49"/>
  <c r="V145" i="49"/>
  <c r="U145" i="49"/>
  <c r="W145" i="49" s="1"/>
  <c r="T145" i="49"/>
  <c r="X145" i="49" s="1"/>
  <c r="V144" i="49"/>
  <c r="U144" i="49"/>
  <c r="T144" i="49"/>
  <c r="X144" i="49" s="1"/>
  <c r="W143" i="49"/>
  <c r="V143" i="49"/>
  <c r="U143" i="49"/>
  <c r="T143" i="49"/>
  <c r="X143" i="49" s="1"/>
  <c r="X142" i="49"/>
  <c r="V142" i="49"/>
  <c r="U142" i="49"/>
  <c r="W142" i="49" s="1"/>
  <c r="T142" i="49"/>
  <c r="V141" i="49"/>
  <c r="U141" i="49"/>
  <c r="T141" i="49"/>
  <c r="X141" i="49" s="1"/>
  <c r="X216" i="49" s="1"/>
  <c r="Z216" i="49" s="1"/>
  <c r="V140" i="49"/>
  <c r="U140" i="49"/>
  <c r="T140" i="49"/>
  <c r="V139" i="49"/>
  <c r="U139" i="49"/>
  <c r="W138" i="49"/>
  <c r="V138" i="49"/>
  <c r="U138" i="49"/>
  <c r="T138" i="49"/>
  <c r="X138" i="49" s="1"/>
  <c r="W137" i="49"/>
  <c r="V137" i="49"/>
  <c r="U137" i="49"/>
  <c r="T137" i="49"/>
  <c r="X137" i="49" s="1"/>
  <c r="W136" i="49"/>
  <c r="V136" i="49"/>
  <c r="U136" i="49"/>
  <c r="T136" i="49"/>
  <c r="W135" i="49"/>
  <c r="V135" i="49"/>
  <c r="U135" i="49"/>
  <c r="T135" i="49"/>
  <c r="W134" i="49"/>
  <c r="V134" i="49"/>
  <c r="U134" i="49"/>
  <c r="T134" i="49"/>
  <c r="W133" i="49"/>
  <c r="V133" i="49"/>
  <c r="U133" i="49"/>
  <c r="T133" i="49"/>
  <c r="W132" i="49"/>
  <c r="V132" i="49"/>
  <c r="U132" i="49"/>
  <c r="V131" i="49"/>
  <c r="W131" i="49" s="1"/>
  <c r="U131" i="49"/>
  <c r="V130" i="49"/>
  <c r="U130" i="49"/>
  <c r="W130" i="49" s="1"/>
  <c r="T130" i="49"/>
  <c r="V129" i="49"/>
  <c r="U129" i="49"/>
  <c r="W129" i="49" s="1"/>
  <c r="V128" i="49"/>
  <c r="U128" i="49"/>
  <c r="W128" i="49" s="1"/>
  <c r="T128" i="49"/>
  <c r="V127" i="49"/>
  <c r="U127" i="49"/>
  <c r="W127" i="49" s="1"/>
  <c r="T127" i="49"/>
  <c r="X127" i="49" s="1"/>
  <c r="V126" i="49"/>
  <c r="U126" i="49"/>
  <c r="T126" i="49"/>
  <c r="W125" i="49"/>
  <c r="V125" i="49"/>
  <c r="U125" i="49"/>
  <c r="T125" i="49"/>
  <c r="X125" i="49" s="1"/>
  <c r="W124" i="49"/>
  <c r="V124" i="49"/>
  <c r="U124" i="49"/>
  <c r="V123" i="49"/>
  <c r="U123" i="49"/>
  <c r="V122" i="49"/>
  <c r="U122" i="49"/>
  <c r="T122" i="49"/>
  <c r="X122" i="49" s="1"/>
  <c r="V121" i="49"/>
  <c r="W121" i="49" s="1"/>
  <c r="U121" i="49"/>
  <c r="V120" i="49"/>
  <c r="U120" i="49"/>
  <c r="W120" i="49" s="1"/>
  <c r="T120" i="49"/>
  <c r="X120" i="49" s="1"/>
  <c r="V119" i="49"/>
  <c r="U119" i="49"/>
  <c r="W119" i="49" s="1"/>
  <c r="T119" i="49"/>
  <c r="V118" i="49"/>
  <c r="U118" i="49"/>
  <c r="W118" i="49" s="1"/>
  <c r="T118" i="49"/>
  <c r="X118" i="49" s="1"/>
  <c r="V117" i="49"/>
  <c r="U117" i="49"/>
  <c r="W117" i="49" s="1"/>
  <c r="T117" i="49"/>
  <c r="V116" i="49"/>
  <c r="U116" i="49"/>
  <c r="W116" i="49" s="1"/>
  <c r="T116" i="49"/>
  <c r="V115" i="49"/>
  <c r="U115" i="49"/>
  <c r="W115" i="49" s="1"/>
  <c r="T115" i="49"/>
  <c r="X115" i="49" s="1"/>
  <c r="W114" i="49"/>
  <c r="V114" i="49"/>
  <c r="U114" i="49"/>
  <c r="T114" i="49"/>
  <c r="X114" i="49" s="1"/>
  <c r="W113" i="49"/>
  <c r="V113" i="49"/>
  <c r="U113" i="49"/>
  <c r="T113" i="49"/>
  <c r="X113" i="49" s="1"/>
  <c r="V112" i="49"/>
  <c r="U112" i="49"/>
  <c r="T112" i="49"/>
  <c r="X112" i="49" s="1"/>
  <c r="V111" i="49"/>
  <c r="U111" i="49"/>
  <c r="W111" i="49" s="1"/>
  <c r="T111" i="49"/>
  <c r="V110" i="49"/>
  <c r="U110" i="49"/>
  <c r="T110" i="49"/>
  <c r="X110" i="49" s="1"/>
  <c r="X220" i="49" s="1"/>
  <c r="V109" i="49"/>
  <c r="U109" i="49"/>
  <c r="W109" i="49" s="1"/>
  <c r="V108" i="49"/>
  <c r="U108" i="49"/>
  <c r="W108" i="49" s="1"/>
  <c r="T108" i="49"/>
  <c r="X108" i="49" s="1"/>
  <c r="V107" i="49"/>
  <c r="U107" i="49"/>
  <c r="V106" i="49"/>
  <c r="U106" i="49"/>
  <c r="V105" i="49"/>
  <c r="U105" i="49"/>
  <c r="W105" i="49" s="1"/>
  <c r="V104" i="49"/>
  <c r="U104" i="49"/>
  <c r="V103" i="49"/>
  <c r="U103" i="49"/>
  <c r="W103" i="49" s="1"/>
  <c r="V102" i="49"/>
  <c r="U102" i="49"/>
  <c r="W102" i="49" s="1"/>
  <c r="V101" i="49"/>
  <c r="W101" i="49" s="1"/>
  <c r="U101" i="49"/>
  <c r="V100" i="49"/>
  <c r="U100" i="49"/>
  <c r="W100" i="49" s="1"/>
  <c r="T100" i="49"/>
  <c r="X100" i="49" s="1"/>
  <c r="X99" i="49"/>
  <c r="V99" i="49"/>
  <c r="U99" i="49"/>
  <c r="W99" i="49" s="1"/>
  <c r="T99" i="49"/>
  <c r="V98" i="49"/>
  <c r="U98" i="49"/>
  <c r="W98" i="49" s="1"/>
  <c r="T98" i="49"/>
  <c r="X98" i="49" s="1"/>
  <c r="V97" i="49"/>
  <c r="U97" i="49"/>
  <c r="W97" i="49" s="1"/>
  <c r="V96" i="49"/>
  <c r="U96" i="49"/>
  <c r="W96" i="49" s="1"/>
  <c r="V95" i="49"/>
  <c r="U95" i="49"/>
  <c r="W95" i="49" s="1"/>
  <c r="T95" i="49"/>
  <c r="X95" i="49" s="1"/>
  <c r="V94" i="49"/>
  <c r="U94" i="49"/>
  <c r="T94" i="49"/>
  <c r="X94" i="49" s="1"/>
  <c r="V93" i="49"/>
  <c r="W93" i="49" s="1"/>
  <c r="U93" i="49"/>
  <c r="T93" i="49"/>
  <c r="X93" i="49" s="1"/>
  <c r="V92" i="49"/>
  <c r="W92" i="49" s="1"/>
  <c r="U92" i="49"/>
  <c r="T92" i="49"/>
  <c r="V91" i="49"/>
  <c r="W91" i="49" s="1"/>
  <c r="U91" i="49"/>
  <c r="T91" i="49"/>
  <c r="V90" i="49"/>
  <c r="W90" i="49" s="1"/>
  <c r="U90" i="49"/>
  <c r="T90" i="49"/>
  <c r="X90" i="49" s="1"/>
  <c r="V89" i="49"/>
  <c r="U89" i="49"/>
  <c r="W89" i="49" s="1"/>
  <c r="T89" i="49"/>
  <c r="V88" i="49"/>
  <c r="U88" i="49"/>
  <c r="W88" i="49" s="1"/>
  <c r="T88" i="49"/>
  <c r="V87" i="49"/>
  <c r="U87" i="49"/>
  <c r="T87" i="49"/>
  <c r="X87" i="49" s="1"/>
  <c r="V86" i="49"/>
  <c r="U86" i="49"/>
  <c r="W86" i="49" s="1"/>
  <c r="T86" i="49"/>
  <c r="X86" i="49" s="1"/>
  <c r="V85" i="49"/>
  <c r="U85" i="49"/>
  <c r="W85" i="49" s="1"/>
  <c r="V84" i="49"/>
  <c r="W84" i="49" s="1"/>
  <c r="U84" i="49"/>
  <c r="T84" i="49"/>
  <c r="X84" i="49" s="1"/>
  <c r="V83" i="49"/>
  <c r="W83" i="49" s="1"/>
  <c r="U83" i="49"/>
  <c r="T83" i="49"/>
  <c r="V82" i="49"/>
  <c r="W82" i="49" s="1"/>
  <c r="U82" i="49"/>
  <c r="T82" i="49"/>
  <c r="V81" i="49"/>
  <c r="W81" i="49" s="1"/>
  <c r="U81" i="49"/>
  <c r="V80" i="49"/>
  <c r="U80" i="49"/>
  <c r="T80" i="49"/>
  <c r="V79" i="49"/>
  <c r="U79" i="49"/>
  <c r="T79" i="49"/>
  <c r="V78" i="49"/>
  <c r="W78" i="49" s="1"/>
  <c r="U78" i="49"/>
  <c r="V77" i="49"/>
  <c r="U77" i="49"/>
  <c r="W77" i="49" s="1"/>
  <c r="V76" i="49"/>
  <c r="U76" i="49"/>
  <c r="T76" i="49"/>
  <c r="V75" i="49"/>
  <c r="U75" i="49"/>
  <c r="W75" i="49" s="1"/>
  <c r="T75" i="49"/>
  <c r="V74" i="49"/>
  <c r="U74" i="49"/>
  <c r="W74" i="49" s="1"/>
  <c r="W73" i="49"/>
  <c r="V73" i="49"/>
  <c r="U73" i="49"/>
  <c r="T73" i="49"/>
  <c r="W72" i="49"/>
  <c r="V72" i="49"/>
  <c r="U72" i="49"/>
  <c r="V71" i="49"/>
  <c r="W71" i="49" s="1"/>
  <c r="U71" i="49"/>
  <c r="T71" i="49"/>
  <c r="X71" i="49" s="1"/>
  <c r="V70" i="49"/>
  <c r="W70" i="49" s="1"/>
  <c r="U70" i="49"/>
  <c r="T70" i="49"/>
  <c r="X69" i="49"/>
  <c r="V69" i="49"/>
  <c r="U69" i="49"/>
  <c r="T69" i="49"/>
  <c r="V68" i="49"/>
  <c r="U68" i="49"/>
  <c r="W68" i="49" s="1"/>
  <c r="V67" i="49"/>
  <c r="U67" i="49"/>
  <c r="W67" i="49" s="1"/>
  <c r="T67" i="49"/>
  <c r="X67" i="49" s="1"/>
  <c r="V66" i="49"/>
  <c r="U66" i="49"/>
  <c r="W66" i="49" s="1"/>
  <c r="V65" i="49"/>
  <c r="W65" i="49" s="1"/>
  <c r="U65" i="49"/>
  <c r="V64" i="49"/>
  <c r="U64" i="49"/>
  <c r="W64" i="49" s="1"/>
  <c r="T64" i="49"/>
  <c r="X64" i="49" s="1"/>
  <c r="V63" i="49"/>
  <c r="U63" i="49"/>
  <c r="W63" i="49" s="1"/>
  <c r="V62" i="49"/>
  <c r="U62" i="49"/>
  <c r="W62" i="49" s="1"/>
  <c r="T62" i="49"/>
  <c r="X62" i="49" s="1"/>
  <c r="V61" i="49"/>
  <c r="U61" i="49"/>
  <c r="W61" i="49" s="1"/>
  <c r="T61" i="49"/>
  <c r="V60" i="49"/>
  <c r="U60" i="49"/>
  <c r="W60" i="49" s="1"/>
  <c r="T60" i="49"/>
  <c r="V59" i="49"/>
  <c r="U59" i="49"/>
  <c r="W59" i="49" s="1"/>
  <c r="T59" i="49"/>
  <c r="V58" i="49"/>
  <c r="U58" i="49"/>
  <c r="W58" i="49" s="1"/>
  <c r="V57" i="49"/>
  <c r="W57" i="49" s="1"/>
  <c r="U57" i="49"/>
  <c r="V56" i="49"/>
  <c r="U56" i="49"/>
  <c r="W56" i="49" s="1"/>
  <c r="T56" i="49"/>
  <c r="V55" i="49"/>
  <c r="U55" i="49"/>
  <c r="W55" i="49" s="1"/>
  <c r="T55" i="49"/>
  <c r="V54" i="49"/>
  <c r="U54" i="49"/>
  <c r="V53" i="49"/>
  <c r="U53" i="49"/>
  <c r="W53" i="49" s="1"/>
  <c r="T53" i="49"/>
  <c r="V52" i="49"/>
  <c r="U52" i="49"/>
  <c r="W52" i="49" s="1"/>
  <c r="T52" i="49"/>
  <c r="X52" i="49" s="1"/>
  <c r="V51" i="49"/>
  <c r="U51" i="49"/>
  <c r="T51" i="49"/>
  <c r="V50" i="49"/>
  <c r="U50" i="49"/>
  <c r="T50" i="49"/>
  <c r="X50" i="49" s="1"/>
  <c r="X219" i="49" s="1"/>
  <c r="Z219" i="49" s="1"/>
  <c r="V49" i="49"/>
  <c r="U49" i="49"/>
  <c r="T49" i="49"/>
  <c r="P215" i="49" s="1"/>
  <c r="V48" i="49"/>
  <c r="U48" i="49"/>
  <c r="T48" i="49"/>
  <c r="W47" i="49"/>
  <c r="V47" i="49"/>
  <c r="U47" i="49"/>
  <c r="T47" i="49"/>
  <c r="X47" i="49" s="1"/>
  <c r="W46" i="49"/>
  <c r="V46" i="49"/>
  <c r="U46" i="49"/>
  <c r="T46" i="49"/>
  <c r="X45" i="49"/>
  <c r="V45" i="49"/>
  <c r="U45" i="49"/>
  <c r="W45" i="49" s="1"/>
  <c r="T45" i="49"/>
  <c r="V44" i="49"/>
  <c r="U44" i="49"/>
  <c r="T44" i="49"/>
  <c r="V43" i="49"/>
  <c r="U43" i="49"/>
  <c r="W43" i="49" s="1"/>
  <c r="T43" i="49"/>
  <c r="V42" i="49"/>
  <c r="U42" i="49"/>
  <c r="W42" i="49" s="1"/>
  <c r="T42" i="49"/>
  <c r="X42" i="49" s="1"/>
  <c r="V41" i="49"/>
  <c r="U41" i="49"/>
  <c r="W41" i="49" s="1"/>
  <c r="T41" i="49"/>
  <c r="V40" i="49"/>
  <c r="W40" i="49" s="1"/>
  <c r="U40" i="49"/>
  <c r="T40" i="49"/>
  <c r="X40" i="49" s="1"/>
  <c r="V39" i="49"/>
  <c r="W39" i="49" s="1"/>
  <c r="U39" i="49"/>
  <c r="T39" i="49"/>
  <c r="X39" i="49" s="1"/>
  <c r="V38" i="49"/>
  <c r="W38" i="49" s="1"/>
  <c r="U38" i="49"/>
  <c r="T38" i="49"/>
  <c r="V37" i="49"/>
  <c r="W37" i="49" s="1"/>
  <c r="U37" i="49"/>
  <c r="V36" i="49"/>
  <c r="U36" i="49"/>
  <c r="V35" i="49"/>
  <c r="U35" i="49"/>
  <c r="V34" i="49"/>
  <c r="U34" i="49"/>
  <c r="W34" i="49" s="1"/>
  <c r="W33" i="49"/>
  <c r="V33" i="49"/>
  <c r="U33" i="49"/>
  <c r="V32" i="49"/>
  <c r="U32" i="49"/>
  <c r="V31" i="49"/>
  <c r="U31" i="49"/>
  <c r="W31" i="49" s="1"/>
  <c r="V30" i="49"/>
  <c r="U30" i="49"/>
  <c r="V29" i="49"/>
  <c r="U29" i="49"/>
  <c r="W29" i="49" s="1"/>
  <c r="V28" i="49"/>
  <c r="U28" i="49"/>
  <c r="V27" i="49"/>
  <c r="U27" i="49"/>
  <c r="W27" i="49" s="1"/>
  <c r="R23" i="49"/>
  <c r="R208" i="49" s="1"/>
  <c r="O23" i="49"/>
  <c r="N23" i="49"/>
  <c r="M23" i="49"/>
  <c r="M208" i="49" s="1"/>
  <c r="L23" i="49"/>
  <c r="L208" i="49" s="1"/>
  <c r="K23" i="49"/>
  <c r="J23" i="49"/>
  <c r="I23" i="49"/>
  <c r="I208" i="49" s="1"/>
  <c r="H23" i="49"/>
  <c r="H208" i="49" s="1"/>
  <c r="G23" i="49"/>
  <c r="F23" i="49"/>
  <c r="E23" i="49"/>
  <c r="E208" i="49" s="1"/>
  <c r="D23" i="49"/>
  <c r="D208" i="49" s="1"/>
  <c r="V22" i="49"/>
  <c r="U22" i="49"/>
  <c r="W22" i="49" s="1"/>
  <c r="V21" i="49"/>
  <c r="U21" i="49"/>
  <c r="T21" i="49"/>
  <c r="X21" i="49" s="1"/>
  <c r="V20" i="49"/>
  <c r="U20" i="49"/>
  <c r="T20" i="49"/>
  <c r="X20" i="49" s="1"/>
  <c r="V19" i="49"/>
  <c r="U19" i="49"/>
  <c r="W19" i="49" s="1"/>
  <c r="T19" i="49"/>
  <c r="X19" i="49" s="1"/>
  <c r="V18" i="49"/>
  <c r="U18" i="49"/>
  <c r="W18" i="49" s="1"/>
  <c r="T18" i="49"/>
  <c r="V17" i="49"/>
  <c r="U17" i="49"/>
  <c r="W17" i="49" s="1"/>
  <c r="T17" i="49"/>
  <c r="X17" i="49" s="1"/>
  <c r="V16" i="49"/>
  <c r="U16" i="49"/>
  <c r="T16" i="49"/>
  <c r="X16" i="49" s="1"/>
  <c r="V15" i="49"/>
  <c r="W15" i="49" s="1"/>
  <c r="U15" i="49"/>
  <c r="T15" i="49"/>
  <c r="X15" i="49" s="1"/>
  <c r="V14" i="49"/>
  <c r="W14" i="49" s="1"/>
  <c r="U14" i="49"/>
  <c r="T14" i="49"/>
  <c r="V13" i="49"/>
  <c r="U13" i="49"/>
  <c r="T13" i="49"/>
  <c r="X13" i="49" s="1"/>
  <c r="V12" i="49"/>
  <c r="U12" i="49"/>
  <c r="T12" i="49"/>
  <c r="V11" i="49"/>
  <c r="U11" i="49"/>
  <c r="W11" i="49" s="1"/>
  <c r="T11" i="49"/>
  <c r="V10" i="49"/>
  <c r="U10" i="49"/>
  <c r="W10" i="49" s="1"/>
  <c r="T10" i="49"/>
  <c r="X10" i="49" s="1"/>
  <c r="V9" i="49"/>
  <c r="U9" i="49"/>
  <c r="T9" i="49"/>
  <c r="V8" i="49"/>
  <c r="U8" i="49"/>
  <c r="T8" i="49"/>
  <c r="X8" i="49" s="1"/>
  <c r="P213" i="49" l="1"/>
  <c r="P216" i="49"/>
  <c r="X215" i="49"/>
  <c r="T23" i="49"/>
  <c r="V23" i="49"/>
  <c r="W13" i="49"/>
  <c r="W32" i="49"/>
  <c r="W123" i="49"/>
  <c r="W140" i="49"/>
  <c r="T167" i="49"/>
  <c r="W80" i="49"/>
  <c r="W139" i="49"/>
  <c r="I169" i="49"/>
  <c r="W20" i="49"/>
  <c r="W28" i="49"/>
  <c r="X222" i="49"/>
  <c r="Z222" i="49" s="1"/>
  <c r="W50" i="49"/>
  <c r="W173" i="49"/>
  <c r="W199" i="49"/>
  <c r="I206" i="49"/>
  <c r="W12" i="49"/>
  <c r="W36" i="49"/>
  <c r="X167" i="49"/>
  <c r="W49" i="49"/>
  <c r="U23" i="49"/>
  <c r="W16" i="49"/>
  <c r="G208" i="49"/>
  <c r="K208" i="49"/>
  <c r="O208" i="49"/>
  <c r="W35" i="49"/>
  <c r="W48" i="49"/>
  <c r="W69" i="49"/>
  <c r="W76" i="49"/>
  <c r="W79" i="49"/>
  <c r="W94" i="49"/>
  <c r="W104" i="49"/>
  <c r="W106" i="49"/>
  <c r="W112" i="49"/>
  <c r="W122" i="49"/>
  <c r="W126" i="49"/>
  <c r="W141" i="49"/>
  <c r="W144" i="49"/>
  <c r="W147" i="49"/>
  <c r="W155" i="49"/>
  <c r="W159" i="49"/>
  <c r="W163" i="49"/>
  <c r="W166" i="49"/>
  <c r="O169" i="49"/>
  <c r="W182" i="49"/>
  <c r="W186" i="49"/>
  <c r="W189" i="49"/>
  <c r="W192" i="49"/>
  <c r="W196" i="49"/>
  <c r="W200" i="49"/>
  <c r="W203" i="49"/>
  <c r="Z220" i="49"/>
  <c r="X23" i="49"/>
  <c r="X218" i="49"/>
  <c r="Z218" i="49" s="1"/>
  <c r="Z217" i="49"/>
  <c r="W171" i="49"/>
  <c r="U204" i="49"/>
  <c r="X226" i="49"/>
  <c r="Z226" i="49" s="1"/>
  <c r="I25" i="49"/>
  <c r="I210" i="49" s="1"/>
  <c r="W164" i="49"/>
  <c r="X224" i="49"/>
  <c r="Z224" i="49" s="1"/>
  <c r="O206" i="49"/>
  <c r="X204" i="49"/>
  <c r="U167" i="49"/>
  <c r="U208" i="49" s="1"/>
  <c r="W8" i="49"/>
  <c r="V204" i="49"/>
  <c r="T204" i="49"/>
  <c r="W9" i="49"/>
  <c r="F208" i="49"/>
  <c r="O25" i="49"/>
  <c r="O210" i="49" s="1"/>
  <c r="J208" i="49"/>
  <c r="N208" i="49"/>
  <c r="W21" i="49"/>
  <c r="V167" i="49"/>
  <c r="V208" i="49" s="1"/>
  <c r="W30" i="49"/>
  <c r="W44" i="49"/>
  <c r="W51" i="49"/>
  <c r="W54" i="49"/>
  <c r="W87" i="49"/>
  <c r="W107" i="49"/>
  <c r="W110" i="49"/>
  <c r="W172" i="49"/>
  <c r="U21" i="31"/>
  <c r="U16" i="31"/>
  <c r="U15" i="31"/>
  <c r="T208" i="49" l="1"/>
  <c r="W167" i="49"/>
  <c r="X208" i="49"/>
  <c r="W23" i="49"/>
  <c r="W204" i="49"/>
  <c r="X230" i="49"/>
  <c r="Z215" i="49"/>
  <c r="Z230" i="49" s="1"/>
  <c r="U17" i="31"/>
  <c r="E18" i="13" l="1"/>
  <c r="AA230" i="49"/>
  <c r="X232" i="49"/>
  <c r="P219" i="49"/>
  <c r="P220" i="49" s="1"/>
  <c r="E9" i="13"/>
  <c r="W208" i="49"/>
  <c r="O21" i="31"/>
  <c r="Q52" i="31"/>
  <c r="Q50" i="31"/>
  <c r="Q36" i="31"/>
  <c r="Q26" i="31"/>
  <c r="Q17" i="31"/>
  <c r="Q106" i="31"/>
  <c r="Q99" i="31"/>
  <c r="Q92" i="31"/>
  <c r="Q83" i="31"/>
  <c r="T120" i="31"/>
  <c r="T122" i="31" s="1"/>
  <c r="T106" i="31"/>
  <c r="T99" i="31"/>
  <c r="T92" i="31"/>
  <c r="T83" i="31"/>
  <c r="T71" i="31"/>
  <c r="T52" i="31"/>
  <c r="T50" i="31"/>
  <c r="T36" i="31"/>
  <c r="T26" i="31"/>
  <c r="T17" i="31"/>
  <c r="S26" i="4"/>
  <c r="AA75" i="48"/>
  <c r="Z75" i="48"/>
  <c r="Y75" i="48"/>
  <c r="W75" i="48"/>
  <c r="V75" i="48"/>
  <c r="U75" i="48"/>
  <c r="T75" i="48"/>
  <c r="S75" i="48"/>
  <c r="R75" i="48"/>
  <c r="Q75" i="48"/>
  <c r="P75" i="48"/>
  <c r="O75" i="48"/>
  <c r="N75" i="48"/>
  <c r="M75" i="48"/>
  <c r="L75" i="48"/>
  <c r="K75" i="48"/>
  <c r="J75" i="48"/>
  <c r="I75" i="48"/>
  <c r="AC72" i="48"/>
  <c r="X71" i="48"/>
  <c r="AC71" i="48" s="1"/>
  <c r="X70" i="48"/>
  <c r="AC70" i="48" s="1"/>
  <c r="X69" i="48"/>
  <c r="AC69" i="48" s="1"/>
  <c r="X68" i="48"/>
  <c r="AC68" i="48" s="1"/>
  <c r="X67" i="48"/>
  <c r="AC67" i="48" s="1"/>
  <c r="X66" i="48"/>
  <c r="AC66" i="48" s="1"/>
  <c r="X65" i="48"/>
  <c r="AC65" i="48" s="1"/>
  <c r="X64" i="48"/>
  <c r="AC64" i="48" s="1"/>
  <c r="X63" i="48"/>
  <c r="AC63" i="48" s="1"/>
  <c r="X62" i="48"/>
  <c r="AC62" i="48" s="1"/>
  <c r="X61" i="48"/>
  <c r="AC61" i="48" s="1"/>
  <c r="X60" i="48"/>
  <c r="AC60" i="48" s="1"/>
  <c r="X59" i="48"/>
  <c r="AC59" i="48" s="1"/>
  <c r="X58" i="48"/>
  <c r="X57" i="48"/>
  <c r="AC57" i="48" s="1"/>
  <c r="X56" i="48"/>
  <c r="AC56" i="48" s="1"/>
  <c r="X55" i="48"/>
  <c r="X54" i="48"/>
  <c r="AC54" i="48" s="1"/>
  <c r="X53" i="48"/>
  <c r="AC53" i="48" s="1"/>
  <c r="X52" i="48"/>
  <c r="AC52" i="48" s="1"/>
  <c r="X51" i="48"/>
  <c r="AC51" i="48" s="1"/>
  <c r="X50" i="48"/>
  <c r="AC50" i="48" s="1"/>
  <c r="X49" i="48"/>
  <c r="AC49" i="48" s="1"/>
  <c r="X48" i="48"/>
  <c r="AC48" i="48" s="1"/>
  <c r="X47" i="48"/>
  <c r="AC47" i="48" s="1"/>
  <c r="X46" i="48"/>
  <c r="AC46" i="48" s="1"/>
  <c r="X45" i="48"/>
  <c r="AC45" i="48" s="1"/>
  <c r="X44" i="48"/>
  <c r="AC44" i="48" s="1"/>
  <c r="X43" i="48"/>
  <c r="AC43" i="48" s="1"/>
  <c r="X42" i="48"/>
  <c r="AC42" i="48" s="1"/>
  <c r="X41" i="48"/>
  <c r="AC41" i="48" s="1"/>
  <c r="X40" i="48"/>
  <c r="X39" i="48"/>
  <c r="AC39" i="48" s="1"/>
  <c r="X38" i="48"/>
  <c r="AC38" i="48" s="1"/>
  <c r="X37" i="48"/>
  <c r="AC37" i="48" s="1"/>
  <c r="X36" i="48"/>
  <c r="AC36" i="48" s="1"/>
  <c r="X35" i="48"/>
  <c r="AC35" i="48" s="1"/>
  <c r="X34" i="48"/>
  <c r="AC34" i="48" s="1"/>
  <c r="X33" i="48"/>
  <c r="AC33" i="48" s="1"/>
  <c r="X32" i="48"/>
  <c r="AC32" i="48" s="1"/>
  <c r="X31" i="48"/>
  <c r="X30" i="48"/>
  <c r="AC30" i="48" s="1"/>
  <c r="X29" i="48"/>
  <c r="AC29" i="48" s="1"/>
  <c r="X28" i="48"/>
  <c r="AC28" i="48" s="1"/>
  <c r="X27" i="48"/>
  <c r="AC27" i="48" s="1"/>
  <c r="X26" i="48"/>
  <c r="AC26" i="48" s="1"/>
  <c r="X25" i="48"/>
  <c r="AC25" i="48" s="1"/>
  <c r="X24" i="48"/>
  <c r="AC24" i="48" s="1"/>
  <c r="X23" i="48"/>
  <c r="AC23" i="48" s="1"/>
  <c r="X22" i="48"/>
  <c r="AC22" i="48" s="1"/>
  <c r="X21" i="48"/>
  <c r="AC21" i="48" s="1"/>
  <c r="X20" i="48"/>
  <c r="X19" i="48"/>
  <c r="AC19" i="48" s="1"/>
  <c r="T84" i="31" l="1"/>
  <c r="Q27" i="31"/>
  <c r="Q53" i="31" s="1"/>
  <c r="T27" i="31"/>
  <c r="T53" i="31" s="1"/>
  <c r="X75" i="48"/>
  <c r="J77" i="48"/>
  <c r="K77" i="48" s="1"/>
  <c r="L77" i="48" s="1"/>
  <c r="M77" i="48" s="1"/>
  <c r="N77" i="48" s="1"/>
  <c r="O77" i="48" s="1"/>
  <c r="P77" i="48" s="1"/>
  <c r="AC20" i="48"/>
  <c r="AC75" i="48" s="1"/>
  <c r="Q77" i="48" l="1"/>
  <c r="R77" i="48" l="1"/>
  <c r="S77" i="48" l="1"/>
  <c r="T77" i="48" l="1"/>
  <c r="U77" i="48" l="1"/>
  <c r="V77" i="48" l="1"/>
  <c r="W77" i="48" l="1"/>
  <c r="Y77" i="48" l="1"/>
  <c r="Z77" i="48" l="1"/>
  <c r="AA77" i="48" l="1"/>
  <c r="AA79" i="48" s="1"/>
  <c r="D10" i="47" l="1"/>
  <c r="D11" i="47" s="1"/>
  <c r="C14" i="47" s="1"/>
  <c r="U340" i="34"/>
  <c r="D338" i="34"/>
  <c r="D337" i="34"/>
  <c r="D336" i="34"/>
  <c r="D335" i="34"/>
  <c r="D334" i="34"/>
  <c r="D333" i="34"/>
  <c r="D332" i="34"/>
  <c r="U330" i="34"/>
  <c r="D329" i="34"/>
  <c r="D328" i="34"/>
  <c r="D327" i="34"/>
  <c r="D326" i="34"/>
  <c r="D325" i="34"/>
  <c r="D324" i="34"/>
  <c r="D323" i="34"/>
  <c r="D322" i="34"/>
  <c r="D321" i="34"/>
  <c r="D320" i="34"/>
  <c r="D316" i="34"/>
  <c r="V315" i="34"/>
  <c r="D315" i="34"/>
  <c r="V314" i="34"/>
  <c r="D314" i="34"/>
  <c r="V311" i="34"/>
  <c r="D310" i="34"/>
  <c r="D309" i="34"/>
  <c r="X308" i="34"/>
  <c r="D308" i="34"/>
  <c r="X307" i="34"/>
  <c r="D307" i="34"/>
  <c r="X306" i="34"/>
  <c r="D306" i="34"/>
  <c r="D305" i="34"/>
  <c r="D304" i="34"/>
  <c r="D303" i="34"/>
  <c r="D302" i="34"/>
  <c r="V301" i="34"/>
  <c r="D301" i="34"/>
  <c r="D300" i="34"/>
  <c r="V299" i="34"/>
  <c r="D299" i="34"/>
  <c r="X298" i="34"/>
  <c r="D298" i="34"/>
  <c r="D297" i="34"/>
  <c r="D293" i="34"/>
  <c r="D292" i="34"/>
  <c r="X291" i="34"/>
  <c r="D291" i="34"/>
  <c r="D290" i="34"/>
  <c r="X289" i="34"/>
  <c r="D289" i="34"/>
  <c r="D288" i="34"/>
  <c r="X287" i="34"/>
  <c r="D287" i="34"/>
  <c r="D286" i="34"/>
  <c r="D285" i="34"/>
  <c r="X284" i="34"/>
  <c r="D284" i="34"/>
  <c r="X283" i="34"/>
  <c r="D283" i="34"/>
  <c r="X282" i="34"/>
  <c r="D282" i="34"/>
  <c r="X281" i="34"/>
  <c r="D281" i="34"/>
  <c r="X280" i="34"/>
  <c r="D280" i="34"/>
  <c r="X279" i="34"/>
  <c r="D279" i="34"/>
  <c r="X278" i="34"/>
  <c r="D278" i="34"/>
  <c r="D277" i="34"/>
  <c r="D276" i="34"/>
  <c r="W275" i="34"/>
  <c r="D275" i="34"/>
  <c r="D274" i="34"/>
  <c r="X273" i="34"/>
  <c r="D273" i="34"/>
  <c r="X272" i="34"/>
  <c r="D272" i="34"/>
  <c r="X271" i="34"/>
  <c r="D271" i="34"/>
  <c r="D270" i="34"/>
  <c r="X269" i="34"/>
  <c r="D269" i="34"/>
  <c r="D268" i="34"/>
  <c r="X264" i="34"/>
  <c r="D262" i="34"/>
  <c r="D261" i="34"/>
  <c r="W259" i="34"/>
  <c r="D258" i="34"/>
  <c r="D257" i="34"/>
  <c r="D256" i="34"/>
  <c r="D255" i="34"/>
  <c r="D254" i="34"/>
  <c r="D253" i="34"/>
  <c r="D252" i="34"/>
  <c r="D251" i="34"/>
  <c r="D250" i="34"/>
  <c r="D249" i="34"/>
  <c r="D248" i="34"/>
  <c r="X246" i="34"/>
  <c r="D246" i="34"/>
  <c r="X245" i="34"/>
  <c r="D245" i="34"/>
  <c r="X244" i="34"/>
  <c r="D244" i="34"/>
  <c r="X243" i="34"/>
  <c r="D243" i="34"/>
  <c r="D242" i="34"/>
  <c r="X241" i="34"/>
  <c r="D241" i="34"/>
  <c r="X240" i="34"/>
  <c r="X239" i="34"/>
  <c r="D239" i="34"/>
  <c r="D237" i="34"/>
  <c r="U236" i="34"/>
  <c r="D236" i="34"/>
  <c r="U234" i="34"/>
  <c r="D233" i="34"/>
  <c r="D232" i="34"/>
  <c r="D231" i="34"/>
  <c r="D230" i="34"/>
  <c r="D229" i="34"/>
  <c r="D228" i="34"/>
  <c r="D227" i="34"/>
  <c r="D226" i="34"/>
  <c r="D225" i="34"/>
  <c r="D224" i="34"/>
  <c r="D223" i="34"/>
  <c r="D222" i="34"/>
  <c r="D221" i="34"/>
  <c r="D220" i="34"/>
  <c r="D219" i="34"/>
  <c r="D218" i="34"/>
  <c r="D217" i="34"/>
  <c r="D216" i="34"/>
  <c r="D215" i="34"/>
  <c r="U213" i="34"/>
  <c r="D211" i="34"/>
  <c r="D210" i="34"/>
  <c r="D209" i="34"/>
  <c r="D208" i="34"/>
  <c r="D207" i="34"/>
  <c r="D206" i="34"/>
  <c r="D205" i="34"/>
  <c r="D204" i="34"/>
  <c r="D203" i="34"/>
  <c r="D202" i="34"/>
  <c r="U197" i="34"/>
  <c r="D196" i="34"/>
  <c r="U194" i="34"/>
  <c r="D193" i="34"/>
  <c r="D192" i="34"/>
  <c r="U182" i="34"/>
  <c r="D181" i="34"/>
  <c r="D180" i="34"/>
  <c r="D179" i="34"/>
  <c r="D178" i="34"/>
  <c r="D177" i="34"/>
  <c r="D176" i="34"/>
  <c r="D175" i="34"/>
  <c r="U173" i="34"/>
  <c r="D172" i="34"/>
  <c r="D171" i="34"/>
  <c r="D169" i="34"/>
  <c r="D168" i="34"/>
  <c r="D167" i="34"/>
  <c r="D166" i="34"/>
  <c r="U164" i="34"/>
  <c r="D163" i="34"/>
  <c r="D162" i="34"/>
  <c r="D161" i="34"/>
  <c r="U159" i="34"/>
  <c r="D157" i="34"/>
  <c r="D155" i="34"/>
  <c r="U153" i="34"/>
  <c r="W146" i="34"/>
  <c r="D146" i="34"/>
  <c r="W145" i="34"/>
  <c r="D145" i="34"/>
  <c r="X144" i="34"/>
  <c r="D144" i="34"/>
  <c r="D143" i="34"/>
  <c r="D142" i="34"/>
  <c r="X141" i="34"/>
  <c r="D141" i="34"/>
  <c r="D140" i="34"/>
  <c r="D139" i="34"/>
  <c r="X138" i="34"/>
  <c r="X137" i="34"/>
  <c r="D137" i="34"/>
  <c r="X136" i="34"/>
  <c r="D136" i="34"/>
  <c r="D135" i="34"/>
  <c r="D134" i="34"/>
  <c r="U132" i="34"/>
  <c r="D129" i="34"/>
  <c r="D128" i="34"/>
  <c r="D127" i="34"/>
  <c r="D126" i="34"/>
  <c r="U124" i="34"/>
  <c r="D123" i="34"/>
  <c r="D122" i="34"/>
  <c r="D121" i="34"/>
  <c r="D120" i="34"/>
  <c r="D119" i="34"/>
  <c r="D118" i="34"/>
  <c r="D117" i="34"/>
  <c r="D116" i="34"/>
  <c r="D115" i="34"/>
  <c r="D114" i="34"/>
  <c r="D113" i="34"/>
  <c r="D112" i="34"/>
  <c r="D111" i="34"/>
  <c r="W109" i="34"/>
  <c r="D109" i="34"/>
  <c r="X107" i="34"/>
  <c r="D107" i="34"/>
  <c r="X106" i="34"/>
  <c r="D106" i="34"/>
  <c r="X104" i="34"/>
  <c r="D103" i="34"/>
  <c r="D102" i="34"/>
  <c r="X100" i="34"/>
  <c r="D97" i="34"/>
  <c r="D96" i="34"/>
  <c r="D95" i="34"/>
  <c r="D94" i="34"/>
  <c r="D93" i="34"/>
  <c r="D92" i="34"/>
  <c r="X90" i="34"/>
  <c r="D88" i="34"/>
  <c r="D87" i="34"/>
  <c r="D86" i="34"/>
  <c r="D85" i="34"/>
  <c r="D84" i="34"/>
  <c r="D83" i="34"/>
  <c r="X79" i="34"/>
  <c r="D77" i="34"/>
  <c r="D76" i="34"/>
  <c r="D75" i="34"/>
  <c r="W71" i="34"/>
  <c r="W69" i="34"/>
  <c r="D68" i="34"/>
  <c r="D67" i="34"/>
  <c r="D66" i="34"/>
  <c r="D65" i="34"/>
  <c r="D64" i="34"/>
  <c r="D63" i="34"/>
  <c r="D62" i="34"/>
  <c r="D61" i="34"/>
  <c r="D60" i="34"/>
  <c r="D59" i="34"/>
  <c r="D57" i="34"/>
  <c r="X56" i="34"/>
  <c r="D56" i="34"/>
  <c r="X54" i="34"/>
  <c r="D53" i="34"/>
  <c r="D52" i="34"/>
  <c r="D51" i="34"/>
  <c r="D47" i="34"/>
  <c r="X45" i="34"/>
  <c r="D43" i="34"/>
  <c r="D42" i="34"/>
  <c r="D37" i="34"/>
  <c r="W36" i="34"/>
  <c r="D36" i="34"/>
  <c r="W35" i="34"/>
  <c r="D31" i="34"/>
  <c r="V27" i="34"/>
  <c r="D24" i="34"/>
  <c r="D23" i="34"/>
  <c r="D20" i="34"/>
  <c r="D19" i="34"/>
  <c r="D18" i="34"/>
  <c r="D17" i="34"/>
  <c r="W13" i="34"/>
  <c r="D13" i="34"/>
  <c r="V12" i="34"/>
  <c r="D12" i="34"/>
  <c r="V11" i="34"/>
  <c r="D11" i="34"/>
  <c r="K15" i="41"/>
  <c r="G15" i="41"/>
  <c r="K14" i="41"/>
  <c r="G14" i="41"/>
  <c r="K13" i="41"/>
  <c r="G13" i="41"/>
  <c r="M13" i="41" s="1"/>
  <c r="K12" i="41"/>
  <c r="G12" i="41"/>
  <c r="K11" i="41"/>
  <c r="G11" i="41"/>
  <c r="M11" i="41" s="1"/>
  <c r="K10" i="41"/>
  <c r="G10" i="41"/>
  <c r="D11" i="38"/>
  <c r="D13" i="38" s="1"/>
  <c r="I14" i="46"/>
  <c r="H14" i="46"/>
  <c r="J14" i="46" s="1"/>
  <c r="L14" i="46" s="1"/>
  <c r="I13" i="46"/>
  <c r="H13" i="46"/>
  <c r="J13" i="46" s="1"/>
  <c r="L13" i="46" s="1"/>
  <c r="I12" i="46"/>
  <c r="H12" i="46"/>
  <c r="E13" i="15"/>
  <c r="G14" i="15" s="1"/>
  <c r="D13" i="15"/>
  <c r="G11" i="15"/>
  <c r="G10" i="15"/>
  <c r="G9" i="15"/>
  <c r="K70" i="6"/>
  <c r="L70" i="6" s="1"/>
  <c r="F61" i="6"/>
  <c r="F13" i="6" s="1"/>
  <c r="H13" i="6" s="1"/>
  <c r="D61" i="6"/>
  <c r="D13" i="6" s="1"/>
  <c r="H60" i="6"/>
  <c r="I60" i="6" s="1"/>
  <c r="H59" i="6"/>
  <c r="I59" i="6" s="1"/>
  <c r="H58" i="6"/>
  <c r="I58" i="6" s="1"/>
  <c r="H57" i="6"/>
  <c r="I57" i="6" s="1"/>
  <c r="H56" i="6"/>
  <c r="I56" i="6" s="1"/>
  <c r="H55" i="6"/>
  <c r="I55" i="6" s="1"/>
  <c r="K55" i="6" s="1"/>
  <c r="H54" i="6"/>
  <c r="I54" i="6" s="1"/>
  <c r="H53" i="6"/>
  <c r="I53" i="6" s="1"/>
  <c r="H52" i="6"/>
  <c r="I52" i="6" s="1"/>
  <c r="H51" i="6"/>
  <c r="I51" i="6" s="1"/>
  <c r="H50" i="6"/>
  <c r="I50" i="6" s="1"/>
  <c r="K50" i="6" s="1"/>
  <c r="H49" i="6"/>
  <c r="I49" i="6" s="1"/>
  <c r="K49" i="6" s="1"/>
  <c r="L49" i="6" s="1"/>
  <c r="H48" i="6"/>
  <c r="I48" i="6" s="1"/>
  <c r="H47" i="6"/>
  <c r="I47" i="6" s="1"/>
  <c r="K47" i="6" s="1"/>
  <c r="H46" i="6"/>
  <c r="I46" i="6" s="1"/>
  <c r="H45" i="6"/>
  <c r="I45" i="6" s="1"/>
  <c r="H44" i="6"/>
  <c r="I44" i="6" s="1"/>
  <c r="H43" i="6"/>
  <c r="I43" i="6" s="1"/>
  <c r="H42" i="6"/>
  <c r="I42" i="6" s="1"/>
  <c r="H41" i="6"/>
  <c r="I41" i="6" s="1"/>
  <c r="K41" i="6" s="1"/>
  <c r="L41" i="6" s="1"/>
  <c r="H40" i="6"/>
  <c r="I40" i="6" s="1"/>
  <c r="H39" i="6"/>
  <c r="I39" i="6" s="1"/>
  <c r="K39" i="6" s="1"/>
  <c r="F36" i="6"/>
  <c r="H34" i="6"/>
  <c r="I34" i="6" s="1"/>
  <c r="K34" i="6" s="1"/>
  <c r="H33" i="6"/>
  <c r="I33" i="6" s="1"/>
  <c r="H32" i="6"/>
  <c r="D32" i="6"/>
  <c r="H31" i="6"/>
  <c r="I31" i="6" s="1"/>
  <c r="H30" i="6"/>
  <c r="D30" i="6"/>
  <c r="H29" i="6"/>
  <c r="I29" i="6" s="1"/>
  <c r="H28" i="6"/>
  <c r="I28" i="6" s="1"/>
  <c r="K28" i="6" s="1"/>
  <c r="H27" i="6"/>
  <c r="I27" i="6" s="1"/>
  <c r="H26" i="6"/>
  <c r="I26" i="6" s="1"/>
  <c r="H25" i="6"/>
  <c r="I25" i="6" s="1"/>
  <c r="H24" i="6"/>
  <c r="I24" i="6" s="1"/>
  <c r="H23" i="6"/>
  <c r="I23" i="6" s="1"/>
  <c r="H22" i="6"/>
  <c r="I22" i="6" s="1"/>
  <c r="K22" i="6" s="1"/>
  <c r="L22" i="6" s="1"/>
  <c r="N22" i="6" s="1"/>
  <c r="H21" i="6"/>
  <c r="H20" i="6"/>
  <c r="I20" i="6" s="1"/>
  <c r="K20" i="6" s="1"/>
  <c r="H11" i="6"/>
  <c r="F20" i="44"/>
  <c r="H21" i="36"/>
  <c r="H19" i="36"/>
  <c r="H17" i="36"/>
  <c r="H15" i="36"/>
  <c r="H13" i="36"/>
  <c r="J44" i="36"/>
  <c r="L44" i="36" s="1"/>
  <c r="J42" i="36"/>
  <c r="L42" i="36" s="1"/>
  <c r="J40" i="36"/>
  <c r="L40" i="36" s="1"/>
  <c r="J38" i="36"/>
  <c r="L38" i="36" s="1"/>
  <c r="J36" i="36"/>
  <c r="L36" i="36" s="1"/>
  <c r="F74" i="18"/>
  <c r="E74" i="18"/>
  <c r="F28" i="18"/>
  <c r="E28" i="18"/>
  <c r="E35" i="21"/>
  <c r="F35" i="21" s="1"/>
  <c r="F32" i="21"/>
  <c r="F29" i="21"/>
  <c r="D15" i="21"/>
  <c r="F15" i="21" s="1"/>
  <c r="I16" i="31" s="1"/>
  <c r="X16" i="31" s="1"/>
  <c r="D19" i="21"/>
  <c r="F19" i="21" s="1"/>
  <c r="D18" i="21"/>
  <c r="F18" i="21" s="1"/>
  <c r="D12" i="21"/>
  <c r="F12" i="21" s="1"/>
  <c r="F14" i="3"/>
  <c r="J13" i="3"/>
  <c r="J12" i="3"/>
  <c r="J11" i="3"/>
  <c r="E38" i="33"/>
  <c r="E37" i="33"/>
  <c r="E36" i="33"/>
  <c r="E35" i="33"/>
  <c r="D15" i="32"/>
  <c r="D150" i="31"/>
  <c r="D186" i="31" s="1"/>
  <c r="W148" i="31"/>
  <c r="V148" i="31"/>
  <c r="X147" i="31"/>
  <c r="X146" i="31"/>
  <c r="X145" i="31"/>
  <c r="X144" i="31"/>
  <c r="X143" i="31"/>
  <c r="X137" i="31"/>
  <c r="Y137" i="31" s="1"/>
  <c r="W134" i="31"/>
  <c r="V134" i="31"/>
  <c r="U134" i="31"/>
  <c r="S134" i="31"/>
  <c r="R134" i="31"/>
  <c r="P134" i="31"/>
  <c r="N134" i="31"/>
  <c r="M134" i="31"/>
  <c r="L134" i="31"/>
  <c r="K134" i="31"/>
  <c r="J134" i="31"/>
  <c r="I134" i="31"/>
  <c r="X133" i="31"/>
  <c r="X132" i="31"/>
  <c r="X131" i="31"/>
  <c r="X130" i="31"/>
  <c r="X129" i="31"/>
  <c r="X128" i="31"/>
  <c r="D124" i="31"/>
  <c r="X121" i="31"/>
  <c r="W120" i="31"/>
  <c r="W122" i="31" s="1"/>
  <c r="V120" i="31"/>
  <c r="V122" i="31" s="1"/>
  <c r="U120" i="31"/>
  <c r="U122" i="31" s="1"/>
  <c r="S120" i="31"/>
  <c r="S122" i="31" s="1"/>
  <c r="O120" i="31"/>
  <c r="O122" i="31" s="1"/>
  <c r="M120" i="31"/>
  <c r="M122" i="31" s="1"/>
  <c r="L120" i="31"/>
  <c r="L122" i="31" s="1"/>
  <c r="K120" i="31"/>
  <c r="K122" i="31" s="1"/>
  <c r="I120" i="31"/>
  <c r="I122" i="31" s="1"/>
  <c r="X118" i="31"/>
  <c r="X117" i="31"/>
  <c r="X115" i="31"/>
  <c r="X113" i="31"/>
  <c r="X112" i="31"/>
  <c r="W106" i="31"/>
  <c r="V106" i="31"/>
  <c r="U106" i="31"/>
  <c r="S106" i="31"/>
  <c r="R106" i="31"/>
  <c r="P106" i="31"/>
  <c r="O106" i="31"/>
  <c r="N106" i="31"/>
  <c r="M106" i="31"/>
  <c r="L106" i="31"/>
  <c r="K106" i="31"/>
  <c r="I106" i="31"/>
  <c r="X105" i="31"/>
  <c r="X103" i="31"/>
  <c r="X102" i="31"/>
  <c r="W99" i="31"/>
  <c r="V99" i="31"/>
  <c r="U99" i="31"/>
  <c r="S99" i="31"/>
  <c r="R99" i="31"/>
  <c r="P99" i="31"/>
  <c r="O99" i="31"/>
  <c r="N99" i="31"/>
  <c r="M99" i="31"/>
  <c r="K99" i="31"/>
  <c r="J99" i="31"/>
  <c r="I99" i="31"/>
  <c r="X95" i="31"/>
  <c r="W92" i="31"/>
  <c r="V92" i="31"/>
  <c r="R92" i="31"/>
  <c r="P92" i="31"/>
  <c r="M92" i="31"/>
  <c r="J92" i="31"/>
  <c r="X91" i="31"/>
  <c r="X87" i="31"/>
  <c r="W83" i="31"/>
  <c r="V83" i="31"/>
  <c r="U83" i="31"/>
  <c r="S83" i="31"/>
  <c r="R83" i="31"/>
  <c r="P83" i="31"/>
  <c r="O83" i="31"/>
  <c r="M83" i="31"/>
  <c r="L83" i="31"/>
  <c r="K83" i="31"/>
  <c r="J83" i="31"/>
  <c r="I83" i="31"/>
  <c r="W71" i="31"/>
  <c r="V71" i="31"/>
  <c r="U71" i="31"/>
  <c r="S71" i="31"/>
  <c r="P71" i="31"/>
  <c r="O71" i="31"/>
  <c r="M71" i="31"/>
  <c r="L71" i="31"/>
  <c r="K71" i="31"/>
  <c r="J71" i="31"/>
  <c r="I71" i="31"/>
  <c r="X70" i="31"/>
  <c r="X69" i="31"/>
  <c r="R52" i="31"/>
  <c r="N52" i="31"/>
  <c r="M52" i="31"/>
  <c r="L52" i="31"/>
  <c r="W50" i="31"/>
  <c r="V50" i="31"/>
  <c r="U50" i="31"/>
  <c r="S50" i="31"/>
  <c r="R50" i="31"/>
  <c r="P50" i="31"/>
  <c r="O50" i="31"/>
  <c r="N50" i="31"/>
  <c r="M50" i="31"/>
  <c r="L50" i="31"/>
  <c r="K50" i="31"/>
  <c r="J50" i="31"/>
  <c r="I50" i="31"/>
  <c r="G50" i="31"/>
  <c r="F50" i="31"/>
  <c r="E50" i="31"/>
  <c r="X49" i="31"/>
  <c r="Y49" i="31" s="1"/>
  <c r="X48" i="31"/>
  <c r="Y48" i="31" s="1"/>
  <c r="X47" i="31"/>
  <c r="Y47" i="31" s="1"/>
  <c r="X46" i="31"/>
  <c r="Y46" i="31" s="1"/>
  <c r="X45" i="31"/>
  <c r="Y45" i="31" s="1"/>
  <c r="X44" i="31"/>
  <c r="Y44" i="31" s="1"/>
  <c r="X43" i="31"/>
  <c r="Y43" i="31" s="1"/>
  <c r="X42" i="31"/>
  <c r="Y42" i="31" s="1"/>
  <c r="X41" i="31"/>
  <c r="Y41" i="31" s="1"/>
  <c r="X40" i="31"/>
  <c r="Y40" i="31" s="1"/>
  <c r="X39" i="31"/>
  <c r="W36" i="31"/>
  <c r="V36" i="31"/>
  <c r="U36" i="31"/>
  <c r="S36" i="31"/>
  <c r="R36" i="31"/>
  <c r="P36" i="31"/>
  <c r="O36" i="31"/>
  <c r="N36" i="31"/>
  <c r="M36" i="31"/>
  <c r="L36" i="31"/>
  <c r="J36" i="31"/>
  <c r="X35" i="31"/>
  <c r="X34" i="31"/>
  <c r="X33" i="31"/>
  <c r="X32" i="31"/>
  <c r="X31" i="31"/>
  <c r="W26" i="31"/>
  <c r="V26" i="31"/>
  <c r="U26" i="31"/>
  <c r="U27" i="31" s="1"/>
  <c r="R26" i="31"/>
  <c r="P26" i="31"/>
  <c r="O26" i="31"/>
  <c r="N26" i="31"/>
  <c r="M26" i="31"/>
  <c r="L26" i="31"/>
  <c r="K26" i="31"/>
  <c r="J26" i="31"/>
  <c r="I26" i="31"/>
  <c r="X25" i="31"/>
  <c r="X23" i="31"/>
  <c r="X22" i="31"/>
  <c r="X21" i="31"/>
  <c r="X20" i="31"/>
  <c r="W17" i="31"/>
  <c r="V17" i="31"/>
  <c r="S17" i="31"/>
  <c r="R17" i="31"/>
  <c r="P17" i="31"/>
  <c r="O17" i="31"/>
  <c r="N17" i="31"/>
  <c r="M17" i="31"/>
  <c r="L17" i="31"/>
  <c r="K17" i="31"/>
  <c r="J17" i="31"/>
  <c r="Y43" i="4"/>
  <c r="X43" i="4"/>
  <c r="W43" i="4"/>
  <c r="V43" i="4"/>
  <c r="U43" i="4"/>
  <c r="T43" i="4"/>
  <c r="R43" i="4"/>
  <c r="O43" i="4"/>
  <c r="M43" i="4"/>
  <c r="L43" i="4"/>
  <c r="J43" i="4"/>
  <c r="I43" i="4"/>
  <c r="H43" i="4"/>
  <c r="G43" i="4"/>
  <c r="AA42" i="4"/>
  <c r="G39" i="1" s="1"/>
  <c r="AA40" i="4"/>
  <c r="G37" i="1" s="1"/>
  <c r="AA31" i="4"/>
  <c r="G28" i="1" s="1"/>
  <c r="J28" i="1" s="1"/>
  <c r="P28" i="1" s="1"/>
  <c r="Y19" i="4"/>
  <c r="X19" i="4"/>
  <c r="W19" i="4"/>
  <c r="V19" i="4"/>
  <c r="U19" i="4"/>
  <c r="O19" i="4"/>
  <c r="M19" i="4"/>
  <c r="L19" i="4"/>
  <c r="H19" i="4"/>
  <c r="T17" i="4"/>
  <c r="N17" i="4"/>
  <c r="N19" i="4" s="1"/>
  <c r="C33" i="2"/>
  <c r="M40" i="1"/>
  <c r="D38" i="1"/>
  <c r="D37" i="1"/>
  <c r="D36" i="1"/>
  <c r="D35" i="1"/>
  <c r="F21" i="21" l="1"/>
  <c r="G24" i="31"/>
  <c r="G158" i="31"/>
  <c r="F17" i="31"/>
  <c r="S84" i="31"/>
  <c r="G115" i="31"/>
  <c r="G33" i="31"/>
  <c r="Y33" i="31" s="1"/>
  <c r="G89" i="31"/>
  <c r="G96" i="31"/>
  <c r="G98" i="31"/>
  <c r="G143" i="31"/>
  <c r="Y143" i="31" s="1"/>
  <c r="G145" i="31"/>
  <c r="G153" i="31"/>
  <c r="H18" i="21"/>
  <c r="C18" i="47"/>
  <c r="C16" i="47"/>
  <c r="S38" i="4"/>
  <c r="M84" i="31"/>
  <c r="I84" i="31"/>
  <c r="G166" i="31"/>
  <c r="G16" i="31"/>
  <c r="Y16" i="31" s="1"/>
  <c r="J27" i="31"/>
  <c r="J53" i="31" s="1"/>
  <c r="N27" i="31"/>
  <c r="N53" i="31" s="1"/>
  <c r="G35" i="31"/>
  <c r="Y35" i="31" s="1"/>
  <c r="G52" i="31"/>
  <c r="D20" i="1" s="1"/>
  <c r="G68" i="31"/>
  <c r="G69" i="31"/>
  <c r="Y69" i="31" s="1"/>
  <c r="G175" i="31"/>
  <c r="G31" i="31"/>
  <c r="Y31" i="31" s="1"/>
  <c r="O84" i="31"/>
  <c r="F29" i="18"/>
  <c r="J104" i="31" s="1"/>
  <c r="J106" i="31" s="1"/>
  <c r="G129" i="31"/>
  <c r="G164" i="31"/>
  <c r="J27" i="4"/>
  <c r="AA27" i="4" s="1"/>
  <c r="G24" i="1" s="1"/>
  <c r="L96" i="31"/>
  <c r="I13" i="6"/>
  <c r="K13" i="6" s="1"/>
  <c r="J84" i="31"/>
  <c r="G156" i="31"/>
  <c r="I30" i="6"/>
  <c r="K30" i="6" s="1"/>
  <c r="G75" i="31"/>
  <c r="G80" i="31"/>
  <c r="G87" i="31"/>
  <c r="Y87" i="31" s="1"/>
  <c r="G114" i="31"/>
  <c r="G116" i="31"/>
  <c r="G121" i="31"/>
  <c r="Y121" i="31" s="1"/>
  <c r="G130" i="31"/>
  <c r="Y130" i="31" s="1"/>
  <c r="G154" i="31"/>
  <c r="Q25" i="4"/>
  <c r="Q33" i="4" s="1"/>
  <c r="R60" i="31"/>
  <c r="R71" i="31" s="1"/>
  <c r="R84" i="31" s="1"/>
  <c r="V84" i="31"/>
  <c r="V149" i="31" s="1"/>
  <c r="G132" i="31"/>
  <c r="Y132" i="31" s="1"/>
  <c r="G133" i="31"/>
  <c r="I32" i="6"/>
  <c r="K32" i="6" s="1"/>
  <c r="L32" i="6" s="1"/>
  <c r="N32" i="6" s="1"/>
  <c r="M12" i="41"/>
  <c r="M14" i="41"/>
  <c r="G21" i="31"/>
  <c r="D14" i="1" s="1"/>
  <c r="F36" i="31"/>
  <c r="G63" i="31"/>
  <c r="G103" i="31"/>
  <c r="Y103" i="31" s="1"/>
  <c r="G112" i="31"/>
  <c r="Y112" i="31" s="1"/>
  <c r="G131" i="31"/>
  <c r="Y131" i="31" s="1"/>
  <c r="F172" i="31"/>
  <c r="G165" i="31"/>
  <c r="G167" i="31"/>
  <c r="G176" i="31"/>
  <c r="G177" i="31"/>
  <c r="G179" i="31"/>
  <c r="G183" i="31"/>
  <c r="V342" i="34"/>
  <c r="E19" i="33" s="1"/>
  <c r="G15" i="31"/>
  <c r="L27" i="31"/>
  <c r="L53" i="31" s="1"/>
  <c r="P27" i="31"/>
  <c r="P53" i="31" s="1"/>
  <c r="W27" i="31"/>
  <c r="W53" i="31" s="1"/>
  <c r="G34" i="31"/>
  <c r="Y34" i="31" s="1"/>
  <c r="G67" i="31"/>
  <c r="U84" i="31"/>
  <c r="G104" i="31"/>
  <c r="G168" i="31"/>
  <c r="G180" i="31"/>
  <c r="G181" i="31"/>
  <c r="L46" i="36"/>
  <c r="X33" i="4"/>
  <c r="X34" i="4" s="1"/>
  <c r="X35" i="4" s="1"/>
  <c r="U33" i="4"/>
  <c r="Y33" i="4"/>
  <c r="Y34" i="4" s="1"/>
  <c r="Y35" i="4" s="1"/>
  <c r="V33" i="4"/>
  <c r="V34" i="4" s="1"/>
  <c r="V35" i="4" s="1"/>
  <c r="N23" i="4"/>
  <c r="O52" i="31" s="1"/>
  <c r="W33" i="4"/>
  <c r="W34" i="4" s="1"/>
  <c r="W35" i="4" s="1"/>
  <c r="L92" i="31"/>
  <c r="J37" i="1"/>
  <c r="P37" i="1" s="1"/>
  <c r="K52" i="6"/>
  <c r="L52" i="6"/>
  <c r="N52" i="6" s="1"/>
  <c r="P52" i="6" s="1"/>
  <c r="H15" i="46"/>
  <c r="J12" i="46"/>
  <c r="K27" i="31"/>
  <c r="O27" i="31"/>
  <c r="V27" i="31"/>
  <c r="V53" i="31" s="1"/>
  <c r="F26" i="31"/>
  <c r="G30" i="31"/>
  <c r="P84" i="31"/>
  <c r="E148" i="31"/>
  <c r="G142" i="31"/>
  <c r="I15" i="31"/>
  <c r="I17" i="31" s="1"/>
  <c r="I27" i="31" s="1"/>
  <c r="K26" i="6"/>
  <c r="L26" i="6" s="1"/>
  <c r="N26" i="6" s="1"/>
  <c r="E17" i="31"/>
  <c r="G32" i="31"/>
  <c r="G66" i="31"/>
  <c r="L84" i="31"/>
  <c r="G88" i="31"/>
  <c r="G113" i="31"/>
  <c r="G184" i="31"/>
  <c r="O22" i="6"/>
  <c r="P22" i="6"/>
  <c r="K40" i="6"/>
  <c r="L40" i="6" s="1"/>
  <c r="N40" i="6" s="1"/>
  <c r="P40" i="6" s="1"/>
  <c r="N62" i="31" s="1"/>
  <c r="X62" i="31" s="1"/>
  <c r="K44" i="6"/>
  <c r="L44" i="6" s="1"/>
  <c r="E37" i="21"/>
  <c r="F26" i="21"/>
  <c r="F37" i="21" s="1"/>
  <c r="K23" i="6"/>
  <c r="L23" i="6" s="1"/>
  <c r="N23" i="6" s="1"/>
  <c r="K42" i="6"/>
  <c r="L42" i="6" s="1"/>
  <c r="N42" i="6" s="1"/>
  <c r="P42" i="6" s="1"/>
  <c r="N64" i="31" s="1"/>
  <c r="X64" i="31" s="1"/>
  <c r="K56" i="6"/>
  <c r="L56" i="6" s="1"/>
  <c r="G23" i="31"/>
  <c r="Y23" i="31" s="1"/>
  <c r="G25" i="31"/>
  <c r="Y25" i="31" s="1"/>
  <c r="G77" i="31"/>
  <c r="G78" i="31"/>
  <c r="G117" i="31"/>
  <c r="Y117" i="31" s="1"/>
  <c r="H19" i="21"/>
  <c r="K27" i="6"/>
  <c r="L27" i="6" s="1"/>
  <c r="N27" i="6" s="1"/>
  <c r="O27" i="6" s="1"/>
  <c r="E40" i="33"/>
  <c r="J14" i="3"/>
  <c r="D12" i="26" s="1"/>
  <c r="H36" i="6"/>
  <c r="AA17" i="4"/>
  <c r="G14" i="1" s="1"/>
  <c r="X50" i="31"/>
  <c r="G60" i="31"/>
  <c r="G70" i="31"/>
  <c r="G90" i="31"/>
  <c r="E106" i="31"/>
  <c r="G144" i="31"/>
  <c r="Y144" i="31" s="1"/>
  <c r="H15" i="21"/>
  <c r="C16" i="24"/>
  <c r="I21" i="6"/>
  <c r="L50" i="6"/>
  <c r="N50" i="6" s="1"/>
  <c r="P50" i="6" s="1"/>
  <c r="N78" i="31" s="1"/>
  <c r="X78" i="31" s="1"/>
  <c r="K57" i="6"/>
  <c r="L57" i="6" s="1"/>
  <c r="N57" i="6" s="1"/>
  <c r="P57" i="6" s="1"/>
  <c r="G111" i="31"/>
  <c r="G170" i="31"/>
  <c r="G178" i="31"/>
  <c r="G128" i="31"/>
  <c r="Y128" i="31" s="1"/>
  <c r="D36" i="6"/>
  <c r="D11" i="6" s="1"/>
  <c r="I11" i="6" s="1"/>
  <c r="G56" i="31"/>
  <c r="E83" i="31"/>
  <c r="G76" i="31"/>
  <c r="Y98" i="31"/>
  <c r="E159" i="31"/>
  <c r="G157" i="31"/>
  <c r="E26" i="31"/>
  <c r="G20" i="31"/>
  <c r="F134" i="31"/>
  <c r="G127" i="31"/>
  <c r="G16" i="24"/>
  <c r="G79" i="31"/>
  <c r="F92" i="31"/>
  <c r="U34" i="4"/>
  <c r="U35" i="4" s="1"/>
  <c r="E36" i="31"/>
  <c r="Y32" i="31"/>
  <c r="Y39" i="31"/>
  <c r="Y50" i="31" s="1"/>
  <c r="F71" i="31"/>
  <c r="G62" i="31"/>
  <c r="G65" i="31"/>
  <c r="G97" i="31"/>
  <c r="F120" i="31"/>
  <c r="F122" i="31" s="1"/>
  <c r="E71" i="31"/>
  <c r="G91" i="31"/>
  <c r="G95" i="31"/>
  <c r="F99" i="31"/>
  <c r="G136" i="31"/>
  <c r="K60" i="6"/>
  <c r="L60" i="6" s="1"/>
  <c r="W342" i="34"/>
  <c r="M27" i="31"/>
  <c r="M53" i="31" s="1"/>
  <c r="R27" i="31"/>
  <c r="R53" i="31" s="1"/>
  <c r="K84" i="31"/>
  <c r="E92" i="31"/>
  <c r="G118" i="31"/>
  <c r="G22" i="31"/>
  <c r="G61" i="31"/>
  <c r="G64" i="31"/>
  <c r="W84" i="31"/>
  <c r="W149" i="31" s="1"/>
  <c r="F83" i="31"/>
  <c r="G74" i="31"/>
  <c r="G81" i="31"/>
  <c r="G82" i="31"/>
  <c r="F106" i="31"/>
  <c r="G102" i="31"/>
  <c r="G105" i="31"/>
  <c r="G110" i="31"/>
  <c r="G146" i="31"/>
  <c r="K21" i="6"/>
  <c r="N41" i="6"/>
  <c r="P41" i="6" s="1"/>
  <c r="N49" i="6"/>
  <c r="P49" i="6" s="1"/>
  <c r="N77" i="31" s="1"/>
  <c r="X77" i="31" s="1"/>
  <c r="E99" i="31"/>
  <c r="E120" i="31"/>
  <c r="E122" i="31" s="1"/>
  <c r="G119" i="31"/>
  <c r="E134" i="31"/>
  <c r="G139" i="31"/>
  <c r="G163" i="31"/>
  <c r="G171" i="31"/>
  <c r="K24" i="6"/>
  <c r="L24" i="6" s="1"/>
  <c r="N24" i="6" s="1"/>
  <c r="K46" i="6"/>
  <c r="L46" i="6" s="1"/>
  <c r="I61" i="6"/>
  <c r="G109" i="31"/>
  <c r="E185" i="31"/>
  <c r="F148" i="31"/>
  <c r="G147" i="31"/>
  <c r="F159" i="31"/>
  <c r="K25" i="6"/>
  <c r="L25" i="6" s="1"/>
  <c r="N25" i="6" s="1"/>
  <c r="L28" i="6"/>
  <c r="N28" i="6" s="1"/>
  <c r="K45" i="6"/>
  <c r="L45" i="6" s="1"/>
  <c r="K58" i="6"/>
  <c r="L58" i="6" s="1"/>
  <c r="U342" i="34"/>
  <c r="E17" i="33" s="1"/>
  <c r="Y115" i="31"/>
  <c r="E172" i="31"/>
  <c r="G162" i="31"/>
  <c r="F185" i="31"/>
  <c r="G182" i="31"/>
  <c r="L20" i="6"/>
  <c r="K43" i="6"/>
  <c r="L43" i="6" s="1"/>
  <c r="K59" i="6"/>
  <c r="L59" i="6" s="1"/>
  <c r="K29" i="6"/>
  <c r="L29" i="6" s="1"/>
  <c r="N29" i="6" s="1"/>
  <c r="K33" i="6"/>
  <c r="L33" i="6" s="1"/>
  <c r="N33" i="6" s="1"/>
  <c r="K48" i="6"/>
  <c r="L48" i="6" s="1"/>
  <c r="K54" i="6"/>
  <c r="L54" i="6" s="1"/>
  <c r="N70" i="6"/>
  <c r="O70" i="6" s="1"/>
  <c r="P70" i="6" s="1"/>
  <c r="G155" i="31"/>
  <c r="G169" i="31"/>
  <c r="H61" i="6"/>
  <c r="K53" i="6"/>
  <c r="L53" i="6" s="1"/>
  <c r="F75" i="18"/>
  <c r="K31" i="6"/>
  <c r="L31" i="6" s="1"/>
  <c r="N31" i="6" s="1"/>
  <c r="L34" i="6"/>
  <c r="N34" i="6" s="1"/>
  <c r="K51" i="6"/>
  <c r="L51" i="6" s="1"/>
  <c r="H23" i="36"/>
  <c r="H15" i="6"/>
  <c r="L39" i="6"/>
  <c r="L47" i="6"/>
  <c r="L55" i="6"/>
  <c r="G13" i="15"/>
  <c r="G15" i="15" s="1"/>
  <c r="M10" i="41"/>
  <c r="M15" i="41"/>
  <c r="X312" i="34"/>
  <c r="X316" i="34"/>
  <c r="K72" i="6"/>
  <c r="L72" i="6" s="1"/>
  <c r="K74" i="6"/>
  <c r="L74" i="6" s="1"/>
  <c r="K76" i="6"/>
  <c r="L76" i="6" s="1"/>
  <c r="K78" i="6"/>
  <c r="L78" i="6" s="1"/>
  <c r="K80" i="6"/>
  <c r="L80" i="6" s="1"/>
  <c r="K82" i="6"/>
  <c r="L82" i="6" s="1"/>
  <c r="K84" i="6"/>
  <c r="L84" i="6" s="1"/>
  <c r="F85" i="6"/>
  <c r="K71" i="6"/>
  <c r="K73" i="6"/>
  <c r="L73" i="6" s="1"/>
  <c r="K75" i="6"/>
  <c r="L75" i="6" s="1"/>
  <c r="K77" i="6"/>
  <c r="L77" i="6" s="1"/>
  <c r="K79" i="6"/>
  <c r="L79" i="6" s="1"/>
  <c r="K81" i="6"/>
  <c r="L81" i="6" s="1"/>
  <c r="K83" i="6"/>
  <c r="L83" i="6" s="1"/>
  <c r="H12" i="21" l="1"/>
  <c r="H21" i="21" s="1"/>
  <c r="J27" i="36" s="1"/>
  <c r="L28" i="36" s="1"/>
  <c r="W150" i="31"/>
  <c r="F27" i="31"/>
  <c r="F53" i="31" s="1"/>
  <c r="G17" i="31"/>
  <c r="D13" i="1" s="1"/>
  <c r="Y21" i="31"/>
  <c r="J14" i="1"/>
  <c r="P14" i="1" s="1"/>
  <c r="Y145" i="31"/>
  <c r="Y113" i="31"/>
  <c r="G185" i="31"/>
  <c r="C19" i="47"/>
  <c r="C20" i="47" s="1"/>
  <c r="S41" i="4" s="1"/>
  <c r="E16" i="47"/>
  <c r="T127" i="31" s="1"/>
  <c r="T134" i="31" s="1"/>
  <c r="C17" i="47"/>
  <c r="S39" i="4" s="1"/>
  <c r="X104" i="31"/>
  <c r="X106" i="31" s="1"/>
  <c r="L30" i="6"/>
  <c r="N30" i="6" s="1"/>
  <c r="P30" i="6" s="1"/>
  <c r="I15" i="6"/>
  <c r="Y78" i="31"/>
  <c r="V150" i="31"/>
  <c r="Y147" i="31"/>
  <c r="Y133" i="31"/>
  <c r="X342" i="34"/>
  <c r="L13" i="6"/>
  <c r="N13" i="6" s="1"/>
  <c r="P13" i="6" s="1"/>
  <c r="Q34" i="4"/>
  <c r="Q35" i="4" s="1"/>
  <c r="R142" i="31"/>
  <c r="R148" i="31" s="1"/>
  <c r="R149" i="31" s="1"/>
  <c r="R150" i="31" s="1"/>
  <c r="Y129" i="31"/>
  <c r="P27" i="6"/>
  <c r="Y70" i="31"/>
  <c r="E27" i="31"/>
  <c r="E53" i="31" s="1"/>
  <c r="J33" i="4"/>
  <c r="J34" i="4" s="1"/>
  <c r="J35" i="4" s="1"/>
  <c r="H28" i="4"/>
  <c r="AA28" i="4" s="1"/>
  <c r="G25" i="1" s="1"/>
  <c r="X96" i="31"/>
  <c r="L99" i="31"/>
  <c r="G148" i="31"/>
  <c r="D30" i="1" s="1"/>
  <c r="Y64" i="31"/>
  <c r="P26" i="6"/>
  <c r="N74" i="31" s="1"/>
  <c r="X74" i="31" s="1"/>
  <c r="Y74" i="31" s="1"/>
  <c r="O26" i="6"/>
  <c r="L21" i="6"/>
  <c r="N21" i="6" s="1"/>
  <c r="P21" i="6" s="1"/>
  <c r="N60" i="31" s="1"/>
  <c r="O53" i="31"/>
  <c r="P23" i="6"/>
  <c r="N63" i="31" s="1"/>
  <c r="X63" i="31" s="1"/>
  <c r="Y63" i="31" s="1"/>
  <c r="O23" i="6"/>
  <c r="N44" i="6"/>
  <c r="P44" i="6" s="1"/>
  <c r="N56" i="6"/>
  <c r="P56" i="6" s="1"/>
  <c r="Y105" i="31"/>
  <c r="I36" i="6"/>
  <c r="E84" i="31"/>
  <c r="E149" i="31" s="1"/>
  <c r="I30" i="31"/>
  <c r="I36" i="31" s="1"/>
  <c r="G22" i="4"/>
  <c r="K36" i="6"/>
  <c r="J15" i="46"/>
  <c r="L12" i="46"/>
  <c r="L15" i="46" s="1"/>
  <c r="Y77" i="31"/>
  <c r="G36" i="31"/>
  <c r="D19" i="1" s="1"/>
  <c r="N43" i="6"/>
  <c r="P43" i="6" s="1"/>
  <c r="N65" i="31" s="1"/>
  <c r="X65" i="31" s="1"/>
  <c r="Y65" i="31" s="1"/>
  <c r="O33" i="6"/>
  <c r="P33" i="6"/>
  <c r="N53" i="6"/>
  <c r="P53" i="6" s="1"/>
  <c r="N59" i="6"/>
  <c r="P59" i="6" s="1"/>
  <c r="N45" i="6"/>
  <c r="P45" i="6" s="1"/>
  <c r="N67" i="31" s="1"/>
  <c r="X67" i="31" s="1"/>
  <c r="Y67" i="31" s="1"/>
  <c r="O24" i="6"/>
  <c r="P24" i="6"/>
  <c r="N66" i="31" s="1"/>
  <c r="X66" i="31" s="1"/>
  <c r="Y66" i="31" s="1"/>
  <c r="N51" i="6"/>
  <c r="P51" i="6" s="1"/>
  <c r="N79" i="31" s="1"/>
  <c r="X79" i="31" s="1"/>
  <c r="Y79" i="31" s="1"/>
  <c r="O31" i="6"/>
  <c r="P31" i="6"/>
  <c r="O29" i="6"/>
  <c r="P29" i="6"/>
  <c r="N60" i="6"/>
  <c r="P60" i="6" s="1"/>
  <c r="N119" i="31" s="1"/>
  <c r="X119" i="31" s="1"/>
  <c r="Y119" i="31" s="1"/>
  <c r="Y91" i="31"/>
  <c r="G92" i="31"/>
  <c r="D23" i="1" s="1"/>
  <c r="G106" i="31"/>
  <c r="D25" i="1" s="1"/>
  <c r="N55" i="6"/>
  <c r="P55" i="6" s="1"/>
  <c r="N88" i="31" s="1"/>
  <c r="O57" i="6"/>
  <c r="O30" i="6"/>
  <c r="N20" i="6"/>
  <c r="N46" i="6"/>
  <c r="P46" i="6" s="1"/>
  <c r="G12" i="5"/>
  <c r="G18" i="5" s="1"/>
  <c r="G16" i="4"/>
  <c r="D29" i="1"/>
  <c r="Y146" i="31"/>
  <c r="F84" i="31"/>
  <c r="P111" i="31"/>
  <c r="O29" i="4"/>
  <c r="O33" i="4" s="1"/>
  <c r="O34" i="4" s="1"/>
  <c r="L61" i="6"/>
  <c r="N39" i="6"/>
  <c r="O25" i="6"/>
  <c r="P25" i="6"/>
  <c r="G120" i="31"/>
  <c r="G122" i="31" s="1"/>
  <c r="D26" i="1" s="1"/>
  <c r="Y118" i="31"/>
  <c r="G99" i="31"/>
  <c r="D24" i="1" s="1"/>
  <c r="J24" i="1" s="1"/>
  <c r="P24" i="1" s="1"/>
  <c r="Y95" i="31"/>
  <c r="O32" i="6"/>
  <c r="P32" i="6"/>
  <c r="E16" i="13"/>
  <c r="E12" i="13"/>
  <c r="N54" i="6"/>
  <c r="P54" i="6" s="1"/>
  <c r="N82" i="31" s="1"/>
  <c r="X82" i="31" s="1"/>
  <c r="Y82" i="31" s="1"/>
  <c r="N48" i="6"/>
  <c r="P48" i="6" s="1"/>
  <c r="K61" i="6"/>
  <c r="G172" i="31"/>
  <c r="N58" i="6"/>
  <c r="P58" i="6" s="1"/>
  <c r="N110" i="31" s="1"/>
  <c r="X110" i="31" s="1"/>
  <c r="Y110" i="31" s="1"/>
  <c r="O49" i="6"/>
  <c r="G159" i="31"/>
  <c r="E16" i="24" s="1"/>
  <c r="G71" i="31"/>
  <c r="W343" i="34"/>
  <c r="E20" i="33"/>
  <c r="E21" i="33" s="1"/>
  <c r="E23" i="33" s="1"/>
  <c r="E25" i="33" s="1"/>
  <c r="E42" i="33" s="1"/>
  <c r="E44" i="33" s="1"/>
  <c r="D18" i="32" s="1"/>
  <c r="Y97" i="31"/>
  <c r="G134" i="31"/>
  <c r="D27" i="1" s="1"/>
  <c r="G26" i="31"/>
  <c r="Y20" i="31"/>
  <c r="M16" i="41"/>
  <c r="N47" i="6"/>
  <c r="P47" i="6" s="1"/>
  <c r="N75" i="31" s="1"/>
  <c r="X75" i="31" s="1"/>
  <c r="Y75" i="31" s="1"/>
  <c r="O34" i="6"/>
  <c r="P34" i="6"/>
  <c r="J116" i="31"/>
  <c r="H29" i="4"/>
  <c r="O52" i="6"/>
  <c r="O40" i="6"/>
  <c r="O50" i="6"/>
  <c r="O28" i="6"/>
  <c r="P28" i="6"/>
  <c r="N80" i="31" s="1"/>
  <c r="X80" i="31" s="1"/>
  <c r="Y80" i="31" s="1"/>
  <c r="O42" i="6"/>
  <c r="Y102" i="31"/>
  <c r="O41" i="6"/>
  <c r="G83" i="31"/>
  <c r="Y22" i="31"/>
  <c r="Y62" i="31"/>
  <c r="D21" i="1"/>
  <c r="K85" i="6"/>
  <c r="N76" i="6"/>
  <c r="O76" i="6" s="1"/>
  <c r="P76" i="6" s="1"/>
  <c r="N79" i="6"/>
  <c r="O79" i="6" s="1"/>
  <c r="P79" i="6" s="1"/>
  <c r="N84" i="6"/>
  <c r="O84" i="6" s="1"/>
  <c r="P84" i="6" s="1"/>
  <c r="N81" i="6"/>
  <c r="O81" i="6" s="1"/>
  <c r="P81" i="6" s="1"/>
  <c r="N80" i="6"/>
  <c r="O80" i="6" s="1"/>
  <c r="P80" i="6" s="1"/>
  <c r="N73" i="6"/>
  <c r="O73" i="6" s="1"/>
  <c r="P73" i="6" s="1"/>
  <c r="N72" i="6"/>
  <c r="O72" i="6" s="1"/>
  <c r="P72" i="6" s="1"/>
  <c r="N83" i="6"/>
  <c r="O83" i="6" s="1"/>
  <c r="P83" i="6" s="1"/>
  <c r="N75" i="6"/>
  <c r="O75" i="6" s="1"/>
  <c r="P75" i="6" s="1"/>
  <c r="N82" i="6"/>
  <c r="O82" i="6" s="1"/>
  <c r="P82" i="6" s="1"/>
  <c r="N74" i="6"/>
  <c r="O74" i="6" s="1"/>
  <c r="P74" i="6" s="1"/>
  <c r="N77" i="6"/>
  <c r="O77" i="6" s="1"/>
  <c r="P77" i="6" s="1"/>
  <c r="N78" i="6"/>
  <c r="O78" i="6" s="1"/>
  <c r="P78" i="6" s="1"/>
  <c r="L71" i="6"/>
  <c r="O58" i="6" l="1"/>
  <c r="O44" i="6"/>
  <c r="C23" i="47"/>
  <c r="S30" i="4"/>
  <c r="S33" i="4" s="1"/>
  <c r="T142" i="31" s="1"/>
  <c r="T148" i="31" s="1"/>
  <c r="T149" i="31" s="1"/>
  <c r="T150" i="31" s="1"/>
  <c r="S43" i="4"/>
  <c r="E124" i="31"/>
  <c r="X344" i="34"/>
  <c r="G20" i="4"/>
  <c r="L142" i="31"/>
  <c r="L148" i="31" s="1"/>
  <c r="L149" i="31" s="1"/>
  <c r="L150" i="31" s="1"/>
  <c r="H34" i="4"/>
  <c r="Y104" i="31"/>
  <c r="Y106" i="31" s="1"/>
  <c r="J25" i="1"/>
  <c r="P25" i="1" s="1"/>
  <c r="N76" i="31"/>
  <c r="X76" i="31" s="1"/>
  <c r="Y76" i="31" s="1"/>
  <c r="J11" i="6"/>
  <c r="K11" i="6" s="1"/>
  <c r="O59" i="6"/>
  <c r="M28" i="36"/>
  <c r="I16" i="4" s="1"/>
  <c r="I19" i="4" s="1"/>
  <c r="I23" i="4" s="1"/>
  <c r="K52" i="31" s="1"/>
  <c r="N68" i="31"/>
  <c r="X68" i="31" s="1"/>
  <c r="Y68" i="31" s="1"/>
  <c r="O21" i="6"/>
  <c r="X99" i="31"/>
  <c r="Y96" i="31"/>
  <c r="Y99" i="31" s="1"/>
  <c r="O56" i="6"/>
  <c r="O46" i="6"/>
  <c r="O43" i="6"/>
  <c r="L36" i="6"/>
  <c r="L48" i="36"/>
  <c r="E150" i="31"/>
  <c r="E186" i="31" s="1"/>
  <c r="O13" i="6"/>
  <c r="O60" i="6"/>
  <c r="O51" i="6"/>
  <c r="Q60" i="31"/>
  <c r="Q71" i="31" s="1"/>
  <c r="Q84" i="31" s="1"/>
  <c r="P25" i="4"/>
  <c r="L17" i="46"/>
  <c r="L16" i="46"/>
  <c r="D19" i="32"/>
  <c r="D39" i="1"/>
  <c r="O139" i="31"/>
  <c r="N32" i="4"/>
  <c r="N61" i="6"/>
  <c r="P39" i="6"/>
  <c r="O20" i="6"/>
  <c r="P20" i="6"/>
  <c r="N36" i="6"/>
  <c r="X116" i="31"/>
  <c r="Y116" i="31" s="1"/>
  <c r="J120" i="31"/>
  <c r="J122" i="31" s="1"/>
  <c r="O54" i="6"/>
  <c r="O39" i="6"/>
  <c r="T16" i="4"/>
  <c r="G25" i="5"/>
  <c r="O47" i="6"/>
  <c r="D15" i="1"/>
  <c r="G27" i="31"/>
  <c r="G84" i="31"/>
  <c r="O48" i="6"/>
  <c r="N89" i="31"/>
  <c r="X89" i="31" s="1"/>
  <c r="Y89" i="31" s="1"/>
  <c r="O53" i="6"/>
  <c r="P120" i="31"/>
  <c r="P122" i="31" s="1"/>
  <c r="X111" i="31"/>
  <c r="Y111" i="31" s="1"/>
  <c r="G23" i="4"/>
  <c r="I52" i="31" s="1"/>
  <c r="I53" i="31" s="1"/>
  <c r="G19" i="4"/>
  <c r="X88" i="31"/>
  <c r="Y88" i="31" s="1"/>
  <c r="E20" i="13"/>
  <c r="E21" i="13" s="1"/>
  <c r="N38" i="4"/>
  <c r="F149" i="31"/>
  <c r="F150" i="31" s="1"/>
  <c r="F186" i="31" s="1"/>
  <c r="F124" i="31"/>
  <c r="O55" i="6"/>
  <c r="O45" i="6"/>
  <c r="R18" i="4"/>
  <c r="S24" i="31"/>
  <c r="P142" i="31"/>
  <c r="P148" i="31" s="1"/>
  <c r="N81" i="31"/>
  <c r="X81" i="31" s="1"/>
  <c r="Y81" i="31" s="1"/>
  <c r="N114" i="31"/>
  <c r="N71" i="6"/>
  <c r="N85" i="6" s="1"/>
  <c r="L85" i="6"/>
  <c r="S34" i="4" l="1"/>
  <c r="S35" i="4" s="1"/>
  <c r="J142" i="31"/>
  <c r="J148" i="31" s="1"/>
  <c r="J149" i="31" s="1"/>
  <c r="J150" i="31" s="1"/>
  <c r="N92" i="31"/>
  <c r="M26" i="4" s="1"/>
  <c r="M11" i="6"/>
  <c r="Y83" i="31"/>
  <c r="O36" i="6"/>
  <c r="L11" i="6"/>
  <c r="L15" i="6" s="1"/>
  <c r="K15" i="6"/>
  <c r="P29" i="4"/>
  <c r="Q114" i="31"/>
  <c r="Q120" i="31" s="1"/>
  <c r="Q122" i="31" s="1"/>
  <c r="L19" i="46"/>
  <c r="P32" i="4"/>
  <c r="Q139" i="31"/>
  <c r="E22" i="13"/>
  <c r="N41" i="4" s="1"/>
  <c r="AA41" i="4" s="1"/>
  <c r="G38" i="1" s="1"/>
  <c r="J38" i="1" s="1"/>
  <c r="P38" i="1" s="1"/>
  <c r="X60" i="31"/>
  <c r="Y60" i="31" s="1"/>
  <c r="O61" i="6"/>
  <c r="D16" i="1"/>
  <c r="H35" i="4"/>
  <c r="O35" i="4"/>
  <c r="S26" i="31"/>
  <c r="S27" i="31" s="1"/>
  <c r="X24" i="31"/>
  <c r="X83" i="31"/>
  <c r="G124" i="31"/>
  <c r="D22" i="1"/>
  <c r="D31" i="1" s="1"/>
  <c r="G149" i="31"/>
  <c r="X15" i="31"/>
  <c r="P36" i="6"/>
  <c r="N56" i="31"/>
  <c r="G53" i="31"/>
  <c r="C8" i="2"/>
  <c r="G26" i="4" s="1"/>
  <c r="G33" i="4" s="1"/>
  <c r="G34" i="4" s="1"/>
  <c r="P61" i="6"/>
  <c r="N61" i="31"/>
  <c r="F18" i="13"/>
  <c r="F23" i="13" s="1"/>
  <c r="E19" i="13"/>
  <c r="N39" i="4" s="1"/>
  <c r="AA39" i="4" s="1"/>
  <c r="G36" i="1" s="1"/>
  <c r="J36" i="1" s="1"/>
  <c r="P36" i="1" s="1"/>
  <c r="O127" i="31"/>
  <c r="P149" i="31"/>
  <c r="P150" i="31" s="1"/>
  <c r="N83" i="31"/>
  <c r="R19" i="4"/>
  <c r="AA18" i="4"/>
  <c r="AA38" i="4"/>
  <c r="T19" i="4"/>
  <c r="AA16" i="4"/>
  <c r="G13" i="1" s="1"/>
  <c r="J13" i="1" s="1"/>
  <c r="J39" i="1"/>
  <c r="P39" i="1" s="1"/>
  <c r="D40" i="1"/>
  <c r="O71" i="6"/>
  <c r="P33" i="4" l="1"/>
  <c r="P34" i="4" s="1"/>
  <c r="N11" i="6"/>
  <c r="O11" i="6" s="1"/>
  <c r="D32" i="1"/>
  <c r="D41" i="1" s="1"/>
  <c r="G150" i="31"/>
  <c r="G186" i="31" s="1"/>
  <c r="X114" i="31"/>
  <c r="Y114" i="31" s="1"/>
  <c r="I90" i="31"/>
  <c r="I92" i="31" s="1"/>
  <c r="G15" i="1"/>
  <c r="AA19" i="4"/>
  <c r="M24" i="4"/>
  <c r="X56" i="31"/>
  <c r="Y56" i="31" s="1"/>
  <c r="T26" i="4"/>
  <c r="U90" i="31" s="1"/>
  <c r="U92" i="31" s="1"/>
  <c r="T23" i="4"/>
  <c r="N43" i="4"/>
  <c r="X127" i="31"/>
  <c r="O134" i="31"/>
  <c r="X61" i="31"/>
  <c r="N71" i="31"/>
  <c r="N84" i="31" s="1"/>
  <c r="M25" i="4" s="1"/>
  <c r="AA25" i="4" s="1"/>
  <c r="G22" i="1" s="1"/>
  <c r="J22" i="1" s="1"/>
  <c r="P22" i="1" s="1"/>
  <c r="I142" i="31"/>
  <c r="I148" i="31" s="1"/>
  <c r="N30" i="4"/>
  <c r="AA30" i="4" s="1"/>
  <c r="G27" i="1" s="1"/>
  <c r="J27" i="1" s="1"/>
  <c r="P27" i="1" s="1"/>
  <c r="N26" i="4"/>
  <c r="C12" i="2"/>
  <c r="C16" i="2" s="1"/>
  <c r="C18" i="2" s="1"/>
  <c r="C20" i="2" s="1"/>
  <c r="C22" i="2" s="1"/>
  <c r="C25" i="2" s="1"/>
  <c r="D10" i="2"/>
  <c r="I26" i="4"/>
  <c r="Y24" i="31"/>
  <c r="Y26" i="31" s="1"/>
  <c r="X26" i="31"/>
  <c r="R23" i="4"/>
  <c r="R26" i="4"/>
  <c r="S90" i="31" s="1"/>
  <c r="S92" i="31" s="1"/>
  <c r="G35" i="1"/>
  <c r="AA43" i="4"/>
  <c r="Y15" i="31"/>
  <c r="Y17" i="31" s="1"/>
  <c r="X17" i="31"/>
  <c r="E25" i="13"/>
  <c r="O85" i="6"/>
  <c r="P71" i="6"/>
  <c r="P85" i="6" s="1"/>
  <c r="N109" i="31" s="1"/>
  <c r="T33" i="4" l="1"/>
  <c r="T34" i="4" s="1"/>
  <c r="R33" i="4"/>
  <c r="R34" i="4" s="1"/>
  <c r="Y27" i="31"/>
  <c r="P11" i="6"/>
  <c r="P15" i="6" s="1"/>
  <c r="P17" i="6" s="1"/>
  <c r="N15" i="6"/>
  <c r="N33" i="4"/>
  <c r="N34" i="4" s="1"/>
  <c r="AA24" i="4"/>
  <c r="G21" i="1" s="1"/>
  <c r="J21" i="1" s="1"/>
  <c r="P21" i="1" s="1"/>
  <c r="G35" i="4"/>
  <c r="G45" i="4" s="1"/>
  <c r="X27" i="31"/>
  <c r="Q142" i="31"/>
  <c r="Q148" i="31" s="1"/>
  <c r="Q149" i="31" s="1"/>
  <c r="Q150" i="31" s="1"/>
  <c r="V45" i="4"/>
  <c r="U45" i="4"/>
  <c r="D19" i="26"/>
  <c r="J45" i="4"/>
  <c r="Q45" i="4"/>
  <c r="W45" i="4"/>
  <c r="Y45" i="4"/>
  <c r="X45" i="4"/>
  <c r="S45" i="4"/>
  <c r="X134" i="31"/>
  <c r="Y127" i="31"/>
  <c r="Y134" i="31" s="1"/>
  <c r="H45" i="4"/>
  <c r="O90" i="31"/>
  <c r="O92" i="31" s="1"/>
  <c r="O45" i="4"/>
  <c r="I149" i="31"/>
  <c r="I150" i="31" s="1"/>
  <c r="AA26" i="4"/>
  <c r="G23" i="1" s="1"/>
  <c r="G40" i="1"/>
  <c r="J35" i="1"/>
  <c r="S52" i="31"/>
  <c r="AA23" i="4"/>
  <c r="G20" i="1" s="1"/>
  <c r="J20" i="1" s="1"/>
  <c r="K90" i="31"/>
  <c r="Y61" i="31"/>
  <c r="Y71" i="31" s="1"/>
  <c r="Y84" i="31" s="1"/>
  <c r="X71" i="31"/>
  <c r="X84" i="31" s="1"/>
  <c r="U52" i="31"/>
  <c r="U53" i="31" s="1"/>
  <c r="J15" i="1"/>
  <c r="G16" i="1"/>
  <c r="N120" i="31"/>
  <c r="N122" i="31" s="1"/>
  <c r="X109" i="31"/>
  <c r="U142" i="31" l="1"/>
  <c r="U148" i="31" s="1"/>
  <c r="U149" i="31" s="1"/>
  <c r="M32" i="4"/>
  <c r="AA32" i="4" s="1"/>
  <c r="G29" i="1" s="1"/>
  <c r="J29" i="1" s="1"/>
  <c r="P29" i="1" s="1"/>
  <c r="N139" i="31"/>
  <c r="X139" i="31" s="1"/>
  <c r="Y139" i="31" s="1"/>
  <c r="O142" i="31"/>
  <c r="O148" i="31" s="1"/>
  <c r="O149" i="31" s="1"/>
  <c r="O150" i="31" s="1"/>
  <c r="J23" i="1"/>
  <c r="P35" i="4"/>
  <c r="P45" i="4" s="1"/>
  <c r="R35" i="4"/>
  <c r="R45" i="4" s="1"/>
  <c r="S142" i="31"/>
  <c r="S148" i="31" s="1"/>
  <c r="S149" i="31" s="1"/>
  <c r="U150" i="31"/>
  <c r="K92" i="31"/>
  <c r="X90" i="31"/>
  <c r="J40" i="1"/>
  <c r="D11" i="26" s="1"/>
  <c r="D14" i="26" s="1"/>
  <c r="P35" i="1"/>
  <c r="P40" i="1" s="1"/>
  <c r="B16" i="24" s="1"/>
  <c r="D16" i="24" s="1"/>
  <c r="F16" i="24" s="1"/>
  <c r="H16" i="24" s="1"/>
  <c r="L33" i="4" s="1"/>
  <c r="P15" i="1"/>
  <c r="J16" i="1"/>
  <c r="X52" i="31"/>
  <c r="S53" i="31"/>
  <c r="Y109" i="31"/>
  <c r="Y120" i="31" s="1"/>
  <c r="Y122" i="31" s="1"/>
  <c r="X120" i="31"/>
  <c r="X122" i="31" s="1"/>
  <c r="M29" i="4"/>
  <c r="M33" i="4" l="1"/>
  <c r="M34" i="4" s="1"/>
  <c r="N35" i="4"/>
  <c r="N45" i="4" s="1"/>
  <c r="T35" i="4"/>
  <c r="T45" i="4" s="1"/>
  <c r="S150" i="31"/>
  <c r="L34" i="4"/>
  <c r="M142" i="31"/>
  <c r="M148" i="31" s="1"/>
  <c r="M149" i="31" s="1"/>
  <c r="M150" i="31" s="1"/>
  <c r="Y52" i="31"/>
  <c r="Y90" i="31"/>
  <c r="Y92" i="31" s="1"/>
  <c r="X92" i="31"/>
  <c r="D23" i="26"/>
  <c r="AA29" i="4"/>
  <c r="M35" i="4" l="1"/>
  <c r="M45" i="4" s="1"/>
  <c r="L35" i="4"/>
  <c r="L45" i="4" s="1"/>
  <c r="N142" i="31"/>
  <c r="G26" i="1"/>
  <c r="J26" i="1" l="1"/>
  <c r="N148" i="31"/>
  <c r="N149" i="31" s="1"/>
  <c r="N150" i="31" s="1"/>
  <c r="P26" i="1" l="1"/>
  <c r="M48" i="36" l="1"/>
  <c r="I22" i="4" s="1"/>
  <c r="AA22" i="4" l="1"/>
  <c r="G19" i="1" s="1"/>
  <c r="J19" i="1" s="1"/>
  <c r="I33" i="4"/>
  <c r="K30" i="31"/>
  <c r="I34" i="4" l="1"/>
  <c r="AA33" i="4"/>
  <c r="K142" i="31"/>
  <c r="K36" i="31"/>
  <c r="K53" i="31" s="1"/>
  <c r="X30" i="31"/>
  <c r="P19" i="1"/>
  <c r="I35" i="4" l="1"/>
  <c r="I45" i="4" s="1"/>
  <c r="AA34" i="4"/>
  <c r="AA35" i="4" s="1"/>
  <c r="AA45" i="4" s="1"/>
  <c r="K148" i="31"/>
  <c r="K149" i="31" s="1"/>
  <c r="K150" i="31" s="1"/>
  <c r="X142" i="31"/>
  <c r="G30" i="1"/>
  <c r="X36" i="31"/>
  <c r="Y30" i="31"/>
  <c r="Y36" i="31" s="1"/>
  <c r="Y53" i="31" s="1"/>
  <c r="X53" i="31" l="1"/>
  <c r="X148" i="31"/>
  <c r="Y142" i="31"/>
  <c r="Y148" i="31" s="1"/>
  <c r="Y149" i="31" s="1"/>
  <c r="Y150" i="31" s="1"/>
  <c r="J30" i="1"/>
  <c r="J31" i="1" s="1"/>
  <c r="J32" i="1" s="1"/>
  <c r="G31" i="1"/>
  <c r="G32" i="1" s="1"/>
  <c r="X149" i="31" l="1"/>
  <c r="X150" i="31" s="1"/>
  <c r="D15" i="26"/>
  <c r="D17" i="26" s="1"/>
  <c r="D21" i="26" s="1"/>
  <c r="M13" i="1" s="1"/>
  <c r="J41" i="1"/>
  <c r="D25" i="26" l="1"/>
  <c r="M16" i="1" l="1"/>
  <c r="P13" i="1"/>
  <c r="P16" i="1" s="1"/>
  <c r="M23" i="1" l="1"/>
  <c r="P23" i="1" s="1"/>
  <c r="M20" i="1"/>
  <c r="M30" i="1" l="1"/>
  <c r="P30" i="1" s="1"/>
  <c r="P20" i="1"/>
  <c r="P31" i="1" l="1"/>
  <c r="P32" i="1" s="1"/>
  <c r="P41" i="1" s="1"/>
  <c r="M31" i="1"/>
  <c r="M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s>
  <commentList>
    <comment ref="R10" authorId="0" shapeId="0" xr:uid="{00000000-0006-0000-0700-000001000000}">
      <text>
        <r>
          <rPr>
            <b/>
            <sz val="9"/>
            <color indexed="81"/>
            <rFont val="Tahoma"/>
            <family val="2"/>
          </rPr>
          <t>Cascade Natural Gas:</t>
        </r>
        <r>
          <rPr>
            <sz val="9"/>
            <color indexed="81"/>
            <rFont val="Tahoma"/>
            <family val="2"/>
          </rPr>
          <t xml:space="preserve">
Removed CRM Adjustment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Cascade Natural Gas</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D31" authorId="0" shapeId="0" xr:uid="{00000000-0006-0000-1900-000003000000}">
      <text>
        <r>
          <rPr>
            <b/>
            <sz val="9"/>
            <color indexed="81"/>
            <rFont val="Tahoma"/>
            <family val="2"/>
          </rPr>
          <t>Cascade Natural Gas:</t>
        </r>
        <r>
          <rPr>
            <sz val="9"/>
            <color indexed="81"/>
            <rFont val="Tahoma"/>
            <family val="2"/>
          </rPr>
          <t xml:space="preserve">
Financial services personnel (Depts. 604 &amp; 607) will receive 3.8% increase and are separated from 29030 account</t>
        </r>
      </text>
    </comment>
    <comment ref="D33" authorId="0" shapeId="0" xr:uid="{00000000-0006-0000-1900-000004000000}">
      <text>
        <r>
          <rPr>
            <b/>
            <sz val="9"/>
            <color indexed="81"/>
            <rFont val="Tahoma"/>
            <family val="2"/>
          </rPr>
          <t>Cascade Natural Gas:</t>
        </r>
        <r>
          <rPr>
            <sz val="9"/>
            <color indexed="81"/>
            <rFont val="Tahoma"/>
            <family val="2"/>
          </rPr>
          <t xml:space="preserve">
Financial services personnel (Depts. 604 &amp; 607) will receive 3.8% increase and are separated from 29200 account</t>
        </r>
      </text>
    </comment>
    <comment ref="C60" authorId="0" shapeId="0" xr:uid="{00000000-0006-0000-1900-000005000000}">
      <text>
        <r>
          <rPr>
            <b/>
            <sz val="9"/>
            <color indexed="81"/>
            <rFont val="Tahoma"/>
            <family val="2"/>
          </rPr>
          <t>Cascade Natural Gas:</t>
        </r>
        <r>
          <rPr>
            <sz val="9"/>
            <color indexed="81"/>
            <rFont val="Tahoma"/>
            <family val="2"/>
          </rPr>
          <t xml:space="preserve">
Codes to 29320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Roeun Lim </author>
    <author>Jennifer Lopez</author>
  </authors>
  <commentList>
    <comment ref="F32" authorId="0" shapeId="0" xr:uid="{00000000-0006-0000-2200-000001000000}">
      <text>
        <r>
          <rPr>
            <b/>
            <sz val="8"/>
            <color indexed="81"/>
            <rFont val="Tahoma"/>
            <family val="2"/>
          </rPr>
          <t>Roeun Lim :</t>
        </r>
        <r>
          <rPr>
            <sz val="8"/>
            <color indexed="81"/>
            <rFont val="Tahoma"/>
            <family val="2"/>
          </rPr>
          <t xml:space="preserve">
'Misc assets' on BS
</t>
        </r>
      </text>
    </comment>
    <comment ref="G32" authorId="0" shapeId="0" xr:uid="{00000000-0006-0000-2200-000002000000}">
      <text>
        <r>
          <rPr>
            <b/>
            <sz val="8"/>
            <color indexed="81"/>
            <rFont val="Tahoma"/>
            <family val="2"/>
          </rPr>
          <t>Roeun Lim :</t>
        </r>
        <r>
          <rPr>
            <sz val="8"/>
            <color indexed="81"/>
            <rFont val="Tahoma"/>
            <family val="2"/>
          </rPr>
          <t xml:space="preserve">
'Misc assets' on BS
</t>
        </r>
      </text>
    </comment>
    <comment ref="H32" authorId="0" shapeId="0" xr:uid="{00000000-0006-0000-2200-000003000000}">
      <text>
        <r>
          <rPr>
            <b/>
            <sz val="8"/>
            <color indexed="81"/>
            <rFont val="Tahoma"/>
            <family val="2"/>
          </rPr>
          <t>Roeun Lim :</t>
        </r>
        <r>
          <rPr>
            <sz val="8"/>
            <color indexed="81"/>
            <rFont val="Tahoma"/>
            <family val="2"/>
          </rPr>
          <t xml:space="preserve">
'Misc assets' on BS
</t>
        </r>
      </text>
    </comment>
    <comment ref="I32" authorId="0" shapeId="0" xr:uid="{00000000-0006-0000-2200-000004000000}">
      <text>
        <r>
          <rPr>
            <b/>
            <sz val="8"/>
            <color indexed="81"/>
            <rFont val="Tahoma"/>
            <family val="2"/>
          </rPr>
          <t>Roeun Lim :</t>
        </r>
        <r>
          <rPr>
            <sz val="8"/>
            <color indexed="81"/>
            <rFont val="Tahoma"/>
            <family val="2"/>
          </rPr>
          <t xml:space="preserve">
'Misc assets' on BS
</t>
        </r>
      </text>
    </comment>
    <comment ref="J32" authorId="0" shapeId="0" xr:uid="{00000000-0006-0000-2200-000005000000}">
      <text>
        <r>
          <rPr>
            <b/>
            <sz val="8"/>
            <color indexed="81"/>
            <rFont val="Tahoma"/>
            <family val="2"/>
          </rPr>
          <t>Roeun Lim :</t>
        </r>
        <r>
          <rPr>
            <sz val="8"/>
            <color indexed="81"/>
            <rFont val="Tahoma"/>
            <family val="2"/>
          </rPr>
          <t xml:space="preserve">
'Misc assets' on BS
</t>
        </r>
      </text>
    </comment>
    <comment ref="K32" authorId="0" shapeId="0" xr:uid="{00000000-0006-0000-2200-000006000000}">
      <text>
        <r>
          <rPr>
            <b/>
            <sz val="8"/>
            <color indexed="81"/>
            <rFont val="Tahoma"/>
            <family val="2"/>
          </rPr>
          <t>Roeun Lim :</t>
        </r>
        <r>
          <rPr>
            <sz val="8"/>
            <color indexed="81"/>
            <rFont val="Tahoma"/>
            <family val="2"/>
          </rPr>
          <t xml:space="preserve">
'Misc assets' on BS
</t>
        </r>
      </text>
    </comment>
    <comment ref="L32" authorId="0" shapeId="0" xr:uid="{00000000-0006-0000-2200-000007000000}">
      <text>
        <r>
          <rPr>
            <b/>
            <sz val="8"/>
            <color indexed="81"/>
            <rFont val="Tahoma"/>
            <family val="2"/>
          </rPr>
          <t>Roeun Lim :</t>
        </r>
        <r>
          <rPr>
            <sz val="8"/>
            <color indexed="81"/>
            <rFont val="Tahoma"/>
            <family val="2"/>
          </rPr>
          <t xml:space="preserve">
'Misc assets' on BS
</t>
        </r>
      </text>
    </comment>
    <comment ref="M32" authorId="0" shapeId="0" xr:uid="{00000000-0006-0000-2200-000008000000}">
      <text>
        <r>
          <rPr>
            <b/>
            <sz val="8"/>
            <color indexed="81"/>
            <rFont val="Tahoma"/>
            <family val="2"/>
          </rPr>
          <t>Roeun Lim :</t>
        </r>
        <r>
          <rPr>
            <sz val="8"/>
            <color indexed="81"/>
            <rFont val="Tahoma"/>
            <family val="2"/>
          </rPr>
          <t xml:space="preserve">
'Misc assets' on BS
</t>
        </r>
      </text>
    </comment>
    <comment ref="N32" authorId="0" shapeId="0" xr:uid="{00000000-0006-0000-2200-000009000000}">
      <text>
        <r>
          <rPr>
            <b/>
            <sz val="8"/>
            <color indexed="81"/>
            <rFont val="Tahoma"/>
            <family val="2"/>
          </rPr>
          <t>Roeun Lim :</t>
        </r>
        <r>
          <rPr>
            <sz val="8"/>
            <color indexed="81"/>
            <rFont val="Tahoma"/>
            <family val="2"/>
          </rPr>
          <t xml:space="preserve">
'Misc assets' on BS
</t>
        </r>
      </text>
    </comment>
    <comment ref="O32" authorId="0" shapeId="0" xr:uid="{00000000-0006-0000-2200-00000A000000}">
      <text>
        <r>
          <rPr>
            <b/>
            <sz val="8"/>
            <color indexed="81"/>
            <rFont val="Tahoma"/>
            <family val="2"/>
          </rPr>
          <t>Roeun Lim :</t>
        </r>
        <r>
          <rPr>
            <sz val="8"/>
            <color indexed="81"/>
            <rFont val="Tahoma"/>
            <family val="2"/>
          </rPr>
          <t xml:space="preserve">
'Misc assets' on BS
</t>
        </r>
      </text>
    </comment>
    <comment ref="P32" authorId="0" shapeId="0" xr:uid="{00000000-0006-0000-2200-00000B000000}">
      <text>
        <r>
          <rPr>
            <b/>
            <sz val="8"/>
            <color indexed="81"/>
            <rFont val="Tahoma"/>
            <family val="2"/>
          </rPr>
          <t>Roeun Lim :</t>
        </r>
        <r>
          <rPr>
            <sz val="8"/>
            <color indexed="81"/>
            <rFont val="Tahoma"/>
            <family val="2"/>
          </rPr>
          <t xml:space="preserve">
'Misc assets' on BS
</t>
        </r>
      </text>
    </comment>
    <comment ref="Q32" authorId="0" shapeId="0" xr:uid="{00000000-0006-0000-2200-00000C000000}">
      <text>
        <r>
          <rPr>
            <b/>
            <sz val="8"/>
            <color indexed="81"/>
            <rFont val="Tahoma"/>
            <family val="2"/>
          </rPr>
          <t>Roeun Lim :</t>
        </r>
        <r>
          <rPr>
            <sz val="8"/>
            <color indexed="81"/>
            <rFont val="Tahoma"/>
            <family val="2"/>
          </rPr>
          <t xml:space="preserve">
'Misc assets' on BS
</t>
        </r>
      </text>
    </comment>
    <comment ref="R32" authorId="0" shapeId="0" xr:uid="{00000000-0006-0000-2200-00000D000000}">
      <text>
        <r>
          <rPr>
            <b/>
            <sz val="8"/>
            <color indexed="81"/>
            <rFont val="Tahoma"/>
            <family val="2"/>
          </rPr>
          <t>Roeun Lim :</t>
        </r>
        <r>
          <rPr>
            <sz val="8"/>
            <color indexed="81"/>
            <rFont val="Tahoma"/>
            <family val="2"/>
          </rPr>
          <t xml:space="preserve">
'Misc assets' on BS
</t>
        </r>
      </text>
    </comment>
    <comment ref="D71" authorId="1" shapeId="0" xr:uid="{00000000-0006-0000-2200-00000E000000}">
      <text>
        <r>
          <rPr>
            <b/>
            <sz val="8"/>
            <color indexed="81"/>
            <rFont val="Tahoma"/>
            <family val="2"/>
          </rPr>
          <t>Jennifer Lopez:</t>
        </r>
        <r>
          <rPr>
            <sz val="8"/>
            <color indexed="81"/>
            <rFont val="Tahoma"/>
            <family val="2"/>
          </rPr>
          <t xml:space="preserve">
added 05/09</t>
        </r>
      </text>
    </comment>
    <comment ref="F92" authorId="0" shapeId="0" xr:uid="{00000000-0006-0000-2200-00000F000000}">
      <text>
        <r>
          <rPr>
            <b/>
            <sz val="8"/>
            <color indexed="81"/>
            <rFont val="Tahoma"/>
            <family val="2"/>
          </rPr>
          <t>Roeun Lim :</t>
        </r>
        <r>
          <rPr>
            <sz val="8"/>
            <color indexed="81"/>
            <rFont val="Tahoma"/>
            <family val="2"/>
          </rPr>
          <t xml:space="preserve">
Prepayments and other current assets on BS</t>
        </r>
      </text>
    </comment>
    <comment ref="G92" authorId="0" shapeId="0" xr:uid="{00000000-0006-0000-2200-000010000000}">
      <text>
        <r>
          <rPr>
            <b/>
            <sz val="8"/>
            <color indexed="81"/>
            <rFont val="Tahoma"/>
            <family val="2"/>
          </rPr>
          <t>Roeun Lim :</t>
        </r>
        <r>
          <rPr>
            <sz val="8"/>
            <color indexed="81"/>
            <rFont val="Tahoma"/>
            <family val="2"/>
          </rPr>
          <t xml:space="preserve">
Prepayments and other current assets on BS</t>
        </r>
      </text>
    </comment>
    <comment ref="H92" authorId="0" shapeId="0" xr:uid="{00000000-0006-0000-2200-000011000000}">
      <text>
        <r>
          <rPr>
            <b/>
            <sz val="8"/>
            <color indexed="81"/>
            <rFont val="Tahoma"/>
            <family val="2"/>
          </rPr>
          <t>Roeun Lim :</t>
        </r>
        <r>
          <rPr>
            <sz val="8"/>
            <color indexed="81"/>
            <rFont val="Tahoma"/>
            <family val="2"/>
          </rPr>
          <t xml:space="preserve">
Prepayments and other current assets on BS</t>
        </r>
      </text>
    </comment>
    <comment ref="I92" authorId="0" shapeId="0" xr:uid="{00000000-0006-0000-2200-000012000000}">
      <text>
        <r>
          <rPr>
            <b/>
            <sz val="8"/>
            <color indexed="81"/>
            <rFont val="Tahoma"/>
            <family val="2"/>
          </rPr>
          <t>Roeun Lim :</t>
        </r>
        <r>
          <rPr>
            <sz val="8"/>
            <color indexed="81"/>
            <rFont val="Tahoma"/>
            <family val="2"/>
          </rPr>
          <t xml:space="preserve">
Prepayments and other current assets on BS</t>
        </r>
      </text>
    </comment>
    <comment ref="J92" authorId="0" shapeId="0" xr:uid="{00000000-0006-0000-2200-000013000000}">
      <text>
        <r>
          <rPr>
            <b/>
            <sz val="8"/>
            <color indexed="81"/>
            <rFont val="Tahoma"/>
            <family val="2"/>
          </rPr>
          <t>Roeun Lim :</t>
        </r>
        <r>
          <rPr>
            <sz val="8"/>
            <color indexed="81"/>
            <rFont val="Tahoma"/>
            <family val="2"/>
          </rPr>
          <t xml:space="preserve">
Prepayments and other current assets on BS</t>
        </r>
      </text>
    </comment>
    <comment ref="K92" authorId="0" shapeId="0" xr:uid="{00000000-0006-0000-2200-000014000000}">
      <text>
        <r>
          <rPr>
            <b/>
            <sz val="8"/>
            <color indexed="81"/>
            <rFont val="Tahoma"/>
            <family val="2"/>
          </rPr>
          <t>Roeun Lim :</t>
        </r>
        <r>
          <rPr>
            <sz val="8"/>
            <color indexed="81"/>
            <rFont val="Tahoma"/>
            <family val="2"/>
          </rPr>
          <t xml:space="preserve">
Prepayments and other current assets on BS</t>
        </r>
      </text>
    </comment>
    <comment ref="L92" authorId="0" shapeId="0" xr:uid="{00000000-0006-0000-2200-000015000000}">
      <text>
        <r>
          <rPr>
            <b/>
            <sz val="8"/>
            <color indexed="81"/>
            <rFont val="Tahoma"/>
            <family val="2"/>
          </rPr>
          <t>Roeun Lim :</t>
        </r>
        <r>
          <rPr>
            <sz val="8"/>
            <color indexed="81"/>
            <rFont val="Tahoma"/>
            <family val="2"/>
          </rPr>
          <t xml:space="preserve">
Prepayments and other current assets on BS</t>
        </r>
      </text>
    </comment>
    <comment ref="M92" authorId="0" shapeId="0" xr:uid="{00000000-0006-0000-2200-000016000000}">
      <text>
        <r>
          <rPr>
            <b/>
            <sz val="8"/>
            <color indexed="81"/>
            <rFont val="Tahoma"/>
            <family val="2"/>
          </rPr>
          <t>Roeun Lim :</t>
        </r>
        <r>
          <rPr>
            <sz val="8"/>
            <color indexed="81"/>
            <rFont val="Tahoma"/>
            <family val="2"/>
          </rPr>
          <t xml:space="preserve">
Prepayments and other current assets on BS</t>
        </r>
      </text>
    </comment>
    <comment ref="N92" authorId="0" shapeId="0" xr:uid="{00000000-0006-0000-2200-000017000000}">
      <text>
        <r>
          <rPr>
            <b/>
            <sz val="8"/>
            <color indexed="81"/>
            <rFont val="Tahoma"/>
            <family val="2"/>
          </rPr>
          <t>Roeun Lim :</t>
        </r>
        <r>
          <rPr>
            <sz val="8"/>
            <color indexed="81"/>
            <rFont val="Tahoma"/>
            <family val="2"/>
          </rPr>
          <t xml:space="preserve">
Prepayments and other current assets on BS</t>
        </r>
      </text>
    </comment>
    <comment ref="O92" authorId="0" shapeId="0" xr:uid="{00000000-0006-0000-2200-000018000000}">
      <text>
        <r>
          <rPr>
            <b/>
            <sz val="8"/>
            <color indexed="81"/>
            <rFont val="Tahoma"/>
            <family val="2"/>
          </rPr>
          <t>Roeun Lim :</t>
        </r>
        <r>
          <rPr>
            <sz val="8"/>
            <color indexed="81"/>
            <rFont val="Tahoma"/>
            <family val="2"/>
          </rPr>
          <t xml:space="preserve">
Prepayments and other current assets on BS</t>
        </r>
      </text>
    </comment>
    <comment ref="P92" authorId="0" shapeId="0" xr:uid="{00000000-0006-0000-2200-000019000000}">
      <text>
        <r>
          <rPr>
            <b/>
            <sz val="8"/>
            <color indexed="81"/>
            <rFont val="Tahoma"/>
            <family val="2"/>
          </rPr>
          <t>Roeun Lim :</t>
        </r>
        <r>
          <rPr>
            <sz val="8"/>
            <color indexed="81"/>
            <rFont val="Tahoma"/>
            <family val="2"/>
          </rPr>
          <t xml:space="preserve">
Prepayments and other current assets on BS</t>
        </r>
      </text>
    </comment>
    <comment ref="Q92" authorId="0" shapeId="0" xr:uid="{00000000-0006-0000-2200-00001A000000}">
      <text>
        <r>
          <rPr>
            <b/>
            <sz val="8"/>
            <color indexed="81"/>
            <rFont val="Tahoma"/>
            <family val="2"/>
          </rPr>
          <t>Roeun Lim :</t>
        </r>
        <r>
          <rPr>
            <sz val="8"/>
            <color indexed="81"/>
            <rFont val="Tahoma"/>
            <family val="2"/>
          </rPr>
          <t xml:space="preserve">
Prepayments and other current assets on BS</t>
        </r>
      </text>
    </comment>
    <comment ref="R92" authorId="0" shapeId="0" xr:uid="{00000000-0006-0000-2200-00001B000000}">
      <text>
        <r>
          <rPr>
            <b/>
            <sz val="8"/>
            <color indexed="81"/>
            <rFont val="Tahoma"/>
            <family val="2"/>
          </rPr>
          <t>Roeun Lim :</t>
        </r>
        <r>
          <rPr>
            <sz val="8"/>
            <color indexed="81"/>
            <rFont val="Tahoma"/>
            <family val="2"/>
          </rPr>
          <t xml:space="preserve">
Prepayments and other current assets on BS</t>
        </r>
      </text>
    </comment>
    <comment ref="F198" authorId="0" shapeId="0" xr:uid="{00000000-0006-0000-2200-00001C000000}">
      <text>
        <r>
          <rPr>
            <b/>
            <sz val="8"/>
            <color indexed="81"/>
            <rFont val="Tahoma"/>
            <family val="2"/>
          </rPr>
          <t>Roeun Lim :</t>
        </r>
        <r>
          <rPr>
            <sz val="8"/>
            <color indexed="81"/>
            <rFont val="Tahoma"/>
            <family val="2"/>
          </rPr>
          <t xml:space="preserve">
"Other paid in capita"l on BS</t>
        </r>
      </text>
    </comment>
    <comment ref="D258" authorId="1" shapeId="0" xr:uid="{00000000-0006-0000-2200-00001D000000}">
      <text>
        <r>
          <rPr>
            <b/>
            <sz val="8"/>
            <color indexed="81"/>
            <rFont val="Tahoma"/>
            <family val="2"/>
          </rPr>
          <t>Jennifer Lopez:</t>
        </r>
        <r>
          <rPr>
            <sz val="8"/>
            <color indexed="81"/>
            <rFont val="Tahoma"/>
            <family val="2"/>
          </rPr>
          <t xml:space="preserve">
added 05/09</t>
        </r>
      </text>
    </comment>
    <comment ref="K261" authorId="0" shapeId="0" xr:uid="{00000000-0006-0000-2200-00001E000000}">
      <text>
        <r>
          <rPr>
            <b/>
            <sz val="8"/>
            <color indexed="81"/>
            <rFont val="Tahoma"/>
            <family val="2"/>
          </rPr>
          <t>Roeun Lim :</t>
        </r>
        <r>
          <rPr>
            <sz val="8"/>
            <color indexed="81"/>
            <rFont val="Tahoma"/>
            <family val="2"/>
          </rPr>
          <t xml:space="preserve">
"Dividends declared" on BS</t>
        </r>
      </text>
    </comment>
    <comment ref="L261" authorId="0" shapeId="0" xr:uid="{00000000-0006-0000-2200-00001F000000}">
      <text>
        <r>
          <rPr>
            <b/>
            <sz val="8"/>
            <color indexed="81"/>
            <rFont val="Tahoma"/>
            <family val="2"/>
          </rPr>
          <t>Roeun Lim :</t>
        </r>
        <r>
          <rPr>
            <sz val="8"/>
            <color indexed="81"/>
            <rFont val="Tahoma"/>
            <family val="2"/>
          </rPr>
          <t xml:space="preserve">
"Dividends declared" on BS</t>
        </r>
      </text>
    </comment>
    <comment ref="M261" authorId="0" shapeId="0" xr:uid="{00000000-0006-0000-2200-000020000000}">
      <text>
        <r>
          <rPr>
            <b/>
            <sz val="8"/>
            <color indexed="81"/>
            <rFont val="Tahoma"/>
            <family val="2"/>
          </rPr>
          <t>Roeun Lim :</t>
        </r>
        <r>
          <rPr>
            <sz val="8"/>
            <color indexed="81"/>
            <rFont val="Tahoma"/>
            <family val="2"/>
          </rPr>
          <t xml:space="preserve">
"Dividends declared" on BS</t>
        </r>
      </text>
    </comment>
    <comment ref="N261" authorId="0" shapeId="0" xr:uid="{00000000-0006-0000-2200-000021000000}">
      <text>
        <r>
          <rPr>
            <b/>
            <sz val="8"/>
            <color indexed="81"/>
            <rFont val="Tahoma"/>
            <family val="2"/>
          </rPr>
          <t>Roeun Lim :</t>
        </r>
        <r>
          <rPr>
            <sz val="8"/>
            <color indexed="81"/>
            <rFont val="Tahoma"/>
            <family val="2"/>
          </rPr>
          <t xml:space="preserve">
"Dividends declared" on BS</t>
        </r>
      </text>
    </comment>
    <comment ref="O261" authorId="0" shapeId="0" xr:uid="{00000000-0006-0000-2200-000022000000}">
      <text>
        <r>
          <rPr>
            <b/>
            <sz val="8"/>
            <color indexed="81"/>
            <rFont val="Tahoma"/>
            <family val="2"/>
          </rPr>
          <t>Roeun Lim :</t>
        </r>
        <r>
          <rPr>
            <sz val="8"/>
            <color indexed="81"/>
            <rFont val="Tahoma"/>
            <family val="2"/>
          </rPr>
          <t xml:space="preserve">
"Dividends declared" on BS</t>
        </r>
      </text>
    </comment>
    <comment ref="P261" authorId="0" shapeId="0" xr:uid="{00000000-0006-0000-2200-000023000000}">
      <text>
        <r>
          <rPr>
            <b/>
            <sz val="8"/>
            <color indexed="81"/>
            <rFont val="Tahoma"/>
            <family val="2"/>
          </rPr>
          <t>Roeun Lim :</t>
        </r>
        <r>
          <rPr>
            <sz val="8"/>
            <color indexed="81"/>
            <rFont val="Tahoma"/>
            <family val="2"/>
          </rPr>
          <t xml:space="preserve">
"Dividends declared" on BS</t>
        </r>
      </text>
    </comment>
    <comment ref="Q261" authorId="0" shapeId="0" xr:uid="{00000000-0006-0000-2200-000024000000}">
      <text>
        <r>
          <rPr>
            <b/>
            <sz val="8"/>
            <color indexed="81"/>
            <rFont val="Tahoma"/>
            <family val="2"/>
          </rPr>
          <t>Roeun Lim :</t>
        </r>
        <r>
          <rPr>
            <sz val="8"/>
            <color indexed="81"/>
            <rFont val="Tahoma"/>
            <family val="2"/>
          </rPr>
          <t xml:space="preserve">
"Dividends declared" on BS</t>
        </r>
      </text>
    </comment>
    <comment ref="R261" authorId="0" shapeId="0" xr:uid="{00000000-0006-0000-2200-000025000000}">
      <text>
        <r>
          <rPr>
            <b/>
            <sz val="8"/>
            <color indexed="81"/>
            <rFont val="Tahoma"/>
            <family val="2"/>
          </rPr>
          <t>Roeun Lim :</t>
        </r>
        <r>
          <rPr>
            <sz val="8"/>
            <color indexed="81"/>
            <rFont val="Tahoma"/>
            <family val="2"/>
          </rPr>
          <t xml:space="preserve">
"Dividends declared" on BS</t>
        </r>
      </text>
    </comment>
    <comment ref="J262" authorId="0" shapeId="0" xr:uid="{00000000-0006-0000-2200-000026000000}">
      <text>
        <r>
          <rPr>
            <b/>
            <sz val="8"/>
            <color indexed="81"/>
            <rFont val="Tahoma"/>
            <family val="2"/>
          </rPr>
          <t>Roeun Lim :</t>
        </r>
        <r>
          <rPr>
            <sz val="8"/>
            <color indexed="81"/>
            <rFont val="Tahoma"/>
            <family val="2"/>
          </rPr>
          <t xml:space="preserve">
"Dividends declared" on BS</t>
        </r>
      </text>
    </comment>
    <comment ref="K262" authorId="0" shapeId="0" xr:uid="{00000000-0006-0000-2200-000027000000}">
      <text>
        <r>
          <rPr>
            <b/>
            <sz val="8"/>
            <color indexed="81"/>
            <rFont val="Tahoma"/>
            <family val="2"/>
          </rPr>
          <t>Roeun Lim :</t>
        </r>
        <r>
          <rPr>
            <sz val="8"/>
            <color indexed="81"/>
            <rFont val="Tahoma"/>
            <family val="2"/>
          </rPr>
          <t xml:space="preserve">
"Consumer Deposit" on BS</t>
        </r>
      </text>
    </comment>
    <comment ref="L262" authorId="0" shapeId="0" xr:uid="{00000000-0006-0000-2200-000028000000}">
      <text>
        <r>
          <rPr>
            <b/>
            <sz val="8"/>
            <color indexed="81"/>
            <rFont val="Tahoma"/>
            <family val="2"/>
          </rPr>
          <t>Roeun Lim :</t>
        </r>
        <r>
          <rPr>
            <sz val="8"/>
            <color indexed="81"/>
            <rFont val="Tahoma"/>
            <family val="2"/>
          </rPr>
          <t xml:space="preserve">
"Consumer Deposit" on BS</t>
        </r>
      </text>
    </comment>
    <comment ref="M262" authorId="0" shapeId="0" xr:uid="{00000000-0006-0000-2200-000029000000}">
      <text>
        <r>
          <rPr>
            <b/>
            <sz val="8"/>
            <color indexed="81"/>
            <rFont val="Tahoma"/>
            <family val="2"/>
          </rPr>
          <t>Roeun Lim :</t>
        </r>
        <r>
          <rPr>
            <sz val="8"/>
            <color indexed="81"/>
            <rFont val="Tahoma"/>
            <family val="2"/>
          </rPr>
          <t xml:space="preserve">
"Consumer Deposit" on BS</t>
        </r>
      </text>
    </comment>
    <comment ref="N262" authorId="0" shapeId="0" xr:uid="{00000000-0006-0000-2200-00002A000000}">
      <text>
        <r>
          <rPr>
            <b/>
            <sz val="8"/>
            <color indexed="81"/>
            <rFont val="Tahoma"/>
            <family val="2"/>
          </rPr>
          <t>Roeun Lim :</t>
        </r>
        <r>
          <rPr>
            <sz val="8"/>
            <color indexed="81"/>
            <rFont val="Tahoma"/>
            <family val="2"/>
          </rPr>
          <t xml:space="preserve">
"Consumer Deposit" on BS</t>
        </r>
      </text>
    </comment>
    <comment ref="O262" authorId="0" shapeId="0" xr:uid="{00000000-0006-0000-2200-00002B000000}">
      <text>
        <r>
          <rPr>
            <b/>
            <sz val="8"/>
            <color indexed="81"/>
            <rFont val="Tahoma"/>
            <family val="2"/>
          </rPr>
          <t>Roeun Lim :</t>
        </r>
        <r>
          <rPr>
            <sz val="8"/>
            <color indexed="81"/>
            <rFont val="Tahoma"/>
            <family val="2"/>
          </rPr>
          <t xml:space="preserve">
"Consumer Deposit" on BS</t>
        </r>
      </text>
    </comment>
    <comment ref="P262" authorId="0" shapeId="0" xr:uid="{00000000-0006-0000-2200-00002C000000}">
      <text>
        <r>
          <rPr>
            <b/>
            <sz val="8"/>
            <color indexed="81"/>
            <rFont val="Tahoma"/>
            <family val="2"/>
          </rPr>
          <t>Roeun Lim :</t>
        </r>
        <r>
          <rPr>
            <sz val="8"/>
            <color indexed="81"/>
            <rFont val="Tahoma"/>
            <family val="2"/>
          </rPr>
          <t xml:space="preserve">
"Consumer Deposit" on BS</t>
        </r>
      </text>
    </comment>
    <comment ref="Q262" authorId="0" shapeId="0" xr:uid="{00000000-0006-0000-2200-00002D000000}">
      <text>
        <r>
          <rPr>
            <b/>
            <sz val="8"/>
            <color indexed="81"/>
            <rFont val="Tahoma"/>
            <family val="2"/>
          </rPr>
          <t>Roeun Lim :</t>
        </r>
        <r>
          <rPr>
            <sz val="8"/>
            <color indexed="81"/>
            <rFont val="Tahoma"/>
            <family val="2"/>
          </rPr>
          <t xml:space="preserve">
"Consumer Deposit" on BS</t>
        </r>
      </text>
    </comment>
    <comment ref="R262" authorId="0" shapeId="0" xr:uid="{00000000-0006-0000-2200-00002E000000}">
      <text>
        <r>
          <rPr>
            <b/>
            <sz val="8"/>
            <color indexed="81"/>
            <rFont val="Tahoma"/>
            <family val="2"/>
          </rPr>
          <t>Roeun Lim :</t>
        </r>
        <r>
          <rPr>
            <sz val="8"/>
            <color indexed="81"/>
            <rFont val="Tahoma"/>
            <family val="2"/>
          </rPr>
          <t xml:space="preserve">
"Consumer Deposit" on BS</t>
        </r>
      </text>
    </comment>
    <comment ref="G263" authorId="0" shapeId="0" xr:uid="{00000000-0006-0000-2200-00002F000000}">
      <text>
        <r>
          <rPr>
            <b/>
            <sz val="8"/>
            <color indexed="81"/>
            <rFont val="Tahoma"/>
            <family val="2"/>
          </rPr>
          <t>Roeun Lim :</t>
        </r>
        <r>
          <rPr>
            <sz val="8"/>
            <color indexed="81"/>
            <rFont val="Tahoma"/>
            <family val="2"/>
          </rPr>
          <t xml:space="preserve">
"Dividends declared" on BS</t>
        </r>
      </text>
    </comment>
    <comment ref="H263" authorId="0" shapeId="0" xr:uid="{00000000-0006-0000-2200-000030000000}">
      <text>
        <r>
          <rPr>
            <b/>
            <sz val="8"/>
            <color indexed="81"/>
            <rFont val="Tahoma"/>
            <family val="2"/>
          </rPr>
          <t>Roeun Lim :</t>
        </r>
        <r>
          <rPr>
            <sz val="8"/>
            <color indexed="81"/>
            <rFont val="Tahoma"/>
            <family val="2"/>
          </rPr>
          <t xml:space="preserve">
"Dividends declared" on BS</t>
        </r>
      </text>
    </comment>
    <comment ref="I263" authorId="0" shapeId="0" xr:uid="{00000000-0006-0000-2200-000031000000}">
      <text>
        <r>
          <rPr>
            <b/>
            <sz val="8"/>
            <color indexed="81"/>
            <rFont val="Tahoma"/>
            <family val="2"/>
          </rPr>
          <t>Roeun Lim :</t>
        </r>
        <r>
          <rPr>
            <sz val="8"/>
            <color indexed="81"/>
            <rFont val="Tahoma"/>
            <family val="2"/>
          </rPr>
          <t xml:space="preserve">
"Dividends declared" on BS</t>
        </r>
      </text>
    </comment>
    <comment ref="J263" authorId="0" shapeId="0" xr:uid="{00000000-0006-0000-2200-000032000000}">
      <text>
        <r>
          <rPr>
            <b/>
            <sz val="8"/>
            <color indexed="81"/>
            <rFont val="Tahoma"/>
            <family val="2"/>
          </rPr>
          <t>Roeun Lim :</t>
        </r>
        <r>
          <rPr>
            <sz val="8"/>
            <color indexed="81"/>
            <rFont val="Tahoma"/>
            <family val="2"/>
          </rPr>
          <t xml:space="preserve">
"Consumer Deposit" on BS</t>
        </r>
      </text>
    </comment>
    <comment ref="F265" authorId="0" shapeId="0" xr:uid="{00000000-0006-0000-2200-000033000000}">
      <text>
        <r>
          <rPr>
            <b/>
            <sz val="8"/>
            <color indexed="81"/>
            <rFont val="Tahoma"/>
            <family val="2"/>
          </rPr>
          <t>Roeun Lim :</t>
        </r>
        <r>
          <rPr>
            <sz val="8"/>
            <color indexed="81"/>
            <rFont val="Tahoma"/>
            <family val="2"/>
          </rPr>
          <t xml:space="preserve">
"Dividends declared" on BS</t>
        </r>
      </text>
    </comment>
    <comment ref="F266" authorId="0" shapeId="0" xr:uid="{00000000-0006-0000-2200-000034000000}">
      <text>
        <r>
          <rPr>
            <b/>
            <sz val="8"/>
            <color indexed="81"/>
            <rFont val="Tahoma"/>
            <family val="2"/>
          </rPr>
          <t>Roeun Lim :</t>
        </r>
        <r>
          <rPr>
            <sz val="8"/>
            <color indexed="81"/>
            <rFont val="Tahoma"/>
            <family val="2"/>
          </rPr>
          <t xml:space="preserve">
"Consumer Deposit" on BS</t>
        </r>
      </text>
    </comment>
    <comment ref="G266" authorId="0" shapeId="0" xr:uid="{00000000-0006-0000-2200-000035000000}">
      <text>
        <r>
          <rPr>
            <b/>
            <sz val="8"/>
            <color indexed="81"/>
            <rFont val="Tahoma"/>
            <family val="2"/>
          </rPr>
          <t>Roeun Lim :</t>
        </r>
        <r>
          <rPr>
            <sz val="8"/>
            <color indexed="81"/>
            <rFont val="Tahoma"/>
            <family val="2"/>
          </rPr>
          <t xml:space="preserve">
"Consumer Deposit" on BS</t>
        </r>
      </text>
    </comment>
    <comment ref="H266" authorId="0" shapeId="0" xr:uid="{00000000-0006-0000-2200-000036000000}">
      <text>
        <r>
          <rPr>
            <b/>
            <sz val="8"/>
            <color indexed="81"/>
            <rFont val="Tahoma"/>
            <family val="2"/>
          </rPr>
          <t>Roeun Lim :</t>
        </r>
        <r>
          <rPr>
            <sz val="8"/>
            <color indexed="81"/>
            <rFont val="Tahoma"/>
            <family val="2"/>
          </rPr>
          <t xml:space="preserve">
"Consumer Deposit" on BS</t>
        </r>
      </text>
    </comment>
    <comment ref="I266" authorId="0" shapeId="0" xr:uid="{00000000-0006-0000-2200-000037000000}">
      <text>
        <r>
          <rPr>
            <b/>
            <sz val="8"/>
            <color indexed="81"/>
            <rFont val="Tahoma"/>
            <family val="2"/>
          </rPr>
          <t>Roeun Lim :</t>
        </r>
        <r>
          <rPr>
            <sz val="8"/>
            <color indexed="81"/>
            <rFont val="Tahoma"/>
            <family val="2"/>
          </rPr>
          <t xml:space="preserve">
"Consumer Deposit" on BS</t>
        </r>
      </text>
    </comment>
    <comment ref="J266" authorId="0" shapeId="0" xr:uid="{00000000-0006-0000-2200-000038000000}">
      <text>
        <r>
          <rPr>
            <b/>
            <sz val="8"/>
            <color indexed="81"/>
            <rFont val="Tahoma"/>
            <family val="2"/>
          </rPr>
          <t>Roeun Lim :</t>
        </r>
        <r>
          <rPr>
            <sz val="8"/>
            <color indexed="81"/>
            <rFont val="Tahoma"/>
            <family val="2"/>
          </rPr>
          <t xml:space="preserve">
"Consumer Deposit" on BS</t>
        </r>
      </text>
    </comment>
    <comment ref="K266" authorId="0" shapeId="0" xr:uid="{00000000-0006-0000-2200-000039000000}">
      <text>
        <r>
          <rPr>
            <b/>
            <sz val="8"/>
            <color indexed="81"/>
            <rFont val="Tahoma"/>
            <family val="2"/>
          </rPr>
          <t>Roeun Lim :</t>
        </r>
        <r>
          <rPr>
            <sz val="8"/>
            <color indexed="81"/>
            <rFont val="Tahoma"/>
            <family val="2"/>
          </rPr>
          <t xml:space="preserve">
"Consumer Deposit" on BS</t>
        </r>
      </text>
    </comment>
    <comment ref="L266" authorId="0" shapeId="0" xr:uid="{00000000-0006-0000-2200-00003A000000}">
      <text>
        <r>
          <rPr>
            <b/>
            <sz val="8"/>
            <color indexed="81"/>
            <rFont val="Tahoma"/>
            <family val="2"/>
          </rPr>
          <t>Roeun Lim :</t>
        </r>
        <r>
          <rPr>
            <sz val="8"/>
            <color indexed="81"/>
            <rFont val="Tahoma"/>
            <family val="2"/>
          </rPr>
          <t xml:space="preserve">
"Consumer Deposit" on BS</t>
        </r>
      </text>
    </comment>
    <comment ref="M266" authorId="0" shapeId="0" xr:uid="{00000000-0006-0000-2200-00003B000000}">
      <text>
        <r>
          <rPr>
            <b/>
            <sz val="8"/>
            <color indexed="81"/>
            <rFont val="Tahoma"/>
            <family val="2"/>
          </rPr>
          <t>Roeun Lim :</t>
        </r>
        <r>
          <rPr>
            <sz val="8"/>
            <color indexed="81"/>
            <rFont val="Tahoma"/>
            <family val="2"/>
          </rPr>
          <t xml:space="preserve">
"Consumer Deposit" on BS</t>
        </r>
      </text>
    </comment>
    <comment ref="N266" authorId="0" shapeId="0" xr:uid="{00000000-0006-0000-2200-00003C000000}">
      <text>
        <r>
          <rPr>
            <b/>
            <sz val="8"/>
            <color indexed="81"/>
            <rFont val="Tahoma"/>
            <family val="2"/>
          </rPr>
          <t>Roeun Lim :</t>
        </r>
        <r>
          <rPr>
            <sz val="8"/>
            <color indexed="81"/>
            <rFont val="Tahoma"/>
            <family val="2"/>
          </rPr>
          <t xml:space="preserve">
"Consumer Deposit" on BS</t>
        </r>
      </text>
    </comment>
    <comment ref="O266" authorId="0" shapeId="0" xr:uid="{00000000-0006-0000-2200-00003D000000}">
      <text>
        <r>
          <rPr>
            <b/>
            <sz val="8"/>
            <color indexed="81"/>
            <rFont val="Tahoma"/>
            <family val="2"/>
          </rPr>
          <t>Roeun Lim :</t>
        </r>
        <r>
          <rPr>
            <sz val="8"/>
            <color indexed="81"/>
            <rFont val="Tahoma"/>
            <family val="2"/>
          </rPr>
          <t xml:space="preserve">
"Consumer Deposit" on BS</t>
        </r>
      </text>
    </comment>
    <comment ref="P266" authorId="0" shapeId="0" xr:uid="{00000000-0006-0000-2200-00003E000000}">
      <text>
        <r>
          <rPr>
            <b/>
            <sz val="8"/>
            <color indexed="81"/>
            <rFont val="Tahoma"/>
            <family val="2"/>
          </rPr>
          <t>Roeun Lim :</t>
        </r>
        <r>
          <rPr>
            <sz val="8"/>
            <color indexed="81"/>
            <rFont val="Tahoma"/>
            <family val="2"/>
          </rPr>
          <t xml:space="preserve">
"Consumer Deposit" on BS</t>
        </r>
      </text>
    </comment>
    <comment ref="Q266" authorId="0" shapeId="0" xr:uid="{00000000-0006-0000-2200-00003F000000}">
      <text>
        <r>
          <rPr>
            <b/>
            <sz val="8"/>
            <color indexed="81"/>
            <rFont val="Tahoma"/>
            <family val="2"/>
          </rPr>
          <t>Roeun Lim :</t>
        </r>
        <r>
          <rPr>
            <sz val="8"/>
            <color indexed="81"/>
            <rFont val="Tahoma"/>
            <family val="2"/>
          </rPr>
          <t xml:space="preserve">
"Consumer Deposit" on BS</t>
        </r>
      </text>
    </comment>
    <comment ref="R266" authorId="0" shapeId="0" xr:uid="{00000000-0006-0000-2200-000040000000}">
      <text>
        <r>
          <rPr>
            <b/>
            <sz val="8"/>
            <color indexed="81"/>
            <rFont val="Tahoma"/>
            <family val="2"/>
          </rPr>
          <t>Roeun Lim :</t>
        </r>
        <r>
          <rPr>
            <sz val="8"/>
            <color indexed="81"/>
            <rFont val="Tahoma"/>
            <family val="2"/>
          </rPr>
          <t xml:space="preserve">
"Consumer Deposit" on BS</t>
        </r>
      </text>
    </comment>
    <comment ref="S266" authorId="0" shapeId="0" xr:uid="{00000000-0006-0000-2200-000041000000}">
      <text>
        <r>
          <rPr>
            <b/>
            <sz val="8"/>
            <color indexed="81"/>
            <rFont val="Tahoma"/>
            <family val="2"/>
          </rPr>
          <t>Roeun Lim :</t>
        </r>
        <r>
          <rPr>
            <sz val="8"/>
            <color indexed="81"/>
            <rFont val="Tahoma"/>
            <family val="2"/>
          </rPr>
          <t xml:space="preserve">
"Consumer Deposit" on BS</t>
        </r>
      </text>
    </comment>
    <comment ref="K275" authorId="0" shapeId="0" xr:uid="{00000000-0006-0000-2200-000042000000}">
      <text>
        <r>
          <rPr>
            <b/>
            <sz val="8"/>
            <color indexed="81"/>
            <rFont val="Tahoma"/>
            <family val="2"/>
          </rPr>
          <t>Roeun Lim :</t>
        </r>
        <r>
          <rPr>
            <sz val="8"/>
            <color indexed="81"/>
            <rFont val="Tahoma"/>
            <family val="2"/>
          </rPr>
          <t xml:space="preserve">
"Natural gas cost recoverable thru rate adjustment" on BS
</t>
        </r>
      </text>
    </comment>
    <comment ref="L275" authorId="0" shapeId="0" xr:uid="{00000000-0006-0000-2200-000043000000}">
      <text>
        <r>
          <rPr>
            <b/>
            <sz val="8"/>
            <color indexed="81"/>
            <rFont val="Tahoma"/>
            <family val="2"/>
          </rPr>
          <t>Roeun Lim :</t>
        </r>
        <r>
          <rPr>
            <sz val="8"/>
            <color indexed="81"/>
            <rFont val="Tahoma"/>
            <family val="2"/>
          </rPr>
          <t xml:space="preserve">
"Natural gas cost recoverable thru rate adjustment" on BS
</t>
        </r>
      </text>
    </comment>
    <comment ref="M275" authorId="0" shapeId="0" xr:uid="{00000000-0006-0000-2200-000044000000}">
      <text>
        <r>
          <rPr>
            <b/>
            <sz val="8"/>
            <color indexed="81"/>
            <rFont val="Tahoma"/>
            <family val="2"/>
          </rPr>
          <t>Roeun Lim :</t>
        </r>
        <r>
          <rPr>
            <sz val="8"/>
            <color indexed="81"/>
            <rFont val="Tahoma"/>
            <family val="2"/>
          </rPr>
          <t xml:space="preserve">
"Natural gas cost recoverable thru rate adjustment" on BS
</t>
        </r>
      </text>
    </comment>
    <comment ref="N275" authorId="0" shapeId="0" xr:uid="{00000000-0006-0000-2200-000045000000}">
      <text>
        <r>
          <rPr>
            <b/>
            <sz val="8"/>
            <color indexed="81"/>
            <rFont val="Tahoma"/>
            <family val="2"/>
          </rPr>
          <t>Roeun Lim :</t>
        </r>
        <r>
          <rPr>
            <sz val="8"/>
            <color indexed="81"/>
            <rFont val="Tahoma"/>
            <family val="2"/>
          </rPr>
          <t xml:space="preserve">
"Natural gas cost recoverable thru rate adjustment" on BS
</t>
        </r>
      </text>
    </comment>
    <comment ref="O275" authorId="0" shapeId="0" xr:uid="{00000000-0006-0000-2200-000046000000}">
      <text>
        <r>
          <rPr>
            <b/>
            <sz val="8"/>
            <color indexed="81"/>
            <rFont val="Tahoma"/>
            <family val="2"/>
          </rPr>
          <t>Roeun Lim :</t>
        </r>
        <r>
          <rPr>
            <sz val="8"/>
            <color indexed="81"/>
            <rFont val="Tahoma"/>
            <family val="2"/>
          </rPr>
          <t xml:space="preserve">
"Natural gas cost recoverable thru rate adjustment" on BS
</t>
        </r>
      </text>
    </comment>
    <comment ref="P275" authorId="0" shapeId="0" xr:uid="{00000000-0006-0000-2200-000047000000}">
      <text>
        <r>
          <rPr>
            <b/>
            <sz val="8"/>
            <color indexed="81"/>
            <rFont val="Tahoma"/>
            <family val="2"/>
          </rPr>
          <t>Roeun Lim :</t>
        </r>
        <r>
          <rPr>
            <sz val="8"/>
            <color indexed="81"/>
            <rFont val="Tahoma"/>
            <family val="2"/>
          </rPr>
          <t xml:space="preserve">
"Natural gas cost recoverable thru rate adjustment" on BS
</t>
        </r>
      </text>
    </comment>
    <comment ref="Q275" authorId="0" shapeId="0" xr:uid="{00000000-0006-0000-2200-000048000000}">
      <text>
        <r>
          <rPr>
            <b/>
            <sz val="8"/>
            <color indexed="81"/>
            <rFont val="Tahoma"/>
            <family val="2"/>
          </rPr>
          <t>Roeun Lim :</t>
        </r>
        <r>
          <rPr>
            <sz val="8"/>
            <color indexed="81"/>
            <rFont val="Tahoma"/>
            <family val="2"/>
          </rPr>
          <t xml:space="preserve">
"Natural gas cost recoverable thru rate adjustment" on BS
</t>
        </r>
      </text>
    </comment>
    <comment ref="R275" authorId="0" shapeId="0" xr:uid="{00000000-0006-0000-2200-000049000000}">
      <text>
        <r>
          <rPr>
            <b/>
            <sz val="8"/>
            <color indexed="81"/>
            <rFont val="Tahoma"/>
            <family val="2"/>
          </rPr>
          <t>Roeun Lim :</t>
        </r>
        <r>
          <rPr>
            <sz val="8"/>
            <color indexed="81"/>
            <rFont val="Tahoma"/>
            <family val="2"/>
          </rPr>
          <t xml:space="preserve">
"Natural gas cost recoverable thru rate adjustment" on BS
</t>
        </r>
      </text>
    </comment>
    <comment ref="J276" authorId="0" shapeId="0" xr:uid="{00000000-0006-0000-2200-00004A000000}">
      <text>
        <r>
          <rPr>
            <b/>
            <sz val="8"/>
            <color indexed="81"/>
            <rFont val="Tahoma"/>
            <family val="2"/>
          </rPr>
          <t>Roeun Lim :</t>
        </r>
        <r>
          <rPr>
            <sz val="8"/>
            <color indexed="81"/>
            <rFont val="Tahoma"/>
            <family val="2"/>
          </rPr>
          <t xml:space="preserve">
"Natural gas cost recoverable thru rate adjustment" on BS
</t>
        </r>
      </text>
    </comment>
    <comment ref="G277" authorId="0" shapeId="0" xr:uid="{00000000-0006-0000-2200-00004B000000}">
      <text>
        <r>
          <rPr>
            <b/>
            <sz val="8"/>
            <color indexed="81"/>
            <rFont val="Tahoma"/>
            <family val="2"/>
          </rPr>
          <t>Roeun Lim :</t>
        </r>
        <r>
          <rPr>
            <sz val="8"/>
            <color indexed="81"/>
            <rFont val="Tahoma"/>
            <family val="2"/>
          </rPr>
          <t xml:space="preserve">
"Natural gas cost recoverable thru rate adjustment" on BS
</t>
        </r>
      </text>
    </comment>
    <comment ref="H277" authorId="0" shapeId="0" xr:uid="{00000000-0006-0000-2200-00004C000000}">
      <text>
        <r>
          <rPr>
            <b/>
            <sz val="8"/>
            <color indexed="81"/>
            <rFont val="Tahoma"/>
            <family val="2"/>
          </rPr>
          <t>Roeun Lim :</t>
        </r>
        <r>
          <rPr>
            <sz val="8"/>
            <color indexed="81"/>
            <rFont val="Tahoma"/>
            <family val="2"/>
          </rPr>
          <t xml:space="preserve">
"Natural gas cost recoverable thru rate adjustment" on BS
</t>
        </r>
      </text>
    </comment>
    <comment ref="I277" authorId="0" shapeId="0" xr:uid="{00000000-0006-0000-2200-00004D000000}">
      <text>
        <r>
          <rPr>
            <b/>
            <sz val="8"/>
            <color indexed="81"/>
            <rFont val="Tahoma"/>
            <family val="2"/>
          </rPr>
          <t>Roeun Lim :</t>
        </r>
        <r>
          <rPr>
            <sz val="8"/>
            <color indexed="81"/>
            <rFont val="Tahoma"/>
            <family val="2"/>
          </rPr>
          <t xml:space="preserve">
"Natural gas cost recoverable thru rate adjustment" on BS
</t>
        </r>
      </text>
    </comment>
    <comment ref="F279" authorId="0" shapeId="0" xr:uid="{00000000-0006-0000-2200-00004E00000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<sst xmlns="http://schemas.openxmlformats.org/spreadsheetml/2006/main" count="3943" uniqueCount="2168">
  <si>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</si>
  <si>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</si>
  <si>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</si>
  <si>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</si>
  <si>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</si>
  <si>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</si>
  <si>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</si>
  <si>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</si>
  <si>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</si>
  <si>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</si>
  <si>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</si>
  <si>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</si>
  <si>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</si>
  <si>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</si>
  <si>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</si>
  <si>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</si>
  <si>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</si>
  <si>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</si>
  <si>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</si>
  <si>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</si>
  <si>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</si>
  <si>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</si>
  <si>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</si>
  <si>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</si>
  <si>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</si>
  <si>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</si>
  <si>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</si>
  <si>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</si>
  <si>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Federal Income Tax @ 35%</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</si>
  <si>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</si>
  <si>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</si>
  <si>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</si>
  <si>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</si>
  <si>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</si>
  <si>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</si>
  <si>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</si>
  <si>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</si>
  <si>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</si>
  <si>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</si>
  <si>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</si>
  <si>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</si>
  <si>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</si>
  <si>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</si>
  <si>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</si>
  <si>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</si>
  <si>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</si>
  <si>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</si>
  <si>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</si>
  <si>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</si>
  <si>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</si>
  <si>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</si>
  <si>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</si>
  <si>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</si>
  <si>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</si>
  <si>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</si>
  <si>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</si>
  <si>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</si>
  <si>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</si>
  <si>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</si>
  <si>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</si>
  <si>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</si>
  <si>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</si>
  <si>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</si>
  <si>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</si>
  <si>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</si>
  <si>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</si>
  <si>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</si>
  <si>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</si>
  <si>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</si>
  <si>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</si>
  <si>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</si>
  <si>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</si>
  <si>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</si>
  <si>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</si>
  <si>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</si>
  <si>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</si>
  <si>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</si>
  <si>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</si>
  <si>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</si>
  <si>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</si>
  <si>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</si>
  <si>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</si>
  <si>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</si>
  <si>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</si>
  <si>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</si>
  <si>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</si>
  <si>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</si>
  <si>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</si>
  <si>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</si>
  <si>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</si>
  <si>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</si>
  <si>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</si>
  <si>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</si>
  <si>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</si>
  <si>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</si>
  <si>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</si>
  <si>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</si>
  <si>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</si>
  <si>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</si>
  <si>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</si>
  <si>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</si>
  <si>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</si>
  <si>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</si>
  <si>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</si>
  <si>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</si>
  <si>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</si>
  <si>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</si>
  <si>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</si>
  <si>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</si>
  <si>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</si>
  <si>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</si>
  <si>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</si>
  <si>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</si>
  <si>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</si>
  <si>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</si>
  <si>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</si>
  <si>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</si>
  <si>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</si>
  <si>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</si>
  <si>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</si>
  <si>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</si>
  <si>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</si>
  <si>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</si>
  <si>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</si>
  <si>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</si>
  <si>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</si>
  <si>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</si>
  <si>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</si>
  <si>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</si>
  <si>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</si>
  <si>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</si>
  <si>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</si>
  <si>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</si>
  <si>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</si>
  <si>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</si>
  <si>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</si>
  <si>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</si>
  <si>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</si>
  <si>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</si>
  <si>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</si>
  <si>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</si>
  <si>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</si>
  <si>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</si>
  <si>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</si>
  <si>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</si>
  <si>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</si>
  <si>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</si>
  <si>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</si>
  <si>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</si>
  <si>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</si>
  <si>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</si>
  <si>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</si>
  <si>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</si>
  <si>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</si>
  <si>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</si>
  <si>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</si>
  <si>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</si>
  <si>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</si>
  <si>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</si>
  <si>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</si>
  <si>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</si>
  <si>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</si>
  <si>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</si>
  <si>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</si>
  <si>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</si>
  <si>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</si>
  <si>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</si>
  <si>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</si>
  <si>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</si>
  <si>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</si>
  <si>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</si>
  <si>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</si>
  <si>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</si>
  <si>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</si>
  <si>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</si>
  <si>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</si>
  <si>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</si>
  <si>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</si>
  <si>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</si>
  <si>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</si>
  <si>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</si>
  <si>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</si>
  <si>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</si>
  <si>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</si>
  <si>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</si>
  <si>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</si>
  <si>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</si>
  <si>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</si>
  <si>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</si>
  <si>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</si>
  <si>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</si>
  <si>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</si>
  <si>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</si>
  <si>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</si>
  <si>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</si>
  <si>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</si>
  <si>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</si>
  <si>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</si>
  <si>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</si>
  <si>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</si>
  <si>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</si>
  <si>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</si>
  <si>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</si>
  <si>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</si>
  <si>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</si>
  <si>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</si>
  <si>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</si>
  <si>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</si>
  <si>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</si>
  <si>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</si>
  <si>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</si>
  <si>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</si>
  <si>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</si>
  <si>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</si>
  <si>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</si>
  <si>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</si>
  <si>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</si>
  <si>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</si>
  <si>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</si>
  <si>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</si>
  <si>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</si>
  <si>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</si>
  <si>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</si>
  <si>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</si>
  <si>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</si>
  <si>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</si>
  <si>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</si>
  <si>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</si>
  <si>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</si>
  <si>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</si>
  <si>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</si>
  <si>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</si>
  <si>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</si>
  <si>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</si>
  <si>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</si>
  <si>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</si>
  <si>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</si>
  <si>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</si>
  <si>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</si>
  <si>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</si>
  <si>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</si>
  <si>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</si>
  <si>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</si>
  <si>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</si>
  <si>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</si>
  <si>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</si>
  <si>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</si>
  <si>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</si>
  <si>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</si>
  <si>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</si>
  <si>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</si>
  <si>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</si>
  <si>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</si>
  <si>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</si>
  <si>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</si>
  <si>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</si>
  <si>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</si>
  <si>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</si>
  <si>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</si>
  <si>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</si>
  <si>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</si>
  <si>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</si>
  <si>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</si>
  <si>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</si>
  <si>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</si>
  <si>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</si>
  <si>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</si>
  <si>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</si>
  <si>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</si>
  <si>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</si>
  <si>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</si>
  <si>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</si>
  <si>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</si>
  <si>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</si>
  <si>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</si>
  <si>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</si>
  <si>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</si>
  <si>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</si>
  <si>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</si>
  <si>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</si>
  <si>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</si>
  <si>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</si>
  <si>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</si>
  <si>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</si>
  <si>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</si>
  <si>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</si>
  <si>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</si>
  <si>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</si>
  <si>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</si>
  <si>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</si>
  <si>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</si>
  <si>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</si>
  <si>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</si>
  <si>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</si>
  <si>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</si>
  <si>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</si>
  <si>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</si>
  <si>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</si>
  <si>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</si>
  <si>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</si>
  <si>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</si>
  <si>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</si>
  <si>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</si>
  <si>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</si>
  <si>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</si>
  <si>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</si>
  <si>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</si>
  <si>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</si>
  <si>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</si>
  <si>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</si>
  <si>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</si>
  <si>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</si>
  <si>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</si>
  <si>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</si>
  <si>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</si>
  <si>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</si>
  <si>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</si>
  <si>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</si>
  <si>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</si>
  <si>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</si>
  <si>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</si>
  <si>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</si>
  <si>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</si>
  <si>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</si>
  <si>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</si>
  <si>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</si>
  <si>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</si>
  <si>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</si>
  <si>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</si>
  <si>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</si>
  <si>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</si>
  <si>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</si>
  <si>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</si>
  <si>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</si>
  <si>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</si>
  <si>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</si>
  <si>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</si>
  <si>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</si>
  <si>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</si>
  <si>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</si>
  <si>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</si>
  <si>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</si>
  <si>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</si>
  <si>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</si>
  <si>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</si>
  <si>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</si>
  <si>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</si>
  <si>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</si>
  <si>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</si>
  <si>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</si>
  <si>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</si>
  <si>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</si>
  <si>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</si>
  <si>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</si>
  <si>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</si>
  <si>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</si>
  <si>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</si>
  <si>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</si>
  <si>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</si>
  <si>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</si>
  <si>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</si>
  <si>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</si>
  <si>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</si>
  <si>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</si>
  <si>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</si>
  <si>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</si>
  <si>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</si>
  <si>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</si>
  <si>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</si>
  <si>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</si>
  <si>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</si>
  <si>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</si>
  <si>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</si>
  <si>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</si>
  <si>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</si>
  <si>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Customer Advances for construction</t>
  </si>
  <si>
    <t>Customer Advances for Construction</t>
  </si>
  <si>
    <t>AMA</t>
  </si>
  <si>
    <t>Twelve Months</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</si>
  <si>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</si>
  <si>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</si>
  <si>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</si>
  <si>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</si>
  <si>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</si>
  <si>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</si>
  <si>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</si>
  <si>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</si>
  <si>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</si>
  <si>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</si>
  <si>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</si>
  <si>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</si>
  <si>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</si>
  <si>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</si>
  <si>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</si>
  <si>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</si>
  <si>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Ledger Type</t>
  </si>
  <si>
    <t>Year</t>
  </si>
  <si>
    <t>Format</t>
  </si>
  <si>
    <t>Period</t>
  </si>
  <si>
    <t>Currency</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</si>
  <si>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</si>
  <si>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</si>
  <si>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</si>
  <si>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</si>
  <si>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</si>
  <si>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</si>
  <si>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</si>
  <si>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</si>
  <si>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</si>
  <si>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</si>
  <si>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</si>
  <si>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</si>
  <si>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</si>
  <si>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</si>
  <si>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</si>
  <si>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</si>
  <si>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</si>
  <si>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</si>
  <si>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</si>
  <si>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</si>
  <si>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</si>
  <si>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</si>
  <si>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</si>
  <si>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</si>
  <si>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</si>
  <si>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</si>
  <si>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</si>
  <si>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</si>
  <si>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</si>
  <si>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</si>
  <si>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</si>
  <si>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</si>
  <si>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</si>
  <si>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</si>
  <si>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</si>
  <si>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</si>
  <si>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</si>
  <si>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</si>
  <si>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</si>
  <si>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</si>
  <si>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</si>
  <si>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</si>
  <si>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</si>
  <si>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</si>
  <si>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</si>
  <si>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</si>
  <si>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</si>
  <si>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</si>
  <si>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</si>
  <si>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</si>
  <si>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</si>
  <si>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</si>
  <si>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</si>
  <si>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</si>
  <si>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</si>
  <si>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</si>
  <si>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</si>
  <si>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</si>
  <si>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</si>
  <si>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</si>
  <si>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</si>
  <si>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</si>
  <si>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</si>
  <si>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</si>
  <si>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</si>
  <si>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</si>
  <si>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</si>
  <si>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</si>
  <si>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</si>
  <si>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</si>
  <si>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</si>
  <si>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</si>
  <si>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</si>
  <si>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</si>
  <si>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</si>
  <si>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</si>
  <si>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</si>
  <si>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</si>
  <si>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</si>
  <si>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</si>
  <si>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</si>
  <si>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</si>
  <si>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</si>
  <si>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</si>
  <si>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</si>
  <si>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</si>
  <si>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</si>
  <si>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</si>
  <si>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</si>
  <si>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</si>
  <si>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</si>
  <si>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</si>
  <si>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</si>
  <si>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</si>
  <si>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</si>
  <si>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</si>
  <si>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</si>
  <si>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</si>
  <si>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</si>
  <si>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</si>
  <si>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</si>
  <si>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</si>
  <si>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</si>
  <si>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</si>
  <si>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</si>
  <si>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</si>
  <si>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</si>
  <si>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</si>
  <si>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</si>
  <si>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</si>
  <si>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</si>
  <si>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</si>
  <si>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</si>
  <si>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</si>
  <si>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</si>
  <si>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</si>
  <si>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</si>
  <si>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</si>
  <si>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</si>
  <si>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</si>
  <si>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</si>
  <si>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</si>
  <si>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</si>
  <si>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</si>
  <si>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</si>
  <si>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</si>
  <si>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</si>
  <si>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</si>
  <si>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</si>
  <si>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</si>
  <si>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</si>
  <si>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</si>
  <si>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</si>
  <si>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</si>
  <si>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</si>
  <si>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</si>
  <si>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</si>
  <si>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</si>
  <si>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</si>
  <si>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</si>
  <si>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</si>
  <si>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</si>
  <si>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</si>
  <si>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</si>
  <si>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</si>
  <si>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</si>
  <si>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</si>
  <si>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</si>
  <si>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</si>
  <si>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</si>
  <si>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</si>
  <si>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</si>
  <si>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</si>
  <si>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</si>
  <si>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</si>
  <si>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</si>
  <si>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</si>
  <si>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</si>
  <si>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</si>
  <si>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</si>
  <si>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</si>
  <si>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</si>
  <si>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</si>
  <si>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</si>
  <si>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</si>
  <si>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</si>
  <si>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</si>
  <si>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</si>
  <si>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</si>
  <si>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</si>
  <si>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</si>
  <si>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</si>
  <si>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</si>
  <si>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</si>
  <si>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</si>
  <si>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</si>
  <si>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</si>
  <si>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</si>
  <si>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</si>
  <si>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</si>
  <si>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</si>
  <si>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</si>
  <si>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</si>
  <si>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</si>
  <si>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</si>
  <si>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</si>
  <si>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</si>
  <si>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</si>
  <si>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</si>
  <si>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</si>
  <si>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</si>
  <si>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</si>
  <si>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</si>
  <si>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</si>
  <si>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</si>
  <si>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</si>
  <si>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</si>
  <si>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</si>
  <si>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</si>
  <si>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</si>
  <si>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</si>
  <si>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</si>
  <si>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</si>
  <si>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</si>
  <si>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</si>
  <si>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</si>
  <si>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</si>
  <si>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</si>
  <si>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</si>
  <si>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</si>
  <si>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</si>
  <si>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</si>
  <si>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</si>
  <si>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</si>
  <si>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</si>
  <si>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</si>
  <si>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</si>
  <si>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</si>
  <si>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</si>
  <si>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</si>
  <si>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</si>
  <si>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</si>
  <si>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</si>
  <si>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</si>
  <si>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</si>
  <si>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</si>
  <si>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</si>
  <si>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</si>
  <si>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</si>
  <si>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</si>
  <si>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</si>
  <si>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</si>
  <si>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</si>
  <si>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</si>
  <si>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</si>
  <si>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</si>
  <si>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</si>
  <si>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</si>
  <si>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</si>
  <si>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</si>
  <si>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</si>
  <si>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</si>
  <si>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</si>
  <si>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</si>
  <si>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</si>
  <si>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</si>
  <si>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</si>
  <si>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</si>
  <si>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</si>
  <si>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</si>
  <si>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</si>
  <si>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</si>
  <si>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</si>
  <si>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</si>
  <si>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</si>
  <si>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</si>
  <si>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</si>
  <si>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</si>
  <si>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</si>
  <si>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</si>
  <si>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</si>
  <si>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</si>
  <si>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</si>
  <si>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</si>
  <si>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</si>
  <si>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</si>
  <si>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</si>
  <si>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</si>
  <si>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</si>
  <si>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</si>
  <si>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</si>
  <si>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</si>
  <si>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</si>
  <si>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</si>
  <si>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</si>
  <si>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</si>
  <si>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</si>
  <si>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</si>
  <si>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</si>
  <si>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</si>
  <si>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</si>
  <si>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</si>
  <si>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</si>
  <si>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</si>
  <si>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</si>
  <si>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</si>
  <si>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</si>
  <si>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</si>
  <si>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</si>
  <si>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</si>
  <si>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</si>
  <si>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</si>
  <si>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</si>
  <si>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</si>
  <si>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</si>
  <si>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</si>
  <si>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</si>
  <si>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</si>
  <si>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</si>
  <si>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</si>
  <si>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</si>
  <si>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</si>
  <si>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</si>
  <si>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</si>
  <si>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</si>
  <si>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</si>
  <si>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</si>
  <si>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</si>
  <si>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</si>
  <si>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</si>
  <si>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</si>
  <si>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</si>
  <si>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</si>
  <si>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</si>
  <si>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</si>
  <si>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</si>
  <si>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</si>
  <si>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</si>
  <si>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</si>
  <si>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</si>
  <si>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</si>
  <si>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</si>
  <si>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</si>
  <si>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</si>
  <si>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</si>
  <si>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</si>
  <si>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</si>
  <si>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</si>
  <si>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</si>
  <si>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</si>
  <si>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</si>
  <si>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</si>
  <si>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</si>
  <si>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</si>
  <si>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</si>
  <si>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</si>
  <si>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</si>
  <si>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</si>
  <si>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</si>
  <si>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</si>
  <si>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</si>
  <si>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</si>
  <si>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</si>
  <si>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</si>
  <si>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</si>
  <si>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</si>
  <si>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</si>
  <si>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</si>
  <si>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</si>
  <si>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</si>
  <si>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</si>
  <si>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</si>
  <si>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</si>
  <si>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</si>
  <si>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</si>
  <si>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</si>
  <si>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</si>
  <si>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</si>
  <si>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</si>
  <si>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</si>
  <si>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</si>
  <si>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</si>
  <si>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</si>
  <si>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</si>
  <si>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</si>
  <si>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</si>
  <si>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</si>
  <si>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</si>
  <si>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</si>
  <si>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</si>
  <si>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</si>
  <si>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</si>
  <si>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</si>
  <si>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</si>
  <si>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</si>
  <si>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</si>
  <si>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</si>
  <si>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</si>
  <si>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</si>
  <si>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</si>
  <si>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</si>
  <si>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</si>
  <si>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</si>
  <si>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</si>
  <si>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</si>
  <si>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</si>
  <si>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</si>
  <si>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</si>
  <si>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</si>
  <si>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</si>
  <si>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</si>
  <si>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</si>
  <si>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</si>
  <si>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</si>
  <si>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</si>
  <si>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</si>
  <si>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</si>
  <si>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</si>
  <si>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</si>
  <si>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</si>
  <si>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</si>
  <si>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</si>
  <si>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</si>
  <si>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</si>
  <si>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</si>
  <si>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</si>
  <si>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</si>
  <si>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</si>
  <si>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</si>
  <si>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</si>
  <si>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</si>
  <si>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</si>
  <si>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</si>
  <si>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</si>
  <si>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</si>
  <si>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</si>
  <si>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</si>
  <si>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</si>
  <si>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</si>
  <si>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</si>
  <si>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</si>
  <si>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</si>
  <si>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</si>
  <si>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</si>
  <si>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</si>
  <si>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</si>
  <si>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</si>
  <si>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</si>
  <si>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</si>
  <si>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</si>
  <si>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</si>
  <si>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</si>
  <si>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</si>
  <si>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</si>
  <si>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</si>
  <si>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</si>
  <si>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</si>
  <si>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</si>
  <si>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</si>
  <si>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</si>
  <si>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</si>
  <si>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</si>
  <si>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</si>
  <si>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</si>
  <si>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</si>
  <si>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</si>
  <si>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</si>
  <si>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</si>
  <si>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</si>
  <si>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</si>
  <si>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</si>
  <si>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</si>
  <si>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</si>
  <si>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</si>
  <si>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</si>
  <si>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</si>
  <si>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</si>
  <si>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</si>
  <si>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</si>
  <si>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</si>
  <si>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</si>
  <si>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</si>
  <si>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</si>
  <si>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</si>
  <si>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</si>
  <si>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</si>
  <si>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</si>
  <si>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</si>
  <si>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</si>
  <si>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</si>
  <si>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</si>
  <si>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</si>
  <si>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</si>
  <si>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</si>
  <si>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</si>
  <si>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</si>
  <si>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</si>
  <si>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</si>
  <si>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</si>
  <si>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</si>
  <si>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</si>
  <si>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</si>
  <si>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</si>
  <si>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</si>
  <si>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</si>
  <si>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</si>
  <si>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</si>
  <si>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</si>
  <si>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</si>
  <si>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</si>
  <si>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</si>
  <si>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Line No.</t>
  </si>
  <si>
    <t>Therms</t>
  </si>
  <si>
    <t>Residential</t>
  </si>
  <si>
    <t>Rate Schedule No. 503</t>
  </si>
  <si>
    <t>Commercial</t>
  </si>
  <si>
    <t>Rate Schedule No. 504</t>
  </si>
  <si>
    <t>Gas Cost</t>
  </si>
  <si>
    <t xml:space="preserve">    (WACOG x Adjustment)</t>
  </si>
  <si>
    <t>Concentrix</t>
  </si>
  <si>
    <t>Depreciation Expense  -  Rate 2.58%</t>
  </si>
  <si>
    <t xml:space="preserve">   Accumulated Depr. (Avg)</t>
  </si>
  <si>
    <t>Accum Tax depreciation</t>
  </si>
  <si>
    <t xml:space="preserve">   Accum Def Tax (Avg)</t>
  </si>
  <si>
    <t>FIT</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</si>
  <si>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</si>
  <si>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</si>
  <si>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</si>
  <si>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</si>
  <si>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</si>
  <si>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</si>
  <si>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</si>
  <si>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</si>
  <si>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</si>
  <si>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</si>
  <si>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</si>
  <si>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</si>
  <si>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</si>
  <si>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</si>
  <si>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</si>
  <si>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</si>
  <si>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</si>
  <si>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</si>
  <si>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</si>
  <si>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</si>
  <si>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</si>
  <si>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</si>
  <si>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</si>
  <si>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</si>
  <si>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</si>
  <si>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</si>
  <si>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</si>
  <si>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</si>
  <si>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</si>
  <si>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</si>
  <si>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</si>
  <si>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</si>
  <si>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</si>
  <si>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</si>
  <si>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</si>
  <si>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</si>
  <si>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</si>
  <si>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</si>
  <si>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</si>
  <si>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</si>
  <si>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</si>
  <si>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</si>
  <si>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</si>
  <si>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</si>
  <si>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</si>
  <si>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</si>
  <si>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</si>
  <si>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</si>
  <si>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</si>
  <si>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</si>
  <si>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</si>
  <si>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</si>
  <si>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</si>
  <si>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</si>
  <si>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</si>
  <si>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</si>
  <si>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</si>
  <si>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</si>
  <si>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</si>
  <si>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</si>
  <si>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</si>
  <si>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</si>
  <si>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</si>
  <si>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</si>
  <si>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</si>
  <si>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Revenue adjustment associated with annualizing the CRM rate</t>
  </si>
  <si>
    <t>Property Tax</t>
  </si>
  <si>
    <t>R-3</t>
  </si>
  <si>
    <t>Restate</t>
  </si>
  <si>
    <t>Plant</t>
  </si>
  <si>
    <t>Res</t>
  </si>
  <si>
    <t>Comm&amp; Indust</t>
  </si>
  <si>
    <t>Trans</t>
  </si>
  <si>
    <t>----------------</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</si>
  <si>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</si>
  <si>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</si>
  <si>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</si>
  <si>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</si>
  <si>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</si>
  <si>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</si>
  <si>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</si>
  <si>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</si>
  <si>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</si>
  <si>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</si>
  <si>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Ended 12/31/2016</t>
  </si>
  <si>
    <t>12 Months ended December 31, 2016</t>
  </si>
  <si>
    <t>UG 17____</t>
  </si>
  <si>
    <t>***</t>
  </si>
  <si>
    <t>December 2015</t>
  </si>
  <si>
    <t>January 2016</t>
  </si>
  <si>
    <t>February 2016</t>
  </si>
  <si>
    <t>March 2016</t>
  </si>
  <si>
    <t>April 2016</t>
  </si>
  <si>
    <t>May 2016</t>
  </si>
  <si>
    <t>June 2016</t>
  </si>
  <si>
    <t>July 2016</t>
  </si>
  <si>
    <t>August 2016</t>
  </si>
  <si>
    <t>September 2016</t>
  </si>
  <si>
    <t>October 2016</t>
  </si>
  <si>
    <t>November 2016</t>
  </si>
  <si>
    <t>December 2016</t>
  </si>
  <si>
    <t>1088</t>
  </si>
  <si>
    <t>Gas Accum Prov ARO</t>
  </si>
  <si>
    <t>Storage Boil-Off</t>
  </si>
  <si>
    <t>99</t>
  </si>
  <si>
    <t xml:space="preserve"> Debt Issuance Cost Reclass</t>
  </si>
  <si>
    <t>Debt Issuance Cost Reclass</t>
  </si>
  <si>
    <t>000</t>
  </si>
  <si>
    <t>Trade Accts Pay - PNC Bank</t>
  </si>
  <si>
    <t>20209</t>
  </si>
  <si>
    <t>1860.20209</t>
  </si>
  <si>
    <t>Regulatory Asset - ARO</t>
  </si>
  <si>
    <t>For Rate Base</t>
  </si>
  <si>
    <t>Oregon</t>
  </si>
  <si>
    <t>2017 Estimated Deferral</t>
  </si>
  <si>
    <t>Total Estimated Deferral through 2017</t>
  </si>
  <si>
    <t>Annual Amortization</t>
  </si>
  <si>
    <t>MAOP</t>
  </si>
  <si>
    <t>Deferral</t>
  </si>
  <si>
    <t>Amortization</t>
  </si>
  <si>
    <t>MAOP Deferral Amortization</t>
  </si>
  <si>
    <t>Miscellaneous Charges</t>
  </si>
  <si>
    <t>Name of Fee</t>
  </si>
  <si>
    <t>Impact on Revenue</t>
  </si>
  <si>
    <t>Pilot Light</t>
  </si>
  <si>
    <t>New Premise Charge</t>
  </si>
  <si>
    <t>Reconnect - business hours</t>
  </si>
  <si>
    <t>Reconnect - after hours</t>
  </si>
  <si>
    <t>Proposed Revenue</t>
  </si>
  <si>
    <t>Current Revenue</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</si>
  <si>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</si>
  <si>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</si>
  <si>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</si>
  <si>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</si>
  <si>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</si>
  <si>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</si>
  <si>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</si>
  <si>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</si>
  <si>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</si>
  <si>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</si>
  <si>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</si>
  <si>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</si>
  <si>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</si>
  <si>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</si>
  <si>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</si>
  <si>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</si>
  <si>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</si>
  <si>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</si>
  <si>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</si>
  <si>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</si>
  <si>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</si>
  <si>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</si>
  <si>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</si>
  <si>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</si>
  <si>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</si>
  <si>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</si>
  <si>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</si>
  <si>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</si>
  <si>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</si>
  <si>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</si>
  <si>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</si>
  <si>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</si>
  <si>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</si>
  <si>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</si>
  <si>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</si>
  <si>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</si>
  <si>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</si>
  <si>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</si>
  <si>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</si>
  <si>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</si>
  <si>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</si>
  <si>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</si>
  <si>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</si>
  <si>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</si>
  <si>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</si>
  <si>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</si>
  <si>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</si>
  <si>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</si>
  <si>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</si>
  <si>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</si>
  <si>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</si>
  <si>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</si>
  <si>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</si>
  <si>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</si>
  <si>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</si>
  <si>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</si>
  <si>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</si>
  <si>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</si>
  <si>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</si>
  <si>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</si>
  <si>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</si>
  <si>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</si>
  <si>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</si>
  <si>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</si>
  <si>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</si>
  <si>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</si>
  <si>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</si>
  <si>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</si>
  <si>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</si>
  <si>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</si>
  <si>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</si>
  <si>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</si>
  <si>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</si>
  <si>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</si>
  <si>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</si>
  <si>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</si>
  <si>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</si>
  <si>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</si>
  <si>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</si>
  <si>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</si>
  <si>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</si>
  <si>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</si>
  <si>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</si>
  <si>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</si>
  <si>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</si>
  <si>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</si>
  <si>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29030A</t>
  </si>
  <si>
    <t>29200A</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</si>
  <si>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</si>
  <si>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</si>
  <si>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</si>
  <si>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</si>
  <si>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</si>
  <si>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</si>
  <si>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</si>
  <si>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</si>
  <si>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</si>
  <si>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</si>
  <si>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</si>
  <si>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</si>
  <si>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</si>
  <si>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Schedules</t>
  </si>
  <si>
    <t>Commodity</t>
  </si>
  <si>
    <t>Demand</t>
  </si>
  <si>
    <t>Weather</t>
  </si>
  <si>
    <t>Normalized</t>
  </si>
  <si>
    <t>Rate</t>
  </si>
  <si>
    <t>Total Gas Cost Revenue</t>
  </si>
  <si>
    <t>Misc</t>
  </si>
  <si>
    <t>R-4</t>
  </si>
  <si>
    <t>Compliance</t>
  </si>
  <si>
    <t>Department</t>
  </si>
  <si>
    <t>CRM</t>
  </si>
  <si>
    <t>P-3</t>
  </si>
  <si>
    <t>P-8</t>
  </si>
  <si>
    <t>P-9</t>
  </si>
  <si>
    <t>2018 Estimate through May 31</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</si>
  <si>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</si>
  <si>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</si>
  <si>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</si>
  <si>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</si>
  <si>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</si>
  <si>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</si>
  <si>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</si>
  <si>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</si>
  <si>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</si>
  <si>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</si>
  <si>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</si>
  <si>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</si>
  <si>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</si>
  <si>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</si>
  <si>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</si>
  <si>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</si>
  <si>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</si>
  <si>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</si>
  <si>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</si>
  <si>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</si>
  <si>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</si>
  <si>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</si>
  <si>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</si>
  <si>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</si>
  <si>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</si>
  <si>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</si>
  <si>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</si>
  <si>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Restated Gas Costs</t>
  </si>
  <si>
    <t>Restated Gas Cost Revenues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</si>
  <si>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</si>
  <si>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</si>
  <si>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</si>
  <si>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</si>
  <si>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</si>
  <si>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</si>
  <si>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</si>
  <si>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</si>
  <si>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</si>
  <si>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</si>
  <si>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</si>
  <si>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</si>
  <si>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</si>
  <si>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</si>
  <si>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</si>
  <si>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</si>
  <si>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</si>
  <si>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</si>
  <si>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</si>
  <si>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</si>
  <si>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</si>
  <si>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</si>
  <si>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</si>
  <si>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</si>
  <si>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</si>
  <si>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</si>
  <si>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</si>
  <si>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</si>
  <si>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</si>
  <si>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</si>
  <si>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</si>
  <si>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</si>
  <si>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</si>
  <si>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</si>
  <si>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</si>
  <si>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</si>
  <si>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</si>
  <si>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</si>
  <si>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</si>
  <si>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</si>
  <si>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</si>
  <si>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</si>
  <si>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</si>
  <si>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</si>
  <si>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</si>
  <si>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</si>
  <si>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</si>
  <si>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</si>
  <si>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</si>
  <si>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</si>
  <si>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</si>
  <si>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</si>
  <si>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</si>
  <si>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</si>
  <si>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</si>
  <si>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</si>
  <si>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</si>
  <si>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</si>
  <si>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</si>
  <si>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</si>
  <si>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</si>
  <si>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</si>
  <si>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</si>
  <si>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</si>
  <si>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</si>
  <si>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</si>
  <si>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</si>
  <si>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</si>
  <si>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</si>
  <si>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</si>
  <si>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</si>
  <si>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</si>
  <si>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</si>
  <si>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</si>
  <si>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</si>
  <si>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</si>
  <si>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</si>
  <si>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</si>
  <si>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</si>
  <si>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</si>
  <si>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</si>
  <si>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</si>
  <si>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</si>
  <si>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</si>
  <si>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</si>
  <si>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</si>
  <si>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</si>
  <si>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</si>
  <si>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</si>
  <si>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</si>
  <si>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</si>
  <si>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</si>
  <si>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</si>
  <si>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</si>
  <si>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</si>
  <si>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</si>
  <si>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</si>
  <si>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</si>
  <si>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</si>
  <si>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</si>
  <si>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</si>
  <si>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</si>
  <si>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</si>
  <si>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</si>
  <si>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</si>
  <si>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</si>
  <si>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</si>
  <si>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</si>
  <si>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</si>
  <si>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</si>
  <si>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</si>
  <si>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</si>
  <si>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</si>
  <si>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</si>
  <si>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</si>
  <si>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</si>
  <si>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</si>
  <si>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</si>
  <si>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</si>
  <si>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</si>
  <si>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</si>
  <si>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</si>
  <si>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</si>
  <si>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</si>
  <si>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</si>
  <si>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</si>
  <si>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</si>
  <si>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</si>
  <si>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</si>
  <si>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</si>
  <si>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</si>
  <si>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</si>
  <si>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</si>
  <si>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</si>
  <si>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</si>
  <si>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</si>
  <si>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</si>
  <si>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</si>
  <si>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</si>
  <si>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</si>
  <si>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</si>
  <si>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</si>
  <si>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</si>
  <si>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</si>
  <si>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</si>
  <si>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</si>
  <si>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</si>
  <si>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</si>
  <si>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</si>
  <si>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</si>
  <si>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</si>
  <si>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</si>
  <si>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</si>
  <si>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</si>
  <si>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</si>
  <si>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</si>
  <si>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</si>
  <si>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</si>
  <si>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</si>
  <si>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</si>
  <si>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</si>
  <si>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</si>
  <si>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</si>
  <si>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</si>
  <si>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</si>
  <si>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</si>
  <si>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</si>
  <si>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</si>
  <si>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</si>
  <si>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</si>
  <si>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</si>
  <si>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</si>
  <si>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</si>
  <si>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</si>
  <si>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</si>
  <si>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</si>
  <si>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</si>
  <si>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</si>
  <si>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</si>
  <si>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</si>
  <si>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</si>
  <si>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</si>
  <si>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</si>
  <si>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</si>
  <si>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</si>
  <si>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</si>
  <si>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</si>
  <si>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</si>
  <si>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</si>
  <si>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</si>
  <si>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</si>
  <si>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</si>
  <si>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</si>
  <si>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</si>
  <si>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January</t>
  </si>
  <si>
    <t>February</t>
  </si>
  <si>
    <t>March</t>
  </si>
  <si>
    <t>April</t>
  </si>
  <si>
    <t>June</t>
  </si>
  <si>
    <t>July</t>
  </si>
  <si>
    <t>August</t>
  </si>
  <si>
    <t>September</t>
  </si>
  <si>
    <t>October</t>
  </si>
  <si>
    <t>November</t>
  </si>
  <si>
    <t>December</t>
  </si>
  <si>
    <t>Estimated In-Service Date</t>
  </si>
  <si>
    <t>Account No.</t>
  </si>
  <si>
    <t>2017 Total</t>
  </si>
  <si>
    <t>WA Alloc</t>
  </si>
  <si>
    <t>Actuals thru June</t>
  </si>
  <si>
    <t>Remaining Yr Budget</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</si>
  <si>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</si>
  <si>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</si>
  <si>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</si>
  <si>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</si>
  <si>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</si>
  <si>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</si>
  <si>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</si>
  <si>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</si>
  <si>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</si>
  <si>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</si>
  <si>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</si>
  <si>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</si>
  <si>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</si>
  <si>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</si>
  <si>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</si>
  <si>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</si>
  <si>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</si>
  <si>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</si>
  <si>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</si>
  <si>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</si>
  <si>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</si>
  <si>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</si>
  <si>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</si>
  <si>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</si>
  <si>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</si>
  <si>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</si>
  <si>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</si>
  <si>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</si>
  <si>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</si>
  <si>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</si>
  <si>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</si>
  <si>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</si>
  <si>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</si>
  <si>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</si>
  <si>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</si>
  <si>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</si>
  <si>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</si>
  <si>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</si>
  <si>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</si>
  <si>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</si>
  <si>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</si>
  <si>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</si>
  <si>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</si>
  <si>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</si>
  <si>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</si>
  <si>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</si>
  <si>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</si>
  <si>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</si>
  <si>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</si>
  <si>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</si>
  <si>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</si>
  <si>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</si>
  <si>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</si>
  <si>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</si>
  <si>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</si>
  <si>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</si>
  <si>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</si>
  <si>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</si>
  <si>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</si>
  <si>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</si>
  <si>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</si>
  <si>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</si>
  <si>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</si>
  <si>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</si>
  <si>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</si>
  <si>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</si>
  <si>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</si>
  <si>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</si>
  <si>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</si>
  <si>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</si>
  <si>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</si>
  <si>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</si>
  <si>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</si>
  <si>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</si>
  <si>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</si>
  <si>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</si>
  <si>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</si>
  <si>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</si>
  <si>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</si>
  <si>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</si>
  <si>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</si>
  <si>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</si>
  <si>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</si>
  <si>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</si>
  <si>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</si>
  <si>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</si>
  <si>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</si>
  <si>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</si>
  <si>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</si>
  <si>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</si>
  <si>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</si>
  <si>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</si>
  <si>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</si>
  <si>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</si>
  <si>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</si>
  <si>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</si>
  <si>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</si>
  <si>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</si>
  <si>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</si>
  <si>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</si>
  <si>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</si>
  <si>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</si>
  <si>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</si>
  <si>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</si>
  <si>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</si>
  <si>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</si>
  <si>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</si>
  <si>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</si>
  <si>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</si>
  <si>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</si>
  <si>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</si>
  <si>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</si>
  <si>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</si>
  <si>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</si>
  <si>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</si>
  <si>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</si>
  <si>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</si>
  <si>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</si>
  <si>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</si>
  <si>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</si>
  <si>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</si>
  <si>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</si>
  <si>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</si>
  <si>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</si>
  <si>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</si>
  <si>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</si>
  <si>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</si>
  <si>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</si>
  <si>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</si>
  <si>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</si>
  <si>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</si>
  <si>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</si>
  <si>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</si>
  <si>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</si>
  <si>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</si>
  <si>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</si>
  <si>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</si>
  <si>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</si>
  <si>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</si>
  <si>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</si>
  <si>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</si>
  <si>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</si>
  <si>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</si>
  <si>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</si>
  <si>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</si>
  <si>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</si>
  <si>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</si>
  <si>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</si>
  <si>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</si>
  <si>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</si>
  <si>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</si>
  <si>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</si>
  <si>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</si>
  <si>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</si>
  <si>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</si>
  <si>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</si>
  <si>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</si>
  <si>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</si>
  <si>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</si>
  <si>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</si>
  <si>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</si>
  <si>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</si>
  <si>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</si>
  <si>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</si>
  <si>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</si>
  <si>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</si>
  <si>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</si>
  <si>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</si>
  <si>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</si>
  <si>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</si>
  <si>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</si>
  <si>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</si>
  <si>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</si>
  <si>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</si>
  <si>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</si>
  <si>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</si>
  <si>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</si>
  <si>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</si>
  <si>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</si>
  <si>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</si>
  <si>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</si>
  <si>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</si>
  <si>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</si>
  <si>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</si>
  <si>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</si>
  <si>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</si>
  <si>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</si>
  <si>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</si>
  <si>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</si>
  <si>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</si>
  <si>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</si>
  <si>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</si>
  <si>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</si>
  <si>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</si>
  <si>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</si>
  <si>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</si>
  <si>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</si>
  <si>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</si>
  <si>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</si>
  <si>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</si>
  <si>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</si>
  <si>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</si>
  <si>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</si>
  <si>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</si>
  <si>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</si>
  <si>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</si>
  <si>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</si>
  <si>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</si>
  <si>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</si>
  <si>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</si>
  <si>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</si>
  <si>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</si>
  <si>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</si>
  <si>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</si>
  <si>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</si>
  <si>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System betterment to loop the Kennewick system between the new tap on Brinkley to the existing tap on Clearwater and Kellogg</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</si>
  <si>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</si>
  <si>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</si>
  <si>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</si>
  <si>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</si>
  <si>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</si>
  <si>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</si>
  <si>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</si>
  <si>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</si>
  <si>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</si>
  <si>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</si>
  <si>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</si>
  <si>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</si>
  <si>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</si>
  <si>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</si>
  <si>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</si>
  <si>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</si>
  <si>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</si>
  <si>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</si>
  <si>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</si>
  <si>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</si>
  <si>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</si>
  <si>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</si>
  <si>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</si>
  <si>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</si>
  <si>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</si>
  <si>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District identified project to remove short pipe on bridge over canal.</t>
  </si>
  <si>
    <t>This project was completed in 2016.  Costs included in 2017 were lingering costs for an in-service project.B39</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</si>
  <si>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</si>
  <si>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This project was in service in 2016.  2017 costs were lingering costs not posted until after project went into service.</t>
  </si>
  <si>
    <t>Annual replacement of computing devices and peripherals supporting the office environment and also includes the replacement for Toughbook laptops in the field for mobile field work.</t>
  </si>
  <si>
    <t>Investment from MPP-6</t>
  </si>
  <si>
    <t xml:space="preserve">           Cascade Natural Gas</t>
  </si>
  <si>
    <t xml:space="preserve">This project replaces meters from a family that was discovered to be out of compliance of WAC 480-90-338, during meter testing in compliance with WAC 480-90-348.  The project is scheduled to be completed by the end of 2017. </t>
  </si>
  <si>
    <t>DOCKET UG-17_____</t>
  </si>
  <si>
    <t>Exhibit No. __ (MPP-2)</t>
  </si>
  <si>
    <t>Witness: Michael P. Parvinen</t>
  </si>
  <si>
    <t>EXHIBIT OF MICHAEL P. PARVINEN</t>
  </si>
  <si>
    <t>Exhibit No. __ (MPP-3)</t>
  </si>
  <si>
    <t>Exhibit No. __ (MPP-4)</t>
  </si>
  <si>
    <t>Exhibit No. __ (MPP-5)</t>
  </si>
  <si>
    <t>Exhibit No. __ (MPP-6)</t>
  </si>
  <si>
    <t>Results</t>
  </si>
  <si>
    <t>Overall Revenue Increase</t>
  </si>
  <si>
    <t xml:space="preserve">FP-313143 - V-89; Wenatchee 8" isolation valve </t>
  </si>
  <si>
    <t>FP-315655 - MN 2" PE-32SL Burlington</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</si>
  <si>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distributed across all 4 brands.</t>
  </si>
  <si>
    <t>Implement the Taleo HR onboarding module and recruiting.  This phase will eliminate the Utility Group from using the in-house developed and maintained application for recruiting and onboarding.  There is a possibility that this project will be delayed until 2018.</t>
  </si>
  <si>
    <t>Upgrade the existing PragmaCAD system for field deployment, management and scheduling to v6.5. This project is complete. Please note that this is a Utility Group wide implementation.  Costs are being distributed across all 4 brands.</t>
  </si>
  <si>
    <t>This funding project supports the continual refreshing of the Computer Server and Network hardware supporting the operations of the Data Center located at the Cascade Natural Gas General Office in Kennewick.</t>
  </si>
  <si>
    <t xml:space="preserve">Bulk Purchase of Sensit Portable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</si>
  <si>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distributed across all 4 brands.</t>
  </si>
  <si>
    <t>Replace an intermediate pressure valve due to corrosion and operational concerns.</t>
  </si>
  <si>
    <t>Replace 800' of 4" pipe for a reinforcement to provide reliable service during peak periods.</t>
  </si>
  <si>
    <t>Blanket work orders.  These projects are routine in nature and typically have offsetting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</si>
  <si>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Outside the test year.  These projects have an in-service date beyond the end of 2017 and are not included in the request.</t>
  </si>
  <si>
    <t>No Support.  These projects don't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</si>
  <si>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boundary of the city.</t>
  </si>
  <si>
    <t>These projects are to replace the protection to the pipe to stop or delay corrosion thus increasing the safety and integrity of the pipe.</t>
  </si>
  <si>
    <t>Aging regulator station needing replacement/retirement for pipeline safety/integrity reasons.  Current vault in driveway.  Estimated in service 8/25/16.</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</si>
  <si>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distributed across all 4 brands.
</t>
  </si>
  <si>
    <t>The Southridge Gate Station was installed in 2016 to provide gas to reinforce the existing distribution system.  Shortly after being constructed it was discovered that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</si>
  <si>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accommodate additional load requested by Lamb Weston.</t>
  </si>
  <si>
    <t>This project consists of installing an 8 inch valve with a high-head extension for accessibility, in-line with the already existing line.  This will allow sections 1 and 2 to be shut down independently from one another.  This allows for a controlled safe operation particularly during wildland fires that have endangered the area in recent past.</t>
  </si>
  <si>
    <t>The Hildebrand Blvd. 6” HP Main (Project) will provide additional natural gas capacity as necessary to reinforce Cascade's natural gas distribution infrastructure.  The project also provides looping capabilities thus increasing reliability to other sections of the distribution system.</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</si>
  <si>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distributed across all 4 brands.
</t>
  </si>
  <si>
    <t>Schedule of Investor-Supplied Working Capital</t>
  </si>
  <si>
    <t>Total Incremental Pro Forma Increase</t>
  </si>
  <si>
    <t>Vance Creek Replacement (#2)</t>
  </si>
  <si>
    <t>Projected Revenue adjustment using Weather Normalized volumes at current margin rates</t>
  </si>
  <si>
    <t>RESULTS OF OPERATIONS SUMMARY SHEET</t>
  </si>
  <si>
    <t>Results of Operations Summary Sheet</t>
  </si>
  <si>
    <t>Replace a regulator station to place above ground due to flooding of a vault and deterioration of the valve.</t>
  </si>
  <si>
    <t>Replace the existing regulator with an updated station that is above ground and in an area that has minimal to no risk.  The existing regulator station is subject to damage and is no longer supported.  The project will assure continued safe and reliable service.</t>
  </si>
  <si>
    <t>REVENUE REQUIREMENT CALCULATION</t>
  </si>
  <si>
    <t>CONVERSION FACTOR CALCULATION</t>
  </si>
  <si>
    <t>SUMMARY OF PROPOSED ADJUSTMENTS TO TEST YEAR RESULTS</t>
  </si>
  <si>
    <t>2017 PLANT ADDITIONS</t>
  </si>
  <si>
    <t>Summary of Proposed Adjustments to Test Year Results</t>
  </si>
  <si>
    <t>Conversion Factor Calculation</t>
  </si>
  <si>
    <t>Summary of Plant Additions</t>
  </si>
  <si>
    <t>Summary of Proposed Plant Additions</t>
  </si>
  <si>
    <t>Replace two regulator stations to increase reliability during peak periods.</t>
  </si>
  <si>
    <t>UG 17_____</t>
  </si>
  <si>
    <t>MPP WP-1.0</t>
  </si>
  <si>
    <t>Index</t>
  </si>
  <si>
    <t>Michael P. Parvinen</t>
  </si>
  <si>
    <t>Page(s)</t>
  </si>
  <si>
    <t>WP #</t>
  </si>
  <si>
    <t>MPP WP-1.1</t>
  </si>
  <si>
    <t>MPP WP-1.2</t>
  </si>
  <si>
    <t>MPP WP-1.3</t>
  </si>
  <si>
    <t>MPP WP-1.4</t>
  </si>
  <si>
    <t>MPP WP-1.5</t>
  </si>
  <si>
    <t>MPP WP-1.6</t>
  </si>
  <si>
    <t>MPP WP-1.7</t>
  </si>
  <si>
    <t>MPP WP-1.8</t>
  </si>
  <si>
    <t>MPP WP-1.9</t>
  </si>
  <si>
    <t>MPP WP-1.10</t>
  </si>
  <si>
    <t>MPP WP-1.11</t>
  </si>
  <si>
    <t>MPP WP-1.12</t>
  </si>
  <si>
    <t>MPP WP-1.13</t>
  </si>
  <si>
    <t>MPP WP-1.14</t>
  </si>
  <si>
    <t>MPP WP-1.15</t>
  </si>
  <si>
    <t>MPP WP-1.16</t>
  </si>
  <si>
    <t>ADJUSTMENT WORKPAPERS</t>
  </si>
  <si>
    <t>WORKPAPER - SUPPORT DOCUMENTS</t>
  </si>
  <si>
    <t>Adjustment Workpapers</t>
  </si>
  <si>
    <t>Weather Normalization</t>
  </si>
  <si>
    <t>Restate Revenues</t>
  </si>
  <si>
    <t>Pro Forma Compliance Department</t>
  </si>
  <si>
    <t>CRM Adjustment (a)</t>
  </si>
  <si>
    <t>CRM Adjustment (b)</t>
  </si>
  <si>
    <t>Promotional Advertising Expense Adjustment</t>
  </si>
  <si>
    <t>MPP WP-1.17</t>
  </si>
  <si>
    <t>MPP WP-1.18</t>
  </si>
  <si>
    <t>MPP WP-1.19</t>
  </si>
  <si>
    <t>Electronic Tab Name: Index</t>
  </si>
  <si>
    <t>Month</t>
  </si>
  <si>
    <t>Margin</t>
  </si>
  <si>
    <t>Line No:</t>
  </si>
  <si>
    <t xml:space="preserve">A </t>
  </si>
  <si>
    <t>B</t>
  </si>
  <si>
    <t>C</t>
  </si>
  <si>
    <t>A</t>
  </si>
  <si>
    <t xml:space="preserve">C </t>
  </si>
  <si>
    <t>D</t>
  </si>
  <si>
    <t>E</t>
  </si>
  <si>
    <t>Revenue at Restating Rate</t>
  </si>
  <si>
    <t>Therms Adjustment</t>
  </si>
  <si>
    <t>Rate Schedule No. 505</t>
  </si>
  <si>
    <t>Rate Schedule No. 511</t>
  </si>
  <si>
    <t>Change in Gas Cost - Residential 503</t>
  </si>
  <si>
    <t>Change in Gas Cost - Commercial 504</t>
  </si>
  <si>
    <t>Change in Gas Cost - Industrial 505</t>
  </si>
  <si>
    <t>Change in Gas Cost - Industrial 511</t>
  </si>
  <si>
    <t>F</t>
  </si>
  <si>
    <t>G</t>
  </si>
  <si>
    <t>H</t>
  </si>
  <si>
    <t>I</t>
  </si>
  <si>
    <t>J</t>
  </si>
  <si>
    <t>K</t>
  </si>
  <si>
    <t>L</t>
  </si>
  <si>
    <t>M</t>
  </si>
  <si>
    <t>N</t>
  </si>
  <si>
    <t>O</t>
  </si>
  <si>
    <t>Ln 1</t>
  </si>
  <si>
    <t>Ln.</t>
  </si>
  <si>
    <t>Ln 6 / 2</t>
  </si>
  <si>
    <t>Ln 5 *3.75%</t>
  </si>
  <si>
    <t>(Ln 8 - Ln 6) * .35</t>
  </si>
  <si>
    <t>Ln 9 / 2</t>
  </si>
  <si>
    <t>Ln 6 * .35</t>
  </si>
  <si>
    <t>Percentage Change in Fee</t>
  </si>
  <si>
    <t>AMA Total</t>
  </si>
  <si>
    <t>State</t>
  </si>
  <si>
    <t>Depr Group</t>
  </si>
  <si>
    <t>Dec-2015 Plant</t>
  </si>
  <si>
    <t>Dec-2015 Reserve</t>
  </si>
  <si>
    <t>Jan-2016 Plant</t>
  </si>
  <si>
    <t>Jan-2016 Reserve</t>
  </si>
  <si>
    <t>Feb-2016 Plant</t>
  </si>
  <si>
    <t>Feb-2016 Reserve</t>
  </si>
  <si>
    <t>Mar-2016 Plant</t>
  </si>
  <si>
    <t>Mar-2016 Reserve</t>
  </si>
  <si>
    <t>Apr-2016 Plant</t>
  </si>
  <si>
    <t>Apr-2016 Reserve</t>
  </si>
  <si>
    <t>May-2016 Plant</t>
  </si>
  <si>
    <t>May-2016 Reserve</t>
  </si>
  <si>
    <t>Jun-2016 Plant</t>
  </si>
  <si>
    <t>Jun-2016 Reserve</t>
  </si>
  <si>
    <t>Jul-2016 Plant</t>
  </si>
  <si>
    <t>Jul-2016 Reserve</t>
  </si>
  <si>
    <t>Aug-2016 Plant</t>
  </si>
  <si>
    <t>Aug-2016 Reserve</t>
  </si>
  <si>
    <t>Sept-2016 Plant</t>
  </si>
  <si>
    <t>Sept-2016 Reserve</t>
  </si>
  <si>
    <t>Oct-2016 Plant</t>
  </si>
  <si>
    <t>Oct-2016 Reserve</t>
  </si>
  <si>
    <t>Nov-2016 Plant</t>
  </si>
  <si>
    <t>Nov-2016 Reserve</t>
  </si>
  <si>
    <t>Dec-2016 Plant</t>
  </si>
  <si>
    <t>Dec-2016 Reserve</t>
  </si>
  <si>
    <t>Average of Monthly Avg Plant</t>
  </si>
  <si>
    <t>Average of MonthlyAvg Reserve</t>
  </si>
  <si>
    <t>CNG-302-G-Franchises-00038</t>
  </si>
  <si>
    <t>CNG-303-G-Intang-00038-40 YR-2014</t>
  </si>
  <si>
    <t>00038</t>
  </si>
  <si>
    <t>CNG-303-G-Misc. Intangible Pl-00038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</si>
  <si>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</si>
  <si>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</si>
  <si>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</si>
  <si>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</si>
  <si>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</si>
  <si>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</si>
  <si>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</si>
  <si>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</si>
  <si>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</si>
  <si>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</si>
  <si>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</si>
  <si>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</si>
  <si>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</si>
  <si>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</si>
  <si>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</si>
  <si>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</si>
  <si>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</si>
  <si>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</si>
  <si>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</si>
  <si>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</si>
  <si>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</si>
  <si>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</si>
  <si>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</si>
  <si>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</si>
  <si>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</si>
  <si>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</si>
  <si>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</si>
  <si>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</si>
  <si>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</si>
  <si>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</si>
  <si>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</si>
  <si>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</si>
  <si>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</si>
  <si>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</si>
  <si>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</si>
  <si>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</si>
  <si>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</si>
  <si>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</si>
  <si>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</si>
  <si>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CNG-303-G-Misc. Intangible Pl-00048</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</si>
  <si>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</si>
  <si>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</si>
  <si>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</si>
  <si>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</si>
  <si>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</si>
  <si>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</si>
  <si>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</si>
  <si>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</si>
  <si>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</si>
  <si>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</si>
  <si>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</si>
  <si>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</si>
  <si>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</si>
  <si>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</si>
  <si>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</si>
  <si>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</si>
  <si>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</si>
  <si>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</si>
  <si>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</si>
  <si>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</si>
  <si>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</si>
  <si>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</si>
  <si>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</si>
  <si>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</si>
  <si>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</si>
  <si>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</si>
  <si>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</si>
  <si>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</si>
  <si>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</si>
  <si>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</si>
  <si>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</si>
  <si>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</si>
  <si>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</si>
  <si>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</si>
  <si>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</si>
  <si>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</si>
  <si>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</si>
  <si>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</si>
  <si>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</si>
  <si>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</si>
  <si>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</si>
  <si>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</si>
  <si>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</si>
  <si>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</si>
  <si>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</si>
  <si>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</si>
  <si>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</si>
  <si>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</si>
  <si>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</si>
  <si>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</si>
  <si>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</si>
  <si>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</si>
  <si>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</si>
  <si>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</si>
  <si>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</si>
  <si>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CNG-303-G-Misc. Intangible Pl-00100</t>
  </si>
  <si>
    <t>CNG-374-G-Land-00100</t>
  </si>
  <si>
    <t>CNG-375-G-Structures &amp; Improv-00100</t>
  </si>
  <si>
    <t>CNG-389-G-Land &amp; Land Rights-00100</t>
  </si>
  <si>
    <t>CNG-390-G-Structures &amp; Improv-00100</t>
  </si>
  <si>
    <t>CNG-391-G-Comp Equip-Server &amp;-00100</t>
  </si>
  <si>
    <t>CNG-391-G-Comp. Equip-Mainfra-00100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</si>
  <si>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</si>
  <si>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</si>
  <si>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</si>
  <si>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</si>
  <si>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</si>
  <si>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</si>
  <si>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</si>
  <si>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</si>
  <si>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</si>
  <si>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</si>
  <si>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</si>
  <si>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</si>
  <si>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</si>
  <si>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</si>
  <si>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</si>
  <si>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</si>
  <si>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</si>
  <si>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</si>
  <si>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</si>
  <si>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</si>
  <si>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</si>
  <si>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</si>
  <si>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</si>
  <si>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</si>
  <si>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</si>
  <si>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</si>
  <si>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</si>
  <si>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</si>
  <si>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</si>
  <si>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</si>
  <si>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</si>
  <si>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</si>
  <si>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</si>
  <si>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</si>
  <si>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</si>
  <si>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</si>
  <si>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</si>
  <si>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</si>
  <si>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2015</t>
  </si>
  <si>
    <t>2016</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</si>
  <si>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</si>
  <si>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</si>
  <si>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</si>
  <si>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</si>
  <si>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</si>
  <si>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</si>
  <si>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</si>
  <si>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</si>
  <si>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</si>
  <si>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</si>
  <si>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</si>
  <si>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</si>
  <si>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</si>
  <si>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</si>
  <si>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</si>
  <si>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</si>
  <si>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</si>
  <si>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</si>
  <si>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</si>
  <si>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</si>
  <si>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</si>
  <si>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</si>
  <si>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</si>
  <si>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</si>
  <si>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</si>
  <si>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</si>
  <si>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</si>
  <si>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</si>
  <si>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</si>
  <si>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</si>
  <si>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</si>
  <si>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</si>
  <si>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</si>
  <si>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</si>
  <si>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</si>
  <si>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</si>
  <si>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</si>
  <si>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</si>
  <si>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</si>
  <si>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Amount booked to Account 908, Customer Assistance Expense</t>
  </si>
  <si>
    <t>See "Plant in Serv &amp; Accum Depr" tab</t>
  </si>
  <si>
    <t>See " Adv for Const. &amp; Def Tax" tab</t>
  </si>
  <si>
    <t>See "Working Capital" tab</t>
  </si>
  <si>
    <t>Ratio  (line 6)</t>
  </si>
  <si>
    <t>Working Capital Allowance (Line 11 times Line 12)</t>
  </si>
  <si>
    <t>Ties to tab entitled "Working Capital Work Paper" cell R9 plus cell R10 (Gas Plant in Service plus Completed Construction Not Classified)</t>
  </si>
  <si>
    <t>Ties to tab entitled "Working Capital Work Paper" cell R25 minus cell R15 (Total Accum Depr less RWIP)</t>
  </si>
  <si>
    <t>Ties to account 2520 as shown in the tab titled "Working Capital Work Paper" cell R299</t>
  </si>
  <si>
    <t>Working Capital Work Paper</t>
  </si>
  <si>
    <t>Depreciation Expense Adjustment</t>
  </si>
  <si>
    <t>Disconnect Visit Charge</t>
  </si>
  <si>
    <t>Returned Check Charge</t>
  </si>
  <si>
    <t>47OR</t>
  </si>
  <si>
    <t>861</t>
  </si>
  <si>
    <t>862</t>
  </si>
  <si>
    <t>865</t>
  </si>
  <si>
    <t>961</t>
  </si>
  <si>
    <t>962</t>
  </si>
  <si>
    <t>965</t>
  </si>
  <si>
    <t>T/B Total-2820</t>
  </si>
  <si>
    <t>T/B Total-2830</t>
  </si>
  <si>
    <t>OTHER DEFERRED TAXES:</t>
  </si>
  <si>
    <t>Link from Corresponding Trial Balance Acct 2820</t>
  </si>
  <si>
    <t>Link from Corresponding Trial Balance Acct 2830</t>
  </si>
  <si>
    <t>Difference (s/b zero)</t>
  </si>
  <si>
    <t>Total Booked Gas Costs (Exhibit MPP-2, Column (1), row 5 plus Weather Normalization</t>
  </si>
  <si>
    <t>gas costs (MPP WP 1.5, column (D), row 14)</t>
  </si>
  <si>
    <t>Total Restated Gas Costs</t>
  </si>
  <si>
    <t>Total Restate Gas Cost Revenue</t>
  </si>
  <si>
    <t>Net Unbilled and Deferrals (MCR WP- 1.1, Column Q, Line 35)</t>
  </si>
  <si>
    <t>Sept</t>
  </si>
  <si>
    <t>Oct</t>
  </si>
  <si>
    <t>Nov</t>
  </si>
  <si>
    <t>Dec</t>
  </si>
  <si>
    <t>Ties to</t>
  </si>
  <si>
    <t>Amounts</t>
  </si>
  <si>
    <t>Included in</t>
  </si>
  <si>
    <t>UG-160788</t>
  </si>
  <si>
    <t>2016 CRM Filing</t>
  </si>
  <si>
    <t>Test Year AMA Amount</t>
  </si>
  <si>
    <t>BR WP-1.4</t>
  </si>
  <si>
    <t>MCR-2, Column (H)</t>
  </si>
  <si>
    <t>Industrial</t>
  </si>
  <si>
    <t>Volumes</t>
  </si>
  <si>
    <t>Actual Test Period</t>
  </si>
  <si>
    <t>Net</t>
  </si>
  <si>
    <t>Volume</t>
  </si>
  <si>
    <t xml:space="preserve">Line No. </t>
  </si>
  <si>
    <t>P</t>
  </si>
  <si>
    <t>Q</t>
  </si>
  <si>
    <t>R</t>
  </si>
  <si>
    <t>S</t>
  </si>
  <si>
    <t>T</t>
  </si>
  <si>
    <t>U</t>
  </si>
  <si>
    <t>V</t>
  </si>
  <si>
    <t>W</t>
  </si>
  <si>
    <t>X</t>
  </si>
  <si>
    <t>Y</t>
  </si>
  <si>
    <t>Z</t>
  </si>
  <si>
    <t>AB</t>
  </si>
  <si>
    <t>AC</t>
  </si>
  <si>
    <t>AD</t>
  </si>
  <si>
    <t>AE</t>
  </si>
  <si>
    <t>Plant in Service &amp; Accumulated Depreciation</t>
  </si>
  <si>
    <t>MPP WP-1.20</t>
  </si>
  <si>
    <t>MPP WP-1.21</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</si>
  <si>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</si>
  <si>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</si>
  <si>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</si>
  <si>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</si>
  <si>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</si>
  <si>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</si>
  <si>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</si>
  <si>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</si>
  <si>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</si>
  <si>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</si>
  <si>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</si>
  <si>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</si>
  <si>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</si>
  <si>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</si>
  <si>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</si>
  <si>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</si>
  <si>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</si>
  <si>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</si>
  <si>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</si>
  <si>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</si>
  <si>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</si>
  <si>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r>
      <t xml:space="preserve">* </t>
    </r>
    <r>
      <rPr>
        <i/>
        <sz val="12"/>
        <color theme="1"/>
        <rFont val="Times New Roman"/>
        <family val="1"/>
      </rPr>
      <t xml:space="preserve">See </t>
    </r>
    <r>
      <rPr>
        <sz val="12"/>
        <color theme="1"/>
        <rFont val="Times New Roman"/>
        <family val="1"/>
      </rPr>
      <t xml:space="preserve">https://www.bls.gov/data/inflation_calculator.htm for the CPI calculator used to determine how much the fees need to be increased to ensure the cost in today's dollars is equal to the cost the fees had when they were established in 2007. </t>
    </r>
  </si>
  <si>
    <t>2 - 17</t>
  </si>
  <si>
    <t>19 - 33</t>
  </si>
  <si>
    <t>34 - 43</t>
  </si>
  <si>
    <t>Total Operating Revenue Tab (MCR WP-1.1, Column Q, Line 5)</t>
  </si>
  <si>
    <t>Weather Normalization Adj. Tab (MCR WP-1.10, Col. D, Line 14)</t>
  </si>
  <si>
    <t>Per Rosales Exhibit MCR-2 (Sum. Of Rev by Rate Schd tab, Col. (K) Ln 301)</t>
  </si>
  <si>
    <t>Less Weather normalization Margin Adjustment (MCR WP-1.10, Col. E, Ln 5)</t>
  </si>
  <si>
    <t>Add Annualized CRM Rev. (Sum. Of Rev by Rate Schd tab, Col. (N) Ln 301)</t>
  </si>
  <si>
    <t>Less Actual Booked CRM (MCR WP-1.1, Col. Q, Ln 13)</t>
  </si>
  <si>
    <t>MCR-2, Col. O, Ln 22</t>
  </si>
  <si>
    <t>MCR-2, Col. O, Ln 34</t>
  </si>
  <si>
    <t>MCR-2, Col. H, Ln 52</t>
  </si>
  <si>
    <t>MCR-2, Col. H, Ln 70</t>
  </si>
  <si>
    <t>MCR-2, Col. H, Ln 92</t>
  </si>
  <si>
    <t>Sales &amp; Transportation combined equal $834,041</t>
  </si>
  <si>
    <t>Gas Cost Rate</t>
  </si>
  <si>
    <t>w/out Rev. Sen.</t>
  </si>
  <si>
    <t>(MCR WP-1.1, Col. V, Ln 8)</t>
  </si>
  <si>
    <t>(MCR WP-1.1, Col. V thru Z, Ln 8)</t>
  </si>
  <si>
    <t>(MCR WP-1.1, Col. AA &amp; AB, Ln 8)</t>
  </si>
  <si>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</si>
  <si>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</si>
  <si>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</si>
  <si>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</si>
  <si>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</si>
  <si>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</si>
  <si>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</si>
  <si>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</si>
  <si>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</si>
  <si>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</si>
  <si>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</si>
  <si>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</si>
  <si>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</si>
  <si>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</si>
  <si>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</si>
  <si>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</si>
  <si>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</si>
  <si>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</si>
  <si>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</si>
  <si>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</si>
  <si>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</si>
  <si>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</si>
  <si>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</si>
  <si>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</si>
  <si>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</si>
  <si>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</si>
  <si>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</si>
  <si>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</si>
  <si>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</si>
  <si>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</si>
  <si>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</si>
  <si>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</si>
  <si>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</si>
  <si>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</si>
  <si>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</si>
  <si>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</si>
  <si>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</si>
  <si>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</si>
  <si>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CY 2015 Allocation Factors to be used in CY 2016</t>
  </si>
  <si>
    <t>2017 Total - Figures exported from "Power Plan" the company's budget and plant accounting software</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</si>
  <si>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</si>
  <si>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</si>
  <si>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</si>
  <si>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</si>
  <si>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</si>
  <si>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</si>
  <si>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Rate Effective 9/1/2016</t>
  </si>
  <si>
    <t>Funding Project expected incremental volumes per year</t>
  </si>
  <si>
    <t>Total incremental revenue</t>
  </si>
  <si>
    <t>Rate schedule 663 average rate</t>
  </si>
  <si>
    <t>2017 est.</t>
  </si>
  <si>
    <t>All figures above are exported from ""Power Plant" the company's plant accounting software</t>
  </si>
  <si>
    <t>Figures are exported from JDE the company's accounting software</t>
  </si>
  <si>
    <t>Tariff Effective Nov. 1, 2016</t>
  </si>
  <si>
    <t>[1] Provided by Cascade Human Resources Accounting System</t>
  </si>
  <si>
    <t>[2] Union increase from the 2015 Agreement between CNGC and Local No. 121-C of the International Chemical Workers' Union Council/UFCW</t>
  </si>
  <si>
    <t>2016 [1]</t>
  </si>
  <si>
    <t>Year-to-date [1]</t>
  </si>
  <si>
    <t>[2]</t>
  </si>
  <si>
    <t>Increase [2]</t>
  </si>
  <si>
    <t>[1]</t>
  </si>
  <si>
    <t>2015 Assessment (Final)</t>
  </si>
  <si>
    <t xml:space="preserve">Actual taxes to be paid in 2016  </t>
  </si>
  <si>
    <t>Effective Tax Rate</t>
  </si>
  <si>
    <t>2016 Property Tax Rate [1]</t>
  </si>
  <si>
    <t>New Revenue Associated with existing customer on Funding Project 315607 [2]</t>
  </si>
  <si>
    <t>CC&amp;B Billing query</t>
  </si>
  <si>
    <t>Cascade Exhibit No.__JGG-2 Proposed Sch. 200</t>
  </si>
  <si>
    <t>Fee Amount Current Rate Sch. 200</t>
  </si>
  <si>
    <t>Instances the Fee was Charged in Test Year [1]</t>
  </si>
  <si>
    <t>Proposed Fees [2]</t>
  </si>
  <si>
    <t>2016 Actual Deferral [1]</t>
  </si>
  <si>
    <t>Cascade Exhibit No.__RP-2,  December 2016 MAOP Deferred Costs Balance</t>
  </si>
  <si>
    <t>Workpaper - Support Documents</t>
  </si>
  <si>
    <t>State Allocation Formula</t>
  </si>
  <si>
    <t>MPP WP-1.22</t>
  </si>
  <si>
    <t>71 - 86</t>
  </si>
  <si>
    <t>64 - 69</t>
  </si>
  <si>
    <t>55 - 57</t>
  </si>
  <si>
    <t>51 - 52</t>
  </si>
  <si>
    <t>49 - 50</t>
  </si>
  <si>
    <t>8/31/2017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</si>
</sst>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_(&quot;$&quot;* #,##0_);_(&quot;$&quot;* \(#,##0\);_(&quot;$&quot;* &quot;-&quot;??_);_(@_)"/>
    <numFmt numFmtId="187" formatCode="0.0000000%"/>
    <numFmt numFmtId="188" formatCode="_(* #,##0.0000_);_(* \(#,##0.0000\);_(* &quot;-&quot;??_);_(@_)"/>
    <numFmt numFmtId="189" formatCode="#,##0.00000_);\(#,##0.00000\)"/>
    <numFmt numFmtId="190" formatCode="&quot;$&quot;#,##0"/>
    <numFmt numFmtId="191" formatCode="dd\-mmm\-yy_)"/>
    <numFmt numFmtId="192" formatCode="_(&quot;$&quot;* #,##0.00000_);_(&quot;$&quot;* \(#,##0.00000\);_(&quot;$&quot;* &quot;-&quot;??_);_(@_)"/>
    <numFmt numFmtId="193" formatCode="&quot;$&quot;#,##0.00"/>
    <numFmt numFmtId="194" formatCode="#,##0.000000000_);\(#,##0.000000000\)"/>
    <numFmt numFmtId="195" formatCode="#,##0.0000000000_);[Red]\(#,##0.0000000000\)"/>
    <numFmt numFmtId="196" formatCode="0.00000%"/>
    <numFmt numFmtId="197" formatCode="[$-F800]dddd\,\ mmmm\ dd\,\ yyyy"/>
    <numFmt numFmtId="198" formatCode="&quot;$&quot;#,##0.00000_);[Red]\(&quot;$&quot;#,##0.00000\)"/>
    <numFmt numFmtId="199" formatCode="#,##0.0000_);\(#,##0.0000\)"/>
    <numFmt numFmtId="200" formatCode="mmm\-yy_)"/>
    <numFmt numFmtId="201" formatCode="0_)"/>
    <numFmt numFmtId="202" formatCode="#,##0.000000_);\(#,##0.000000\)"/>
    <numFmt numFmtId="203" formatCode="#,##0.0000000"/>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8"/>
      <color indexed="81"/>
      <name val="Tahoma"/>
      <family val="2"/>
    </font>
    <font>
      <sz val="8"/>
      <color indexed="81"/>
      <name val="Tahoma"/>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sz val="12"/>
      <color theme="1"/>
      <name val="Arial"/>
      <family val="2"/>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i/>
      <sz val="12"/>
      <color theme="1"/>
      <name val="Times New Roman"/>
      <family val="1"/>
    </font>
    <font>
      <b/>
      <sz val="12"/>
      <color theme="1"/>
      <name val="Calibri"/>
      <family val="2"/>
      <scheme val="minor"/>
    </font>
    <font>
      <sz val="12"/>
      <color indexed="8"/>
      <name val="Times New Roman"/>
      <family val="1"/>
    </font>
    <font>
      <sz val="10"/>
      <name val="Courier"/>
    </font>
    <font>
      <vertAlign val="superscript"/>
      <sz val="10"/>
      <name val="Arial"/>
      <family val="2"/>
    </font>
    <font>
      <b/>
      <sz val="11"/>
      <name val="Arial"/>
      <family val="2"/>
    </font>
    <font>
      <b/>
      <i/>
      <u/>
      <sz val="20"/>
      <color theme="1"/>
      <name val="Times New Roman"/>
      <family val="1"/>
    </font>
    <font>
      <b/>
      <i/>
      <u/>
      <sz val="22"/>
      <color theme="1"/>
      <name val="Times New Roman"/>
      <family val="1"/>
    </font>
    <font>
      <b/>
      <i/>
      <u/>
      <sz val="24"/>
      <color theme="1"/>
      <name val="Times New Roman"/>
      <family val="1"/>
    </font>
    <font>
      <b/>
      <i/>
      <u/>
      <sz val="12"/>
      <name val="Times New Roman"/>
      <family val="1"/>
    </font>
    <font>
      <b/>
      <i/>
      <u/>
      <sz val="18"/>
      <color theme="1"/>
      <name val="Times New Roman"/>
      <family val="1"/>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s>
  <borders count="1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bottom/>
      <diagonal/>
    </border>
    <border>
      <left/>
      <right style="thick">
        <color indexed="64"/>
      </right>
      <top/>
      <bottom/>
      <diagonal/>
    </border>
    <border>
      <left style="thick">
        <color auto="1"/>
      </left>
      <right style="thick">
        <color auto="1"/>
      </right>
      <top/>
      <bottom/>
      <diagonal/>
    </border>
    <border>
      <left style="thick">
        <color auto="1"/>
      </left>
      <right/>
      <top style="thin">
        <color indexed="64"/>
      </top>
      <bottom/>
      <diagonal/>
    </border>
    <border>
      <left/>
      <right style="thick">
        <color indexed="64"/>
      </right>
      <top style="thin">
        <color indexed="64"/>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25798">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9" fillId="76" borderId="68" applyNumberFormat="0" applyFon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24" fillId="59" borderId="72" applyNumberFormat="0" applyFont="0" applyAlignment="0" applyProtection="0">
      <protection locked="0"/>
    </xf>
    <xf numFmtId="0" fontId="63" fillId="59" borderId="72" applyNumberFormat="0" applyFont="0" applyFill="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0" fontId="105" fillId="0" borderId="70"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72" applyNumberFormat="0" applyFont="0" applyFill="0" applyAlignment="0" applyProtection="0">
      <protection locked="0"/>
    </xf>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14" fillId="79" borderId="69"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02" fillId="79"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110" fillId="77" borderId="67" applyNumberFormat="0" applyAlignment="0" applyProtection="0"/>
    <xf numFmtId="0" fontId="24" fillId="59" borderId="72" applyNumberFormat="0" applyFont="0" applyAlignment="0" applyProtection="0">
      <protection locked="0"/>
    </xf>
    <xf numFmtId="0" fontId="105" fillId="0" borderId="70" applyNumberFormat="0" applyFill="0" applyAlignment="0" applyProtection="0"/>
    <xf numFmtId="0" fontId="105" fillId="0" borderId="70" applyNumberFormat="0" applyFill="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02" fillId="79"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10" fillId="77" borderId="73" applyNumberForma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9" fillId="76" borderId="74" applyNumberFormat="0" applyFon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0" fontId="114" fillId="79" borderId="75" applyNumberFormat="0" applyAlignment="0" applyProtection="0"/>
    <xf numFmtId="4" fontId="27" fillId="37" borderId="76" applyNumberFormat="0" applyProtection="0">
      <alignment vertical="center"/>
    </xf>
    <xf numFmtId="4" fontId="46" fillId="38" borderId="76" applyNumberFormat="0" applyProtection="0">
      <alignment vertical="center"/>
    </xf>
    <xf numFmtId="4" fontId="27" fillId="38" borderId="76" applyNumberFormat="0" applyProtection="0">
      <alignment horizontal="left" vertical="center" indent="1"/>
    </xf>
    <xf numFmtId="0" fontId="27" fillId="38" borderId="76" applyNumberFormat="0" applyProtection="0">
      <alignment horizontal="left" vertical="top" indent="1"/>
    </xf>
    <xf numFmtId="4" fontId="47" fillId="39" borderId="76" applyNumberFormat="0" applyProtection="0">
      <alignment horizontal="right" vertical="center"/>
    </xf>
    <xf numFmtId="4" fontId="47" fillId="40" borderId="76" applyNumberFormat="0" applyProtection="0">
      <alignment horizontal="right" vertical="center"/>
    </xf>
    <xf numFmtId="4" fontId="47" fillId="41" borderId="76" applyNumberFormat="0" applyProtection="0">
      <alignment horizontal="right" vertical="center"/>
    </xf>
    <xf numFmtId="4" fontId="47" fillId="42" borderId="76" applyNumberFormat="0" applyProtection="0">
      <alignment horizontal="right" vertical="center"/>
    </xf>
    <xf numFmtId="4" fontId="47" fillId="43" borderId="76" applyNumberFormat="0" applyProtection="0">
      <alignment horizontal="right" vertical="center"/>
    </xf>
    <xf numFmtId="4" fontId="47" fillId="44" borderId="76" applyNumberFormat="0" applyProtection="0">
      <alignment horizontal="right" vertical="center"/>
    </xf>
    <xf numFmtId="4" fontId="47" fillId="45" borderId="76" applyNumberFormat="0" applyProtection="0">
      <alignment horizontal="right" vertical="center"/>
    </xf>
    <xf numFmtId="4" fontId="47" fillId="46" borderId="76" applyNumberFormat="0" applyProtection="0">
      <alignment horizontal="right" vertical="center"/>
    </xf>
    <xf numFmtId="4" fontId="47" fillId="47" borderId="76" applyNumberFormat="0" applyProtection="0">
      <alignment horizontal="right" vertical="center"/>
    </xf>
    <xf numFmtId="4" fontId="47" fillId="51" borderId="76" applyNumberFormat="0" applyProtection="0">
      <alignment horizontal="right" vertical="center"/>
    </xf>
    <xf numFmtId="0" fontId="19" fillId="50" borderId="76" applyNumberFormat="0" applyProtection="0">
      <alignment horizontal="left" vertical="center" indent="1"/>
    </xf>
    <xf numFmtId="0" fontId="19" fillId="84" borderId="76" applyNumberFormat="0" applyProtection="0">
      <alignment horizontal="left" vertical="center" indent="1"/>
    </xf>
    <xf numFmtId="0" fontId="19" fillId="84" borderId="76" applyNumberFormat="0" applyProtection="0">
      <alignment horizontal="left" vertical="center" indent="1"/>
    </xf>
    <xf numFmtId="0" fontId="19" fillId="50" borderId="76" applyNumberFormat="0" applyProtection="0">
      <alignment horizontal="left" vertical="top" indent="1"/>
    </xf>
    <xf numFmtId="0" fontId="19" fillId="84" borderId="76" applyNumberFormat="0" applyProtection="0">
      <alignment horizontal="left" vertical="top" indent="1"/>
    </xf>
    <xf numFmtId="0" fontId="19" fillId="84" borderId="76" applyNumberFormat="0" applyProtection="0">
      <alignment horizontal="left" vertical="top" indent="1"/>
    </xf>
    <xf numFmtId="0" fontId="19" fillId="34" borderId="76" applyNumberFormat="0" applyProtection="0">
      <alignment horizontal="left" vertical="center" indent="1"/>
    </xf>
    <xf numFmtId="0" fontId="19" fillId="51" borderId="76" applyNumberFormat="0" applyProtection="0">
      <alignment horizontal="left" vertical="center" indent="1"/>
    </xf>
    <xf numFmtId="0" fontId="19" fillId="51" borderId="76" applyNumberFormat="0" applyProtection="0">
      <alignment horizontal="left" vertical="center" indent="1"/>
    </xf>
    <xf numFmtId="0" fontId="19" fillId="34" borderId="76" applyNumberFormat="0" applyProtection="0">
      <alignment horizontal="left" vertical="top" indent="1"/>
    </xf>
    <xf numFmtId="0" fontId="19" fillId="51" borderId="76" applyNumberFormat="0" applyProtection="0">
      <alignment horizontal="left" vertical="top" indent="1"/>
    </xf>
    <xf numFmtId="0" fontId="19" fillId="51" borderId="76" applyNumberFormat="0" applyProtection="0">
      <alignment horizontal="left" vertical="top" indent="1"/>
    </xf>
    <xf numFmtId="0" fontId="19" fillId="54" borderId="76" applyNumberFormat="0" applyProtection="0">
      <alignment horizontal="left" vertical="center" indent="1"/>
    </xf>
    <xf numFmtId="0" fontId="19" fillId="85" borderId="76" applyNumberFormat="0" applyProtection="0">
      <alignment horizontal="left" vertical="center" indent="1"/>
    </xf>
    <xf numFmtId="0" fontId="19" fillId="85" borderId="76" applyNumberFormat="0" applyProtection="0">
      <alignment horizontal="left" vertical="center" indent="1"/>
    </xf>
    <xf numFmtId="0" fontId="19" fillId="54" borderId="76" applyNumberFormat="0" applyProtection="0">
      <alignment horizontal="left" vertical="top" indent="1"/>
    </xf>
    <xf numFmtId="0" fontId="19" fillId="85" borderId="76" applyNumberFormat="0" applyProtection="0">
      <alignment horizontal="left" vertical="top" indent="1"/>
    </xf>
    <xf numFmtId="0" fontId="19" fillId="85" borderId="76" applyNumberFormat="0" applyProtection="0">
      <alignment horizontal="left" vertical="top" indent="1"/>
    </xf>
    <xf numFmtId="0" fontId="19" fillId="55" borderId="76" applyNumberFormat="0" applyProtection="0">
      <alignment horizontal="left" vertical="center" indent="1"/>
    </xf>
    <xf numFmtId="0" fontId="19" fillId="49" borderId="76" applyNumberFormat="0" applyProtection="0">
      <alignment horizontal="left" vertical="center" indent="1"/>
    </xf>
    <xf numFmtId="0" fontId="19" fillId="49" borderId="76" applyNumberFormat="0" applyProtection="0">
      <alignment horizontal="left" vertical="center" indent="1"/>
    </xf>
    <xf numFmtId="0" fontId="19" fillId="55" borderId="76" applyNumberFormat="0" applyProtection="0">
      <alignment horizontal="left" vertical="top" indent="1"/>
    </xf>
    <xf numFmtId="0" fontId="19" fillId="49" borderId="76" applyNumberFormat="0" applyProtection="0">
      <alignment horizontal="left" vertical="top" indent="1"/>
    </xf>
    <xf numFmtId="0" fontId="19" fillId="49" borderId="76" applyNumberFormat="0" applyProtection="0">
      <alignment horizontal="left" vertical="top" indent="1"/>
    </xf>
    <xf numFmtId="4" fontId="47" fillId="35" borderId="76" applyNumberFormat="0" applyProtection="0">
      <alignment vertical="center"/>
    </xf>
    <xf numFmtId="4" fontId="51" fillId="35" borderId="76" applyNumberFormat="0" applyProtection="0">
      <alignment vertical="center"/>
    </xf>
    <xf numFmtId="4" fontId="47" fillId="35" borderId="76" applyNumberFormat="0" applyProtection="0">
      <alignment horizontal="left" vertical="center" indent="1"/>
    </xf>
    <xf numFmtId="0" fontId="47" fillId="35" borderId="76" applyNumberFormat="0" applyProtection="0">
      <alignment horizontal="left" vertical="top" indent="1"/>
    </xf>
    <xf numFmtId="4" fontId="47" fillId="0" borderId="76" applyNumberFormat="0" applyProtection="0">
      <alignment horizontal="right" vertical="center"/>
    </xf>
    <xf numFmtId="4" fontId="51" fillId="49" borderId="76" applyNumberFormat="0" applyProtection="0">
      <alignment horizontal="right" vertical="center"/>
    </xf>
    <xf numFmtId="4" fontId="47" fillId="0" borderId="76" applyNumberFormat="0" applyProtection="0">
      <alignment horizontal="left" vertical="center" indent="1"/>
    </xf>
    <xf numFmtId="0" fontId="47" fillId="34" borderId="76" applyNumberFormat="0" applyProtection="0">
      <alignment horizontal="left" vertical="top"/>
    </xf>
    <xf numFmtId="4" fontId="25" fillId="49" borderId="76" applyNumberFormat="0" applyProtection="0">
      <alignment horizontal="right" vertical="center"/>
    </xf>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0" fontId="105" fillId="0" borderId="77" applyNumberFormat="0" applyFill="0" applyAlignment="0" applyProtection="0"/>
    <xf numFmtId="178" fontId="30" fillId="0" borderId="0"/>
    <xf numFmtId="0" fontId="19" fillId="0" borderId="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20"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20" fillId="0" borderId="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0" fontId="120"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9" fillId="0" borderId="0"/>
  </cellStyleXfs>
  <cellXfs count="1080">
    <xf numFmtId="0" fontId="0" fillId="0" borderId="0" xfId="0"/>
    <xf numFmtId="178" fontId="32" fillId="0" borderId="0" xfId="25741" applyFont="1" applyFill="1" applyAlignment="1">
      <alignment horizontal="centerContinuous"/>
    </xf>
    <xf numFmtId="0" fontId="32" fillId="0" borderId="0" xfId="0" applyFont="1" applyAlignment="1">
      <alignment horizontal="centerContinuous"/>
    </xf>
    <xf numFmtId="0" fontId="0" fillId="0" borderId="0" xfId="0" applyBorder="1"/>
    <xf numFmtId="0" fontId="0" fillId="0" borderId="0" xfId="0"/>
    <xf numFmtId="0" fontId="123" fillId="0" borderId="0" xfId="24690" applyFont="1" applyFill="1" applyBorder="1" applyAlignment="1"/>
    <xf numFmtId="0" fontId="124" fillId="0" borderId="0" xfId="0" applyFont="1"/>
    <xf numFmtId="49" fontId="123" fillId="0" borderId="0" xfId="24690" applyNumberFormat="1" applyFont="1" applyFill="1" applyBorder="1" applyAlignment="1"/>
    <xf numFmtId="0" fontId="124" fillId="0" borderId="0" xfId="0" applyFont="1" applyAlignment="1">
      <alignment horizontal="center"/>
    </xf>
    <xf numFmtId="0" fontId="124" fillId="0" borderId="0" xfId="0" applyFont="1" applyAlignment="1">
      <alignment vertical="center" wrapText="1"/>
    </xf>
    <xf numFmtId="0" fontId="124" fillId="0" borderId="0" xfId="0" applyFont="1" applyAlignment="1">
      <alignment wrapText="1"/>
    </xf>
    <xf numFmtId="0" fontId="124" fillId="0" borderId="0" xfId="0" applyFont="1" applyFill="1" applyAlignment="1">
      <alignment vertical="center" wrapText="1"/>
    </xf>
    <xf numFmtId="0" fontId="124" fillId="0" borderId="0" xfId="0" applyFont="1" applyAlignment="1">
      <alignment vertical="top" wrapText="1"/>
    </xf>
    <xf numFmtId="0" fontId="124" fillId="97" borderId="0" xfId="0" applyFont="1" applyFill="1" applyAlignment="1">
      <alignment vertical="center"/>
    </xf>
    <xf numFmtId="0" fontId="124" fillId="0" borderId="0" xfId="0" applyFont="1" applyAlignment="1">
      <alignment vertical="center"/>
    </xf>
    <xf numFmtId="0" fontId="125" fillId="0" borderId="0" xfId="0" applyFont="1" applyAlignment="1">
      <alignment horizontal="center"/>
    </xf>
    <xf numFmtId="0" fontId="124" fillId="0" borderId="0" xfId="0" applyFont="1" applyAlignment="1">
      <alignment horizontal="center" vertical="center"/>
    </xf>
    <xf numFmtId="49" fontId="123" fillId="0" borderId="0" xfId="24690" applyNumberFormat="1" applyFont="1" applyFill="1" applyBorder="1" applyAlignment="1">
      <alignment horizontal="center"/>
    </xf>
    <xf numFmtId="0" fontId="124" fillId="0" borderId="0" xfId="0" applyFont="1" applyBorder="1" applyAlignment="1">
      <alignment horizontal="center"/>
    </xf>
    <xf numFmtId="0" fontId="124" fillId="0" borderId="0" xfId="0" applyFont="1" applyBorder="1"/>
    <xf numFmtId="0" fontId="126" fillId="0" borderId="0" xfId="0" applyFont="1" applyAlignment="1">
      <alignment horizontal="right" vertical="center"/>
    </xf>
    <xf numFmtId="0" fontId="124" fillId="0" borderId="0" xfId="0" applyFont="1" applyAlignment="1">
      <alignment horizontal="right" vertical="center"/>
    </xf>
    <xf numFmtId="0" fontId="124" fillId="0" borderId="0" xfId="0" applyFont="1" applyBorder="1" applyAlignment="1">
      <alignment horizontal="right" vertical="center"/>
    </xf>
    <xf numFmtId="0" fontId="126" fillId="0" borderId="0" xfId="0" applyFont="1" applyBorder="1" applyAlignment="1">
      <alignment horizontal="center" vertical="center"/>
    </xf>
    <xf numFmtId="0" fontId="127" fillId="0" borderId="0" xfId="0" applyFont="1" applyBorder="1" applyAlignment="1">
      <alignment horizontal="center" vertical="center"/>
    </xf>
    <xf numFmtId="0" fontId="61" fillId="0" borderId="0" xfId="0" applyFont="1" applyBorder="1" applyAlignment="1">
      <alignment vertical="center"/>
    </xf>
    <xf numFmtId="197" fontId="0" fillId="0" borderId="0" xfId="0" applyNumberFormat="1"/>
    <xf numFmtId="0" fontId="127" fillId="0" borderId="0" xfId="0" applyFont="1" applyAlignment="1">
      <alignment horizontal="center"/>
    </xf>
    <xf numFmtId="0" fontId="124" fillId="0" borderId="0" xfId="0" applyFont="1" applyBorder="1" applyAlignment="1">
      <alignment horizontal="left"/>
    </xf>
    <xf numFmtId="0" fontId="32" fillId="0" borderId="0" xfId="25295" quotePrefix="1" applyFont="1" applyFill="1" applyBorder="1" applyAlignment="1"/>
    <xf numFmtId="0" fontId="124" fillId="0" borderId="0" xfId="0" applyFont="1" applyFill="1"/>
    <xf numFmtId="0" fontId="127" fillId="0" borderId="0" xfId="0" applyFont="1"/>
    <xf numFmtId="0" fontId="124" fillId="0" borderId="0" xfId="0" applyFont="1" applyFill="1" applyAlignment="1">
      <alignment horizontal="center"/>
    </xf>
    <xf numFmtId="0" fontId="32" fillId="0" borderId="0" xfId="0" applyFont="1" applyAlignment="1">
      <alignment horizontal="center"/>
    </xf>
    <xf numFmtId="0" fontId="123" fillId="0" borderId="0" xfId="24690" applyFont="1" applyFill="1" applyBorder="1" applyAlignment="1">
      <alignment horizontal="center"/>
    </xf>
    <xf numFmtId="0" fontId="126" fillId="0" borderId="0" xfId="0" applyFont="1" applyAlignment="1">
      <alignment horizontal="center"/>
    </xf>
    <xf numFmtId="0" fontId="123" fillId="0" borderId="0" xfId="0" applyFont="1" applyAlignment="1">
      <alignment horizontal="center"/>
    </xf>
    <xf numFmtId="0" fontId="124" fillId="0" borderId="0" xfId="0" applyFont="1" applyAlignment="1"/>
    <xf numFmtId="0" fontId="123" fillId="0" borderId="0" xfId="24690" applyFont="1" applyFill="1" applyBorder="1" applyAlignment="1">
      <alignment horizontal="center"/>
    </xf>
    <xf numFmtId="0" fontId="123" fillId="0" borderId="0" xfId="0" applyFont="1" applyAlignment="1">
      <alignment horizontal="center"/>
    </xf>
    <xf numFmtId="0" fontId="124" fillId="0" borderId="0" xfId="0" applyFont="1" applyBorder="1" applyAlignment="1">
      <alignment vertical="center"/>
    </xf>
    <xf numFmtId="0" fontId="123"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14" fontId="32" fillId="0" borderId="80" xfId="1" applyNumberFormat="1" applyFont="1" applyFill="1" applyBorder="1" applyAlignment="1">
      <alignment horizontal="center"/>
    </xf>
    <xf numFmtId="0" fontId="32" fillId="0" borderId="81" xfId="1" applyFont="1" applyBorder="1"/>
    <xf numFmtId="0" fontId="32" fillId="0" borderId="79" xfId="1" applyFont="1" applyBorder="1"/>
    <xf numFmtId="0" fontId="32" fillId="0" borderId="79" xfId="1" applyFont="1" applyBorder="1" applyAlignment="1">
      <alignment horizontal="center"/>
    </xf>
    <xf numFmtId="0" fontId="32" fillId="0" borderId="81" xfId="1" applyFont="1" applyBorder="1" applyAlignment="1">
      <alignment horizontal="center"/>
    </xf>
    <xf numFmtId="0" fontId="32" fillId="0" borderId="78" xfId="1" applyFont="1" applyBorder="1"/>
    <xf numFmtId="0" fontId="32" fillId="0" borderId="11" xfId="1" applyFont="1" applyBorder="1"/>
    <xf numFmtId="0" fontId="32" fillId="0" borderId="35" xfId="1" applyFont="1" applyFill="1" applyBorder="1" applyAlignment="1">
      <alignment horizontal="center"/>
    </xf>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35" xfId="1" applyNumberFormat="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54" xfId="1" applyFont="1" applyBorder="1"/>
    <xf numFmtId="0" fontId="32" fillId="0" borderId="56" xfId="1" applyFont="1" applyBorder="1"/>
    <xf numFmtId="0" fontId="32" fillId="0" borderId="89" xfId="1" applyFont="1" applyBorder="1"/>
    <xf numFmtId="0" fontId="32" fillId="0" borderId="15" xfId="1" applyFont="1" applyBorder="1"/>
    <xf numFmtId="0" fontId="32" fillId="0" borderId="35" xfId="1" applyFont="1" applyBorder="1"/>
    <xf numFmtId="184" fontId="32" fillId="0" borderId="0" xfId="3" applyNumberFormat="1" applyFont="1" applyBorder="1">
      <alignment horizontal="right"/>
    </xf>
    <xf numFmtId="0" fontId="32" fillId="0" borderId="0" xfId="1" applyFont="1" applyFill="1" applyBorder="1" applyProtection="1"/>
    <xf numFmtId="0" fontId="32" fillId="0" borderId="11" xfId="1" applyFont="1" applyFill="1" applyBorder="1"/>
    <xf numFmtId="38" fontId="32" fillId="0" borderId="35" xfId="3" applyNumberFormat="1" applyFont="1" applyFill="1" applyBorder="1" applyProtection="1">
      <alignment horizontal="right"/>
    </xf>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5" fontId="32" fillId="0" borderId="0" xfId="3" applyNumberFormat="1" applyFont="1" applyBorder="1">
      <alignment horizontal="right"/>
    </xf>
    <xf numFmtId="38" fontId="32" fillId="0" borderId="0" xfId="2" applyNumberFormat="1" applyFont="1" applyFill="1" applyBorder="1" applyProtection="1"/>
    <xf numFmtId="38" fontId="32" fillId="0" borderId="35" xfId="2" applyNumberFormat="1" applyFont="1" applyFill="1" applyBorder="1" applyProtection="1"/>
    <xf numFmtId="37" fontId="32" fillId="0" borderId="0" xfId="2" applyNumberFormat="1" applyFont="1" applyBorder="1"/>
    <xf numFmtId="0" fontId="32" fillId="0" borderId="0" xfId="1" applyFont="1" applyFill="1" applyBorder="1"/>
    <xf numFmtId="38" fontId="32" fillId="0" borderId="54" xfId="2" applyNumberFormat="1" applyFont="1" applyFill="1" applyBorder="1" applyProtection="1"/>
    <xf numFmtId="0" fontId="123" fillId="0" borderId="0" xfId="1" applyFont="1" applyFill="1" applyBorder="1" applyProtection="1"/>
    <xf numFmtId="38" fontId="32" fillId="0" borderId="79" xfId="2" applyNumberFormat="1" applyFont="1" applyFill="1" applyBorder="1" applyProtection="1"/>
    <xf numFmtId="38" fontId="32" fillId="0" borderId="81" xfId="2" applyNumberFormat="1" applyFont="1" applyFill="1" applyBorder="1" applyProtection="1"/>
    <xf numFmtId="38" fontId="32" fillId="0" borderId="11" xfId="2" applyNumberFormat="1" applyFont="1" applyFill="1" applyBorder="1" applyProtection="1"/>
    <xf numFmtId="168" fontId="124" fillId="0" borderId="0" xfId="25795"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166" fontId="32" fillId="0" borderId="0" xfId="2" applyNumberFormat="1" applyFont="1" applyBorder="1"/>
    <xf numFmtId="38" fontId="124" fillId="0" borderId="0" xfId="0" applyNumberFormat="1" applyFont="1"/>
    <xf numFmtId="43" fontId="124" fillId="0" borderId="0" xfId="0" applyNumberFormat="1" applyFont="1"/>
    <xf numFmtId="38" fontId="32" fillId="0" borderId="0" xfId="2" applyNumberFormat="1" applyFont="1" applyFill="1" applyBorder="1"/>
    <xf numFmtId="38" fontId="124" fillId="0" borderId="35" xfId="0" applyNumberFormat="1" applyFont="1" applyFill="1" applyBorder="1"/>
    <xf numFmtId="0" fontId="123" fillId="0" borderId="0" xfId="1" applyFont="1" applyFill="1" applyBorder="1"/>
    <xf numFmtId="38" fontId="32" fillId="33" borderId="87" xfId="3" applyNumberFormat="1" applyFont="1" applyFill="1" applyBorder="1">
      <alignment horizontal="right"/>
    </xf>
    <xf numFmtId="38" fontId="32" fillId="33" borderId="82" xfId="3" applyNumberFormat="1" applyFont="1" applyFill="1" applyBorder="1">
      <alignment horizontal="right"/>
    </xf>
    <xf numFmtId="38" fontId="32" fillId="33" borderId="0" xfId="3" applyNumberFormat="1" applyFont="1" applyFill="1" applyBorder="1">
      <alignment horizontal="right"/>
    </xf>
    <xf numFmtId="38" fontId="32" fillId="33" borderId="86" xfId="3" applyNumberFormat="1" applyFont="1" applyFill="1" applyBorder="1">
      <alignment horizontal="right"/>
    </xf>
    <xf numFmtId="0" fontId="124" fillId="0" borderId="0" xfId="0" applyFont="1" applyFill="1" applyBorder="1"/>
    <xf numFmtId="38" fontId="32" fillId="33" borderId="35" xfId="3" applyNumberFormat="1" applyFont="1" applyFill="1" applyBorder="1">
      <alignment horizontal="right"/>
    </xf>
    <xf numFmtId="38" fontId="32" fillId="33" borderId="11" xfId="3" applyNumberFormat="1" applyFont="1" applyFill="1" applyBorder="1">
      <alignment horizontal="right"/>
    </xf>
    <xf numFmtId="38" fontId="32" fillId="0" borderId="35" xfId="2" applyNumberFormat="1" applyFont="1" applyFill="1" applyBorder="1"/>
    <xf numFmtId="38" fontId="32" fillId="0" borderId="11" xfId="2" applyNumberFormat="1" applyFont="1" applyBorder="1"/>
    <xf numFmtId="38" fontId="32" fillId="33" borderId="18" xfId="3" applyNumberFormat="1" applyFont="1" applyFill="1" applyBorder="1">
      <alignment horizontal="right"/>
    </xf>
    <xf numFmtId="10" fontId="32" fillId="0" borderId="35" xfId="4" applyNumberFormat="1" applyFont="1" applyFill="1" applyBorder="1"/>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0" fontId="32" fillId="0" borderId="12" xfId="1" applyFont="1" applyBorder="1"/>
    <xf numFmtId="0" fontId="123" fillId="0" borderId="12" xfId="1" applyFont="1" applyFill="1" applyBorder="1"/>
    <xf numFmtId="0" fontId="32" fillId="0" borderId="13" xfId="1" applyFont="1" applyFill="1" applyBorder="1"/>
    <xf numFmtId="10" fontId="32" fillId="0" borderId="54" xfId="4" applyNumberFormat="1" applyFont="1" applyFill="1" applyBorder="1"/>
    <xf numFmtId="10" fontId="32" fillId="0" borderId="89" xfId="4" applyNumberFormat="1" applyFont="1" applyFill="1" applyBorder="1"/>
    <xf numFmtId="10" fontId="32" fillId="0" borderId="108" xfId="4" applyNumberFormat="1" applyFont="1" applyFill="1" applyBorder="1"/>
    <xf numFmtId="0" fontId="32" fillId="0" borderId="13" xfId="1" applyFont="1" applyBorder="1"/>
    <xf numFmtId="5" fontId="124" fillId="0" borderId="0" xfId="0" applyNumberFormat="1" applyFont="1"/>
    <xf numFmtId="0" fontId="32" fillId="0" borderId="0" xfId="25455" applyFont="1"/>
    <xf numFmtId="0" fontId="32" fillId="0" borderId="0" xfId="25455" applyFont="1" applyFill="1" applyBorder="1"/>
    <xf numFmtId="10" fontId="124" fillId="0" borderId="55" xfId="0" applyNumberFormat="1" applyFont="1" applyFill="1" applyBorder="1"/>
    <xf numFmtId="190" fontId="124" fillId="0" borderId="0" xfId="0" applyNumberFormat="1" applyFont="1"/>
    <xf numFmtId="190" fontId="124" fillId="0" borderId="55" xfId="0" applyNumberFormat="1" applyFont="1" applyBorder="1"/>
    <xf numFmtId="185" fontId="124" fillId="0" borderId="55" xfId="0" applyNumberFormat="1" applyFont="1" applyBorder="1"/>
    <xf numFmtId="190" fontId="126" fillId="0" borderId="82" xfId="0" applyNumberFormat="1" applyFont="1" applyBorder="1"/>
    <xf numFmtId="168" fontId="126" fillId="0" borderId="0" xfId="0" applyNumberFormat="1" applyFont="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32" fillId="86" borderId="11" xfId="24767" applyNumberFormat="1" applyFont="1" applyFill="1" applyBorder="1"/>
    <xf numFmtId="185" fontId="32" fillId="87" borderId="11" xfId="24767" applyNumberFormat="1" applyFont="1" applyFill="1" applyBorder="1"/>
    <xf numFmtId="185" fontId="124"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3" fillId="0" borderId="51" xfId="25276" applyNumberFormat="1" applyFont="1" applyFill="1" applyBorder="1"/>
    <xf numFmtId="0" fontId="32" fillId="0" borderId="17" xfId="25276" applyFont="1" applyBorder="1"/>
    <xf numFmtId="0" fontId="32" fillId="0" borderId="12" xfId="25276" applyFont="1" applyBorder="1"/>
    <xf numFmtId="0" fontId="32" fillId="0" borderId="35" xfId="0" applyFont="1" applyBorder="1" applyAlignment="1" applyProtection="1">
      <alignment horizontal="left"/>
    </xf>
    <xf numFmtId="0" fontId="32" fillId="0" borderId="0" xfId="0" applyFont="1" applyBorder="1"/>
    <xf numFmtId="189"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9" fillId="0" borderId="0" xfId="0" applyFont="1"/>
    <xf numFmtId="0" fontId="129" fillId="0" borderId="0" xfId="0" applyFont="1" applyBorder="1"/>
    <xf numFmtId="0" fontId="130" fillId="0" borderId="0" xfId="0" applyFont="1" applyBorder="1" applyAlignment="1">
      <alignment vertical="center"/>
    </xf>
    <xf numFmtId="37" fontId="32" fillId="0" borderId="0" xfId="25455" applyNumberFormat="1" applyFont="1"/>
    <xf numFmtId="37" fontId="124" fillId="0" borderId="0" xfId="0" applyNumberFormat="1" applyFont="1"/>
    <xf numFmtId="0" fontId="32" fillId="0" borderId="0" xfId="25455" quotePrefix="1" applyFont="1" applyFill="1" applyBorder="1" applyAlignment="1"/>
    <xf numFmtId="0" fontId="32" fillId="0" borderId="0" xfId="25455" quotePrefix="1" applyFont="1" applyFill="1" applyAlignment="1"/>
    <xf numFmtId="0" fontId="32" fillId="91"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80" xfId="25455" applyFont="1" applyBorder="1"/>
    <xf numFmtId="164" fontId="32" fillId="0" borderId="79" xfId="25455" applyNumberFormat="1" applyFont="1" applyBorder="1" applyAlignment="1"/>
    <xf numFmtId="0" fontId="32" fillId="0" borderId="81" xfId="25455" applyFont="1" applyBorder="1"/>
    <xf numFmtId="0" fontId="32" fillId="0" borderId="0" xfId="25455" applyFont="1" applyBorder="1"/>
    <xf numFmtId="0" fontId="32" fillId="0" borderId="78" xfId="25455" applyFont="1" applyFill="1" applyBorder="1" applyAlignment="1">
      <alignment horizontal="center"/>
    </xf>
    <xf numFmtId="37" fontId="32" fillId="0" borderId="78" xfId="25455" applyNumberFormat="1" applyFont="1" applyFill="1" applyBorder="1" applyAlignment="1">
      <alignment horizontal="center"/>
    </xf>
    <xf numFmtId="0" fontId="32" fillId="0" borderId="78" xfId="25455" applyFont="1" applyBorder="1" applyAlignment="1">
      <alignment horizontal="center"/>
    </xf>
    <xf numFmtId="0" fontId="123" fillId="0" borderId="95" xfId="25455" applyFont="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89" xfId="25455" applyFont="1" applyFill="1" applyBorder="1" applyAlignment="1">
      <alignment horizontal="center"/>
    </xf>
    <xf numFmtId="0" fontId="32" fillId="0" borderId="11" xfId="25455" applyFont="1" applyFill="1" applyBorder="1" applyAlignment="1">
      <alignment horizontal="center"/>
    </xf>
    <xf numFmtId="0" fontId="32" fillId="0" borderId="15" xfId="25455" applyFont="1" applyFill="1" applyBorder="1" applyAlignment="1">
      <alignment horizontal="center"/>
    </xf>
    <xf numFmtId="37" fontId="32" fillId="0" borderId="15" xfId="25455" applyNumberFormat="1" applyFont="1" applyFill="1" applyBorder="1" applyAlignment="1">
      <alignment horizontal="center"/>
    </xf>
    <xf numFmtId="0" fontId="32" fillId="0" borderId="15" xfId="25455" applyFont="1" applyBorder="1" applyAlignment="1">
      <alignment horizontal="center"/>
    </xf>
    <xf numFmtId="0" fontId="123" fillId="0" borderId="65" xfId="25455" applyFont="1" applyBorder="1" applyAlignment="1">
      <alignment horizontal="center"/>
    </xf>
    <xf numFmtId="37" fontId="32" fillId="0" borderId="15" xfId="25455" applyNumberFormat="1" applyFont="1" applyBorder="1" applyAlignment="1">
      <alignment horizontal="center"/>
    </xf>
    <xf numFmtId="0" fontId="32" fillId="0" borderId="54" xfId="25455" applyFont="1" applyBorder="1"/>
    <xf numFmtId="0" fontId="123" fillId="0" borderId="55" xfId="25455" quotePrefix="1" applyFont="1" applyBorder="1"/>
    <xf numFmtId="0" fontId="32" fillId="0" borderId="56" xfId="25455" applyFont="1" applyBorder="1"/>
    <xf numFmtId="49" fontId="32" fillId="0" borderId="16" xfId="25455" applyNumberFormat="1" applyFont="1" applyBorder="1" applyAlignment="1">
      <alignment horizontal="center"/>
    </xf>
    <xf numFmtId="49" fontId="32" fillId="0" borderId="16" xfId="25455" applyNumberFormat="1" applyFont="1" applyFill="1" applyBorder="1" applyAlignment="1">
      <alignment horizontal="center"/>
    </xf>
    <xf numFmtId="37" fontId="32" fillId="0" borderId="16" xfId="25455" applyNumberFormat="1" applyFont="1" applyBorder="1" applyAlignment="1">
      <alignment horizontal="center"/>
    </xf>
    <xf numFmtId="0" fontId="32" fillId="0" borderId="55" xfId="25455" applyFont="1" applyBorder="1"/>
    <xf numFmtId="0" fontId="32" fillId="0" borderId="66" xfId="25455" applyFont="1" applyBorder="1"/>
    <xf numFmtId="0" fontId="32" fillId="0" borderId="16" xfId="25455" applyFont="1" applyBorder="1"/>
    <xf numFmtId="0" fontId="32" fillId="0" borderId="89" xfId="25455" applyFont="1" applyFill="1" applyBorder="1"/>
    <xf numFmtId="0" fontId="32" fillId="0" borderId="89" xfId="25455" applyFont="1" applyBorder="1"/>
    <xf numFmtId="37" fontId="32" fillId="0" borderId="16" xfId="25455" applyNumberFormat="1" applyFont="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44" fontId="32" fillId="0" borderId="14" xfId="25457" applyNumberFormat="1" applyFont="1" applyFill="1" applyBorder="1">
      <alignment horizontal="right"/>
    </xf>
    <xf numFmtId="37"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3" fillId="0" borderId="0" xfId="25455" applyFont="1" applyBorder="1"/>
    <xf numFmtId="0" fontId="123" fillId="0" borderId="11" xfId="25455" applyFont="1" applyBorder="1"/>
    <xf numFmtId="0" fontId="123" fillId="0" borderId="0" xfId="25455" applyFont="1"/>
    <xf numFmtId="5" fontId="123" fillId="0" borderId="51" xfId="25457" applyNumberFormat="1" applyFont="1" applyBorder="1">
      <alignment horizontal="right"/>
    </xf>
    <xf numFmtId="5" fontId="123" fillId="0" borderId="51" xfId="25457" applyNumberFormat="1" applyFont="1" applyFill="1" applyBorder="1">
      <alignment horizontal="right"/>
    </xf>
    <xf numFmtId="5" fontId="123" fillId="97" borderId="51" xfId="25457" applyNumberFormat="1" applyFont="1" applyFill="1" applyBorder="1">
      <alignment horizontal="right"/>
    </xf>
    <xf numFmtId="5" fontId="123" fillId="0" borderId="78" xfId="25457" applyNumberFormat="1" applyFont="1" applyBorder="1">
      <alignment horizontal="right"/>
    </xf>
    <xf numFmtId="5" fontId="123" fillId="0" borderId="78" xfId="25457" applyNumberFormat="1" applyFont="1" applyFill="1" applyBorder="1">
      <alignment horizontal="right"/>
    </xf>
    <xf numFmtId="5" fontId="123" fillId="97" borderId="78" xfId="25457" applyNumberFormat="1" applyFont="1" applyFill="1" applyBorder="1">
      <alignment horizontal="right"/>
    </xf>
    <xf numFmtId="5" fontId="123"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5" fontId="32" fillId="86" borderId="14" xfId="25457" applyNumberFormat="1" applyFont="1" applyFill="1" applyBorder="1">
      <alignment horizontal="right"/>
    </xf>
    <xf numFmtId="41" fontId="32" fillId="86" borderId="14" xfId="25457" applyNumberFormat="1" applyFont="1" applyFill="1" applyBorder="1">
      <alignment horizontal="right"/>
    </xf>
    <xf numFmtId="5" fontId="32" fillId="87" borderId="14" xfId="25457" applyNumberFormat="1" applyFont="1" applyFill="1" applyBorder="1">
      <alignment horizontal="right"/>
    </xf>
    <xf numFmtId="5" fontId="128" fillId="87" borderId="14" xfId="25457" applyNumberFormat="1" applyFont="1" applyFill="1" applyBorder="1">
      <alignment horizontal="right"/>
    </xf>
    <xf numFmtId="37" fontId="32" fillId="86" borderId="14" xfId="25457" applyNumberFormat="1" applyFont="1" applyFill="1" applyBorder="1">
      <alignment horizontal="right"/>
    </xf>
    <xf numFmtId="5" fontId="32" fillId="0" borderId="14" xfId="25456" applyNumberFormat="1" applyFont="1" applyBorder="1"/>
    <xf numFmtId="182" fontId="32" fillId="86" borderId="14" xfId="25456" applyNumberFormat="1" applyFont="1" applyFill="1" applyBorder="1"/>
    <xf numFmtId="37" fontId="32" fillId="0" borderId="14" xfId="25456" applyNumberFormat="1" applyFont="1" applyBorder="1"/>
    <xf numFmtId="5" fontId="123" fillId="0" borderId="51" xfId="25456" applyNumberFormat="1" applyFont="1" applyBorder="1"/>
    <xf numFmtId="5" fontId="32" fillId="86" borderId="14" xfId="25456" applyNumberFormat="1" applyFont="1" applyFill="1" applyBorder="1"/>
    <xf numFmtId="5" fontId="32" fillId="87" borderId="14" xfId="25456" applyNumberFormat="1" applyFont="1" applyFill="1" applyBorder="1"/>
    <xf numFmtId="37" fontId="32" fillId="0" borderId="16" xfId="25456" applyNumberFormat="1" applyFont="1" applyBorder="1"/>
    <xf numFmtId="5" fontId="32" fillId="0" borderId="51" xfId="25457" applyNumberFormat="1" applyFont="1" applyBorder="1">
      <alignment horizontal="right"/>
    </xf>
    <xf numFmtId="5" fontId="123" fillId="0" borderId="64" xfId="25457" applyNumberFormat="1" applyFont="1" applyBorder="1">
      <alignment horizontal="right"/>
    </xf>
    <xf numFmtId="5" fontId="123" fillId="0" borderId="64" xfId="25457" applyNumberFormat="1" applyFont="1" applyFill="1" applyBorder="1">
      <alignment horizontal="right"/>
    </xf>
    <xf numFmtId="37" fontId="123" fillId="0" borderId="64" xfId="25457" applyNumberFormat="1" applyFont="1" applyBorder="1">
      <alignment horizontal="right"/>
    </xf>
    <xf numFmtId="5" fontId="123" fillId="0" borderId="64" xfId="25456" applyNumberFormat="1" applyFont="1" applyBorder="1"/>
    <xf numFmtId="5" fontId="123"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3" fillId="0" borderId="0" xfId="25455" applyFont="1" applyFill="1" applyBorder="1"/>
    <xf numFmtId="37" fontId="123" fillId="0" borderId="51" xfId="25457" applyNumberFormat="1" applyFont="1" applyBorder="1">
      <alignment horizontal="right"/>
    </xf>
    <xf numFmtId="183" fontId="123" fillId="0" borderId="51" xfId="25457" applyNumberFormat="1" applyFont="1" applyBorder="1">
      <alignment horizontal="right"/>
    </xf>
    <xf numFmtId="183" fontId="123" fillId="0" borderId="51" xfId="25457" applyNumberFormat="1" applyFont="1" applyFill="1" applyBorder="1">
      <alignment horizontal="right"/>
    </xf>
    <xf numFmtId="0" fontId="123" fillId="0" borderId="0" xfId="25455" applyFont="1" applyFill="1"/>
    <xf numFmtId="0" fontId="123" fillId="0" borderId="55" xfId="25455" applyFont="1" applyBorder="1"/>
    <xf numFmtId="0" fontId="123" fillId="0" borderId="55" xfId="25455" applyFont="1" applyFill="1" applyBorder="1"/>
    <xf numFmtId="0" fontId="123" fillId="0" borderId="56" xfId="25455" applyFont="1" applyBorder="1"/>
    <xf numFmtId="5" fontId="123" fillId="0" borderId="16" xfId="25455" applyNumberFormat="1" applyFont="1" applyBorder="1"/>
    <xf numFmtId="5" fontId="123" fillId="0" borderId="16" xfId="25455" applyNumberFormat="1" applyFont="1" applyFill="1" applyBorder="1"/>
    <xf numFmtId="5" fontId="123" fillId="97" borderId="16" xfId="25455" applyNumberFormat="1" applyFont="1" applyFill="1" applyBorder="1"/>
    <xf numFmtId="5" fontId="123" fillId="0" borderId="0" xfId="25455" applyNumberFormat="1" applyFont="1" applyFill="1"/>
    <xf numFmtId="6" fontId="32" fillId="0" borderId="0" xfId="25455" applyNumberFormat="1" applyFont="1"/>
    <xf numFmtId="6" fontId="124" fillId="0" borderId="0" xfId="0" applyNumberFormat="1" applyFont="1"/>
    <xf numFmtId="6" fontId="32" fillId="0" borderId="0" xfId="25455" applyNumberFormat="1" applyFont="1" applyFill="1" applyBorder="1"/>
    <xf numFmtId="194"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39" fontId="123" fillId="0" borderId="107" xfId="25744" applyNumberFormat="1" applyFont="1" applyBorder="1"/>
    <xf numFmtId="0" fontId="123" fillId="0" borderId="0" xfId="25752" applyFont="1" applyAlignment="1">
      <alignment horizontal="center" vertical="center" wrapText="1"/>
    </xf>
    <xf numFmtId="43" fontId="123" fillId="98" borderId="101" xfId="25744" applyFont="1" applyFill="1" applyBorder="1" applyAlignment="1">
      <alignment horizontal="center" vertical="center" wrapText="1"/>
    </xf>
    <xf numFmtId="43" fontId="123" fillId="98" borderId="0" xfId="25744" applyFont="1" applyFill="1" applyBorder="1" applyAlignment="1">
      <alignment horizontal="center" vertical="center" wrapText="1"/>
    </xf>
    <xf numFmtId="43" fontId="123" fillId="98" borderId="102" xfId="25744" applyFont="1" applyFill="1" applyBorder="1" applyAlignment="1">
      <alignment horizontal="center" vertical="center" wrapText="1"/>
    </xf>
    <xf numFmtId="43" fontId="123" fillId="99" borderId="0" xfId="25744" applyFont="1" applyFill="1" applyAlignment="1">
      <alignment horizontal="center" vertical="center" wrapText="1"/>
    </xf>
    <xf numFmtId="43" fontId="123" fillId="99" borderId="0" xfId="25744" applyFont="1" applyFill="1" applyBorder="1" applyAlignment="1">
      <alignment horizontal="center" vertical="center" wrapText="1"/>
    </xf>
    <xf numFmtId="43" fontId="123" fillId="0" borderId="0" xfId="25744" applyFont="1" applyFill="1" applyBorder="1" applyAlignment="1">
      <alignment horizontal="center" vertical="center" wrapText="1"/>
    </xf>
    <xf numFmtId="43" fontId="123" fillId="0" borderId="103" xfId="25744" applyFont="1" applyBorder="1" applyAlignment="1">
      <alignment horizontal="center" vertical="center" wrapText="1"/>
    </xf>
    <xf numFmtId="43" fontId="123" fillId="98" borderId="103" xfId="25744" applyFont="1" applyFill="1" applyBorder="1" applyAlignment="1">
      <alignment horizontal="center" vertical="center" wrapText="1"/>
    </xf>
    <xf numFmtId="43" fontId="123" fillId="99" borderId="103" xfId="25744" applyFont="1" applyFill="1" applyBorder="1" applyAlignment="1">
      <alignment horizontal="center" vertical="center" wrapText="1"/>
    </xf>
    <xf numFmtId="0" fontId="32" fillId="0" borderId="0" xfId="25796" applyFont="1"/>
    <xf numFmtId="43" fontId="32" fillId="98" borderId="101" xfId="25744" applyFont="1" applyFill="1" applyBorder="1"/>
    <xf numFmtId="43" fontId="32" fillId="98" borderId="0" xfId="25744" applyFont="1" applyFill="1" applyBorder="1"/>
    <xf numFmtId="43" fontId="32" fillId="98" borderId="102" xfId="25744" applyFont="1" applyFill="1" applyBorder="1"/>
    <xf numFmtId="43" fontId="32" fillId="99" borderId="0" xfId="25744" applyFont="1" applyFill="1"/>
    <xf numFmtId="14" fontId="32" fillId="0" borderId="0" xfId="25744" applyNumberFormat="1" applyFont="1" applyFill="1"/>
    <xf numFmtId="43" fontId="32" fillId="0" borderId="0" xfId="25744" applyFont="1" applyFill="1"/>
    <xf numFmtId="43" fontId="32" fillId="0" borderId="103" xfId="25744" applyFont="1" applyBorder="1"/>
    <xf numFmtId="39" fontId="32" fillId="0" borderId="0" xfId="25796" applyNumberFormat="1" applyFont="1"/>
    <xf numFmtId="43" fontId="32" fillId="98" borderId="103" xfId="25744" applyFont="1" applyFill="1" applyBorder="1"/>
    <xf numFmtId="43" fontId="32" fillId="99" borderId="103" xfId="25744" applyFont="1" applyFill="1" applyBorder="1"/>
    <xf numFmtId="39" fontId="32" fillId="0" borderId="0" xfId="25796" applyNumberFormat="1" applyFont="1" applyFill="1"/>
    <xf numFmtId="0" fontId="32" fillId="0" borderId="0" xfId="25796" applyFont="1" applyAlignment="1">
      <alignment horizontal="center"/>
    </xf>
    <xf numFmtId="43" fontId="32" fillId="98" borderId="89" xfId="25744" applyFont="1" applyFill="1" applyBorder="1"/>
    <xf numFmtId="0" fontId="32" fillId="0" borderId="0" xfId="25796" applyFont="1" applyFill="1"/>
    <xf numFmtId="43" fontId="32" fillId="0" borderId="101" xfId="25744" applyFont="1" applyFill="1" applyBorder="1"/>
    <xf numFmtId="43" fontId="32" fillId="0" borderId="0" xfId="25744" applyFont="1" applyFill="1" applyBorder="1"/>
    <xf numFmtId="43" fontId="32" fillId="0" borderId="102" xfId="25744" applyFont="1" applyFill="1" applyBorder="1"/>
    <xf numFmtId="43" fontId="32" fillId="0" borderId="103" xfId="25744" applyFont="1" applyFill="1" applyBorder="1"/>
    <xf numFmtId="43" fontId="32" fillId="89" borderId="103" xfId="25744" applyFont="1" applyFill="1" applyBorder="1"/>
    <xf numFmtId="0" fontId="32" fillId="0" borderId="0" xfId="25752" applyFont="1"/>
    <xf numFmtId="0" fontId="123" fillId="0" borderId="0" xfId="25752" applyFont="1" applyAlignment="1">
      <alignment horizontal="right"/>
    </xf>
    <xf numFmtId="43" fontId="32" fillId="98" borderId="104" xfId="25744" applyFont="1" applyFill="1" applyBorder="1"/>
    <xf numFmtId="43" fontId="32" fillId="98" borderId="79" xfId="25744" applyFont="1" applyFill="1" applyBorder="1"/>
    <xf numFmtId="43" fontId="32" fillId="98" borderId="105" xfId="25744" applyFont="1" applyFill="1" applyBorder="1"/>
    <xf numFmtId="43" fontId="32" fillId="99" borderId="79" xfId="25744" applyFont="1" applyFill="1" applyBorder="1"/>
    <xf numFmtId="43" fontId="32" fillId="0" borderId="79" xfId="25744" applyFont="1" applyFill="1" applyBorder="1"/>
    <xf numFmtId="43" fontId="32" fillId="0" borderId="106" xfId="25744" applyFont="1" applyBorder="1"/>
    <xf numFmtId="39" fontId="32" fillId="0" borderId="106" xfId="25744" applyNumberFormat="1" applyFont="1" applyBorder="1"/>
    <xf numFmtId="43" fontId="32" fillId="98" borderId="106" xfId="25744" applyFont="1" applyFill="1" applyBorder="1"/>
    <xf numFmtId="43" fontId="32" fillId="99" borderId="106" xfId="25744" applyFont="1" applyFill="1" applyBorder="1"/>
    <xf numFmtId="0" fontId="32" fillId="0" borderId="0" xfId="25752" applyFont="1" applyAlignment="1">
      <alignment horizontal="center"/>
    </xf>
    <xf numFmtId="43" fontId="32" fillId="99" borderId="0" xfId="25744" applyFont="1" applyFill="1" applyBorder="1"/>
    <xf numFmtId="39" fontId="32" fillId="0" borderId="0" xfId="25752" applyNumberFormat="1" applyFont="1"/>
    <xf numFmtId="43" fontId="32" fillId="0" borderId="0" xfId="25796" applyNumberFormat="1" applyFont="1"/>
    <xf numFmtId="39" fontId="32" fillId="0" borderId="103" xfId="25744" applyNumberFormat="1" applyFont="1" applyBorder="1"/>
    <xf numFmtId="39" fontId="123" fillId="0" borderId="106" xfId="25744" applyNumberFormat="1" applyFont="1" applyBorder="1"/>
    <xf numFmtId="43" fontId="32" fillId="0" borderId="0" xfId="25744" applyFont="1"/>
    <xf numFmtId="43" fontId="32" fillId="0" borderId="0" xfId="25744" applyFont="1" applyAlignment="1">
      <alignment horizontal="center"/>
    </xf>
    <xf numFmtId="0" fontId="32" fillId="0" borderId="0" xfId="25796" applyFont="1" applyAlignment="1">
      <alignment horizontal="right"/>
    </xf>
    <xf numFmtId="4" fontId="32" fillId="0" borderId="0" xfId="25796" applyNumberFormat="1" applyFont="1"/>
    <xf numFmtId="0" fontId="123" fillId="0" borderId="80" xfId="0" applyFont="1" applyBorder="1"/>
    <xf numFmtId="43" fontId="124" fillId="0" borderId="0" xfId="25747" applyNumberFormat="1" applyFont="1"/>
    <xf numFmtId="39" fontId="124" fillId="0" borderId="0" xfId="0" applyNumberFormat="1" applyFont="1"/>
    <xf numFmtId="43" fontId="126" fillId="0" borderId="0" xfId="0" applyNumberFormat="1" applyFont="1" applyAlignment="1">
      <alignment horizontal="center"/>
    </xf>
    <xf numFmtId="39" fontId="126" fillId="0" borderId="0" xfId="0" applyNumberFormat="1" applyFont="1" applyAlignment="1">
      <alignment horizontal="center"/>
    </xf>
    <xf numFmtId="43" fontId="126" fillId="0" borderId="0" xfId="25747" applyNumberFormat="1" applyFont="1" applyAlignment="1">
      <alignment horizontal="center"/>
    </xf>
    <xf numFmtId="0" fontId="32" fillId="0" borderId="79" xfId="0" applyFont="1" applyBorder="1"/>
    <xf numFmtId="0" fontId="32" fillId="92" borderId="0" xfId="0" applyFont="1" applyFill="1"/>
    <xf numFmtId="0" fontId="32" fillId="0" borderId="79" xfId="0" applyFont="1" applyBorder="1" applyAlignment="1">
      <alignment wrapText="1"/>
    </xf>
    <xf numFmtId="0" fontId="123" fillId="0" borderId="79" xfId="0" applyFont="1" applyBorder="1" applyAlignment="1">
      <alignment horizontal="center" wrapText="1"/>
    </xf>
    <xf numFmtId="0" fontId="123" fillId="0" borderId="0" xfId="0" applyFont="1" applyBorder="1" applyAlignment="1">
      <alignment horizontal="right"/>
    </xf>
    <xf numFmtId="10" fontId="32" fillId="0" borderId="0" xfId="25760" applyNumberFormat="1" applyFont="1" applyFill="1" applyBorder="1" applyAlignment="1" applyProtection="1">
      <alignment horizontal="center"/>
    </xf>
    <xf numFmtId="10" fontId="32" fillId="0" borderId="0" xfId="25760" applyNumberFormat="1" applyFont="1" applyFill="1" applyBorder="1" applyAlignment="1">
      <alignment horizontal="center"/>
    </xf>
    <xf numFmtId="43" fontId="32" fillId="0" borderId="78" xfId="25455" applyNumberFormat="1" applyFont="1" applyFill="1" applyBorder="1" applyAlignment="1">
      <alignment horizontal="center"/>
    </xf>
    <xf numFmtId="39" fontId="32" fillId="0" borderId="78" xfId="25455" applyNumberFormat="1" applyFont="1" applyFill="1" applyBorder="1" applyAlignment="1">
      <alignment horizontal="center"/>
    </xf>
    <xf numFmtId="43" fontId="32" fillId="0" borderId="78" xfId="25455" applyNumberFormat="1" applyFont="1" applyBorder="1" applyAlignment="1">
      <alignment horizontal="center"/>
    </xf>
    <xf numFmtId="43" fontId="32" fillId="0" borderId="78" xfId="25747" applyNumberFormat="1" applyFont="1" applyFill="1" applyBorder="1" applyAlignment="1">
      <alignment horizontal="center"/>
    </xf>
    <xf numFmtId="0" fontId="32" fillId="0" borderId="0" xfId="25455" applyFont="1" applyFill="1" applyBorder="1" applyAlignment="1">
      <alignment horizontal="center"/>
    </xf>
    <xf numFmtId="0" fontId="126" fillId="0" borderId="0" xfId="0" applyFont="1" applyFill="1" applyBorder="1" applyAlignment="1">
      <alignment horizontal="center"/>
    </xf>
    <xf numFmtId="43" fontId="32" fillId="0" borderId="15" xfId="25455" applyNumberFormat="1" applyFont="1" applyFill="1" applyBorder="1" applyAlignment="1">
      <alignment horizontal="center"/>
    </xf>
    <xf numFmtId="39" fontId="32" fillId="0" borderId="15" xfId="25455" applyNumberFormat="1" applyFont="1" applyFill="1" applyBorder="1" applyAlignment="1">
      <alignment horizontal="center"/>
    </xf>
    <xf numFmtId="43" fontId="32" fillId="0" borderId="15" xfId="25455" applyNumberFormat="1" applyFont="1" applyBorder="1" applyAlignment="1">
      <alignment horizontal="center"/>
    </xf>
    <xf numFmtId="43" fontId="32" fillId="0" borderId="15" xfId="25747" applyNumberFormat="1" applyFont="1" applyFill="1" applyBorder="1" applyAlignment="1">
      <alignment horizontal="center"/>
    </xf>
    <xf numFmtId="0" fontId="123" fillId="92" borderId="79" xfId="0" applyFont="1" applyFill="1" applyBorder="1" applyAlignment="1">
      <alignment horizontal="center"/>
    </xf>
    <xf numFmtId="39" fontId="123" fillId="92" borderId="89" xfId="25745" applyFont="1" applyFill="1" applyBorder="1" applyAlignment="1" applyProtection="1">
      <alignment horizontal="center" wrapText="1"/>
    </xf>
    <xf numFmtId="191" fontId="123" fillId="94" borderId="54" xfId="25745" applyNumberFormat="1" applyFont="1" applyFill="1" applyBorder="1" applyAlignment="1" applyProtection="1">
      <alignment horizontal="center" wrapText="1"/>
    </xf>
    <xf numFmtId="39" fontId="123" fillId="94" borderId="89" xfId="25745" applyFont="1" applyFill="1" applyBorder="1" applyAlignment="1" applyProtection="1">
      <alignment horizontal="center" wrapText="1"/>
    </xf>
    <xf numFmtId="39" fontId="123" fillId="94" borderId="56" xfId="25745" applyFont="1" applyFill="1" applyBorder="1" applyAlignment="1" applyProtection="1">
      <alignment horizontal="center" wrapText="1"/>
    </xf>
    <xf numFmtId="43" fontId="123" fillId="94" borderId="0" xfId="25745" applyNumberFormat="1" applyFont="1" applyFill="1" applyBorder="1" applyAlignment="1" applyProtection="1">
      <alignment horizontal="center" wrapText="1"/>
    </xf>
    <xf numFmtId="39" fontId="123" fillId="94" borderId="0" xfId="25745" applyNumberFormat="1" applyFont="1" applyFill="1" applyBorder="1" applyAlignment="1" applyProtection="1">
      <alignment horizontal="center" wrapText="1"/>
    </xf>
    <xf numFmtId="43" fontId="123" fillId="94" borderId="0" xfId="25747" applyNumberFormat="1" applyFont="1" applyFill="1" applyBorder="1" applyAlignment="1" applyProtection="1">
      <alignment horizontal="center" wrapText="1"/>
    </xf>
    <xf numFmtId="39" fontId="123" fillId="94" borderId="0" xfId="25745" applyFont="1" applyFill="1" applyBorder="1" applyAlignment="1" applyProtection="1">
      <alignment horizontal="center" wrapText="1"/>
    </xf>
    <xf numFmtId="39" fontId="123" fillId="0" borderId="35" xfId="25745" applyFont="1" applyBorder="1" applyAlignment="1" applyProtection="1">
      <alignment horizontal="left"/>
    </xf>
    <xf numFmtId="39" fontId="32" fillId="0" borderId="11" xfId="25745" applyFont="1" applyBorder="1"/>
    <xf numFmtId="0" fontId="32" fillId="92" borderId="0" xfId="0" applyFont="1" applyFill="1" applyBorder="1"/>
    <xf numFmtId="0" fontId="32" fillId="0" borderId="11" xfId="0" applyFont="1" applyBorder="1"/>
    <xf numFmtId="39" fontId="32" fillId="0" borderId="35" xfId="25745" applyFont="1" applyBorder="1" applyAlignment="1" applyProtection="1">
      <alignment horizontal="center"/>
    </xf>
    <xf numFmtId="39" fontId="32" fillId="0" borderId="11" xfId="25745" applyFont="1" applyBorder="1" applyAlignment="1" applyProtection="1">
      <alignment horizontal="left"/>
    </xf>
    <xf numFmtId="43" fontId="32" fillId="92" borderId="0" xfId="0" applyNumberFormat="1" applyFont="1" applyFill="1" applyBorder="1"/>
    <xf numFmtId="43" fontId="32" fillId="0" borderId="35" xfId="0" applyNumberFormat="1" applyFont="1" applyBorder="1"/>
    <xf numFmtId="39" fontId="32" fillId="0" borderId="0" xfId="0" applyNumberFormat="1" applyFont="1" applyBorder="1"/>
    <xf numFmtId="43" fontId="32" fillId="0" borderId="11" xfId="0" applyNumberFormat="1" applyFont="1" applyBorder="1"/>
    <xf numFmtId="4" fontId="124" fillId="0" borderId="0" xfId="0" applyNumberFormat="1" applyFont="1"/>
    <xf numFmtId="43" fontId="32" fillId="92" borderId="53" xfId="0" applyNumberFormat="1" applyFont="1" applyFill="1" applyBorder="1"/>
    <xf numFmtId="43" fontId="32" fillId="0" borderId="84" xfId="0" applyNumberFormat="1" applyFont="1" applyBorder="1"/>
    <xf numFmtId="39" fontId="32" fillId="0" borderId="53" xfId="0" applyNumberFormat="1" applyFont="1" applyBorder="1"/>
    <xf numFmtId="43" fontId="32" fillId="0" borderId="85" xfId="0" applyNumberFormat="1" applyFont="1" applyBorder="1"/>
    <xf numFmtId="39" fontId="32" fillId="0" borderId="85" xfId="0" applyNumberFormat="1" applyFont="1" applyBorder="1"/>
    <xf numFmtId="43" fontId="32" fillId="0" borderId="85" xfId="25747" applyNumberFormat="1" applyFont="1" applyBorder="1"/>
    <xf numFmtId="39" fontId="32" fillId="0" borderId="35" xfId="25745" applyFont="1" applyBorder="1" applyAlignment="1" applyProtection="1">
      <alignment horizontal="left"/>
    </xf>
    <xf numFmtId="43" fontId="32" fillId="0" borderId="0" xfId="0" applyNumberFormat="1" applyFont="1" applyBorder="1"/>
    <xf numFmtId="39" fontId="32" fillId="0" borderId="35" xfId="25745" quotePrefix="1" applyFont="1" applyBorder="1" applyAlignment="1" applyProtection="1">
      <alignment horizontal="center"/>
    </xf>
    <xf numFmtId="43" fontId="32" fillId="0" borderId="35" xfId="0" applyNumberFormat="1" applyFont="1" applyFill="1" applyBorder="1"/>
    <xf numFmtId="43" fontId="32" fillId="0" borderId="11" xfId="0" applyNumberFormat="1" applyFont="1" applyFill="1" applyBorder="1"/>
    <xf numFmtId="39" fontId="32" fillId="0" borderId="35" xfId="0" applyNumberFormat="1" applyFont="1" applyBorder="1"/>
    <xf numFmtId="39" fontId="32" fillId="92" borderId="0" xfId="0" applyNumberFormat="1" applyFont="1" applyFill="1" applyBorder="1"/>
    <xf numFmtId="39" fontId="32" fillId="0" borderId="11" xfId="0" applyNumberFormat="1" applyFont="1" applyBorder="1"/>
    <xf numFmtId="43" fontId="32" fillId="0" borderId="53" xfId="0" applyNumberFormat="1" applyFont="1" applyBorder="1"/>
    <xf numFmtId="43" fontId="32" fillId="92" borderId="82" xfId="0" applyNumberFormat="1" applyFont="1" applyFill="1" applyBorder="1"/>
    <xf numFmtId="43" fontId="32" fillId="0" borderId="87" xfId="0" applyNumberFormat="1" applyFont="1" applyBorder="1"/>
    <xf numFmtId="43" fontId="32" fillId="0" borderId="82" xfId="0" applyNumberFormat="1" applyFont="1" applyBorder="1"/>
    <xf numFmtId="43" fontId="32" fillId="0" borderId="86" xfId="0" applyNumberFormat="1" applyFont="1" applyBorder="1"/>
    <xf numFmtId="39" fontId="32" fillId="0" borderId="86" xfId="0" applyNumberFormat="1" applyFont="1" applyBorder="1"/>
    <xf numFmtId="43" fontId="32" fillId="0" borderId="86" xfId="25747" applyNumberFormat="1" applyFont="1" applyBorder="1"/>
    <xf numFmtId="39" fontId="32" fillId="0" borderId="35" xfId="25745" applyFont="1" applyBorder="1"/>
    <xf numFmtId="181" fontId="32" fillId="0" borderId="35" xfId="0" applyNumberFormat="1" applyFont="1" applyBorder="1"/>
    <xf numFmtId="39" fontId="123" fillId="0" borderId="11" xfId="25745" applyFont="1" applyBorder="1"/>
    <xf numFmtId="39" fontId="32" fillId="92" borderId="53" xfId="0" applyNumberFormat="1" applyFont="1" applyFill="1" applyBorder="1"/>
    <xf numFmtId="39" fontId="32" fillId="0" borderId="84" xfId="0" applyNumberFormat="1" applyFont="1" applyBorder="1"/>
    <xf numFmtId="43" fontId="32" fillId="0" borderId="11" xfId="25747" applyNumberFormat="1" applyFont="1" applyBorder="1"/>
    <xf numFmtId="43" fontId="32" fillId="92" borderId="89" xfId="0" applyNumberFormat="1" applyFont="1" applyFill="1" applyBorder="1"/>
    <xf numFmtId="43" fontId="32" fillId="0" borderId="54" xfId="0" applyNumberFormat="1" applyFont="1" applyBorder="1"/>
    <xf numFmtId="39" fontId="32" fillId="0" borderId="89" xfId="0" applyNumberFormat="1" applyFont="1" applyBorder="1"/>
    <xf numFmtId="43" fontId="32" fillId="0" borderId="56" xfId="0" applyNumberFormat="1" applyFont="1" applyBorder="1"/>
    <xf numFmtId="39" fontId="32" fillId="0" borderId="56" xfId="0" applyNumberFormat="1" applyFont="1" applyBorder="1"/>
    <xf numFmtId="43" fontId="32" fillId="0" borderId="56" xfId="25747" applyNumberFormat="1" applyFont="1" applyBorder="1"/>
    <xf numFmtId="39" fontId="32" fillId="0" borderId="82" xfId="0" applyNumberFormat="1" applyFont="1" applyBorder="1"/>
    <xf numFmtId="49" fontId="32" fillId="0" borderId="35" xfId="25745" applyNumberFormat="1" applyFont="1" applyBorder="1" applyAlignment="1" applyProtection="1">
      <alignment horizontal="center"/>
    </xf>
    <xf numFmtId="8" fontId="124" fillId="0" borderId="0" xfId="0" applyNumberFormat="1" applyFont="1"/>
    <xf numFmtId="39" fontId="123" fillId="0" borderId="11" xfId="25745" applyFont="1" applyBorder="1" applyAlignment="1">
      <alignment horizontal="left" indent="2"/>
    </xf>
    <xf numFmtId="43" fontId="32" fillId="0" borderId="0" xfId="0" applyNumberFormat="1" applyFont="1" applyFill="1" applyBorder="1"/>
    <xf numFmtId="43" fontId="32" fillId="0" borderId="89" xfId="0" applyNumberFormat="1" applyFont="1" applyBorder="1"/>
    <xf numFmtId="5" fontId="32" fillId="0" borderId="0" xfId="0" applyNumberFormat="1" applyFont="1" applyFill="1"/>
    <xf numFmtId="39" fontId="123" fillId="0" borderId="35" xfId="25745" applyFont="1" applyBorder="1" applyAlignment="1" applyProtection="1">
      <alignment horizontal="center"/>
    </xf>
    <xf numFmtId="43" fontId="32" fillId="0" borderId="54" xfId="0" applyNumberFormat="1" applyFont="1" applyFill="1" applyBorder="1"/>
    <xf numFmtId="43" fontId="32" fillId="0" borderId="89" xfId="0" applyNumberFormat="1" applyFont="1" applyFill="1" applyBorder="1"/>
    <xf numFmtId="43" fontId="32" fillId="0" borderId="56" xfId="0" applyNumberFormat="1" applyFont="1" applyFill="1" applyBorder="1"/>
    <xf numFmtId="39" fontId="32" fillId="0" borderId="35" xfId="25745" applyFont="1" applyFill="1" applyBorder="1"/>
    <xf numFmtId="39" fontId="32" fillId="0" borderId="11" xfId="25745" applyFont="1" applyFill="1" applyBorder="1"/>
    <xf numFmtId="39" fontId="32" fillId="0" borderId="11" xfId="0" applyNumberFormat="1" applyFont="1" applyFill="1" applyBorder="1"/>
    <xf numFmtId="39" fontId="32" fillId="0" borderId="35" xfId="0" applyNumberFormat="1" applyFont="1" applyFill="1" applyBorder="1"/>
    <xf numFmtId="39" fontId="32" fillId="0" borderId="35" xfId="25745" applyFont="1" applyFill="1" applyBorder="1" applyAlignment="1" applyProtection="1">
      <alignment horizontal="center"/>
    </xf>
    <xf numFmtId="39" fontId="32" fillId="0" borderId="11" xfId="25745" applyFont="1" applyFill="1" applyBorder="1" applyAlignment="1" applyProtection="1">
      <alignment horizontal="left"/>
    </xf>
    <xf numFmtId="43" fontId="32" fillId="92" borderId="83" xfId="0" applyNumberFormat="1" applyFont="1" applyFill="1" applyBorder="1"/>
    <xf numFmtId="43" fontId="32" fillId="0" borderId="90" xfId="0" applyNumberFormat="1" applyFont="1" applyBorder="1"/>
    <xf numFmtId="43" fontId="32" fillId="0" borderId="83" xfId="0" applyNumberFormat="1" applyFont="1" applyBorder="1"/>
    <xf numFmtId="43" fontId="32" fillId="0" borderId="91" xfId="0" applyNumberFormat="1" applyFont="1" applyBorder="1"/>
    <xf numFmtId="39" fontId="32" fillId="0" borderId="91" xfId="0" applyNumberFormat="1" applyFont="1" applyBorder="1"/>
    <xf numFmtId="43" fontId="32" fillId="0" borderId="91" xfId="25747" applyNumberFormat="1" applyFont="1" applyBorder="1"/>
    <xf numFmtId="195" fontId="124" fillId="0" borderId="0" xfId="0" applyNumberFormat="1" applyFont="1"/>
    <xf numFmtId="39" fontId="32" fillId="0" borderId="0" xfId="0" applyNumberFormat="1" applyFont="1" applyFill="1" applyBorder="1"/>
    <xf numFmtId="181" fontId="32" fillId="0" borderId="35" xfId="25745" applyNumberFormat="1" applyFont="1" applyBorder="1" applyAlignment="1" applyProtection="1">
      <alignment horizontal="center"/>
    </xf>
    <xf numFmtId="39" fontId="123" fillId="0" borderId="35" xfId="25745" applyFont="1" applyFill="1" applyBorder="1" applyAlignment="1" applyProtection="1">
      <alignment horizontal="left"/>
    </xf>
    <xf numFmtId="39" fontId="32" fillId="86" borderId="35" xfId="25745" applyFont="1" applyFill="1" applyBorder="1" applyAlignment="1" applyProtection="1">
      <alignment horizontal="center"/>
    </xf>
    <xf numFmtId="39" fontId="32" fillId="86" borderId="11" xfId="25745" applyFont="1" applyFill="1" applyBorder="1" applyAlignment="1" applyProtection="1">
      <alignment horizontal="left"/>
    </xf>
    <xf numFmtId="39" fontId="123" fillId="0" borderId="54" xfId="25745" applyFont="1" applyBorder="1" applyAlignment="1" applyProtection="1">
      <alignment horizontal="left"/>
    </xf>
    <xf numFmtId="39" fontId="32" fillId="0" borderId="56" xfId="25745" applyFont="1" applyBorder="1"/>
    <xf numFmtId="43" fontId="124" fillId="0" borderId="89" xfId="0" applyNumberFormat="1" applyFont="1" applyBorder="1"/>
    <xf numFmtId="6" fontId="124" fillId="0" borderId="0" xfId="0" applyNumberFormat="1" applyFont="1" applyFill="1"/>
    <xf numFmtId="6" fontId="124" fillId="0" borderId="89" xfId="0" applyNumberFormat="1" applyFont="1" applyFill="1" applyBorder="1"/>
    <xf numFmtId="6" fontId="126" fillId="0" borderId="53" xfId="0" applyNumberFormat="1" applyFont="1" applyBorder="1"/>
    <xf numFmtId="0" fontId="123" fillId="0" borderId="53" xfId="0" applyFont="1" applyBorder="1"/>
    <xf numFmtId="0" fontId="123" fillId="0" borderId="0" xfId="0" applyFont="1"/>
    <xf numFmtId="0" fontId="123" fillId="0" borderId="0" xfId="0" applyFont="1" applyBorder="1"/>
    <xf numFmtId="43" fontId="124" fillId="0" borderId="0" xfId="25768" applyFont="1"/>
    <xf numFmtId="49" fontId="124" fillId="0" borderId="0" xfId="0" applyNumberFormat="1" applyFont="1"/>
    <xf numFmtId="0" fontId="131" fillId="0" borderId="53" xfId="0" applyFont="1" applyBorder="1"/>
    <xf numFmtId="0" fontId="131" fillId="0" borderId="53" xfId="0" applyFont="1" applyBorder="1" applyAlignment="1">
      <alignment horizontal="center"/>
    </xf>
    <xf numFmtId="43" fontId="131" fillId="0" borderId="53" xfId="25768" applyFont="1" applyBorder="1"/>
    <xf numFmtId="0" fontId="131" fillId="0" borderId="0" xfId="0" applyFont="1" applyBorder="1"/>
    <xf numFmtId="43" fontId="131" fillId="0" borderId="0" xfId="25768" applyFont="1" applyBorder="1"/>
    <xf numFmtId="0" fontId="131" fillId="0" borderId="83" xfId="0" applyFont="1" applyBorder="1"/>
    <xf numFmtId="0" fontId="131" fillId="0" borderId="83" xfId="0" applyFont="1" applyBorder="1" applyAlignment="1">
      <alignment horizontal="center"/>
    </xf>
    <xf numFmtId="43" fontId="131" fillId="0" borderId="83" xfId="0" applyNumberFormat="1" applyFont="1" applyFill="1" applyBorder="1"/>
    <xf numFmtId="43" fontId="131" fillId="0" borderId="83" xfId="0" applyNumberFormat="1" applyFont="1" applyBorder="1"/>
    <xf numFmtId="0" fontId="32" fillId="0" borderId="0" xfId="0" applyFont="1" applyAlignment="1">
      <alignment horizontal="left"/>
    </xf>
    <xf numFmtId="44" fontId="124" fillId="0" borderId="0" xfId="25753" applyFont="1"/>
    <xf numFmtId="0" fontId="32" fillId="0" borderId="0" xfId="0" applyFont="1" applyAlignment="1">
      <alignment horizontal="right"/>
    </xf>
    <xf numFmtId="10" fontId="124" fillId="0" borderId="0" xfId="0" applyNumberFormat="1" applyFont="1"/>
    <xf numFmtId="43" fontId="124" fillId="95" borderId="0" xfId="25768" applyFont="1" applyFill="1"/>
    <xf numFmtId="49" fontId="124" fillId="0" borderId="96" xfId="0" applyNumberFormat="1" applyFont="1" applyBorder="1" applyAlignment="1">
      <alignment horizontal="center"/>
    </xf>
    <xf numFmtId="49" fontId="124" fillId="0" borderId="97" xfId="0" applyNumberFormat="1" applyFont="1" applyBorder="1" applyAlignment="1">
      <alignment horizontal="center"/>
    </xf>
    <xf numFmtId="49" fontId="124" fillId="0" borderId="98" xfId="0" applyNumberFormat="1" applyFont="1" applyBorder="1" applyAlignment="1">
      <alignment horizontal="center"/>
    </xf>
    <xf numFmtId="49" fontId="124" fillId="0" borderId="0" xfId="0" applyNumberFormat="1" applyFont="1" applyFill="1" applyBorder="1" applyAlignment="1">
      <alignment horizontal="center"/>
    </xf>
    <xf numFmtId="49" fontId="124" fillId="0" borderId="92" xfId="0" applyNumberFormat="1" applyFont="1" applyBorder="1" applyAlignment="1">
      <alignment horizontal="center"/>
    </xf>
    <xf numFmtId="49" fontId="124" fillId="0" borderId="0" xfId="0" applyNumberFormat="1" applyFont="1" applyBorder="1" applyAlignment="1">
      <alignment horizontal="center"/>
    </xf>
    <xf numFmtId="49" fontId="124" fillId="0" borderId="93" xfId="0" applyNumberFormat="1" applyFont="1" applyBorder="1" applyAlignment="1">
      <alignment horizontal="center"/>
    </xf>
    <xf numFmtId="0" fontId="124" fillId="92" borderId="92" xfId="0" applyFont="1" applyFill="1" applyBorder="1"/>
    <xf numFmtId="0" fontId="124" fillId="92" borderId="0" xfId="0" applyFont="1" applyFill="1" applyBorder="1"/>
    <xf numFmtId="0" fontId="124" fillId="92" borderId="93" xfId="0" applyFont="1" applyFill="1" applyBorder="1"/>
    <xf numFmtId="0" fontId="124" fillId="0" borderId="92" xfId="0" applyFont="1" applyBorder="1"/>
    <xf numFmtId="10" fontId="124" fillId="0" borderId="0" xfId="25795" applyNumberFormat="1" applyFont="1" applyBorder="1"/>
    <xf numFmtId="0" fontId="124" fillId="0" borderId="92" xfId="0" applyFont="1" applyBorder="1" applyAlignment="1">
      <alignment wrapText="1"/>
    </xf>
    <xf numFmtId="0" fontId="126" fillId="0" borderId="89" xfId="0" applyFont="1" applyBorder="1" applyAlignment="1">
      <alignment horizontal="center" wrapText="1"/>
    </xf>
    <xf numFmtId="0" fontId="126" fillId="0" borderId="109" xfId="0" applyFont="1" applyBorder="1" applyAlignment="1">
      <alignment horizontal="center" wrapText="1"/>
    </xf>
    <xf numFmtId="0" fontId="124" fillId="0" borderId="0" xfId="0" applyFont="1" applyBorder="1" applyAlignment="1">
      <alignment wrapText="1"/>
    </xf>
    <xf numFmtId="0" fontId="124" fillId="0" borderId="93" xfId="0" applyFont="1" applyBorder="1" applyAlignment="1">
      <alignment wrapText="1"/>
    </xf>
    <xf numFmtId="166" fontId="124" fillId="0" borderId="92" xfId="25744" applyNumberFormat="1" applyFont="1" applyBorder="1"/>
    <xf numFmtId="166" fontId="124" fillId="0" borderId="0" xfId="25744" applyNumberFormat="1" applyFont="1" applyBorder="1"/>
    <xf numFmtId="166" fontId="124" fillId="0" borderId="93" xfId="25744" applyNumberFormat="1" applyFont="1" applyBorder="1"/>
    <xf numFmtId="166" fontId="124" fillId="0" borderId="0" xfId="25744" applyNumberFormat="1" applyFont="1" applyFill="1" applyBorder="1"/>
    <xf numFmtId="166" fontId="124" fillId="100" borderId="92" xfId="25744" applyNumberFormat="1" applyFont="1" applyFill="1" applyBorder="1"/>
    <xf numFmtId="166" fontId="124" fillId="100" borderId="0" xfId="25744" applyNumberFormat="1" applyFont="1" applyFill="1" applyBorder="1"/>
    <xf numFmtId="166" fontId="124" fillId="100" borderId="93" xfId="25744" applyNumberFormat="1" applyFont="1" applyFill="1" applyBorder="1"/>
    <xf numFmtId="6" fontId="124" fillId="0" borderId="99" xfId="0" applyNumberFormat="1" applyFont="1" applyBorder="1"/>
    <xf numFmtId="166" fontId="126" fillId="0" borderId="110" xfId="25744" applyNumberFormat="1" applyFont="1" applyBorder="1"/>
    <xf numFmtId="166" fontId="126" fillId="0" borderId="83" xfId="25744" applyNumberFormat="1" applyFont="1" applyBorder="1"/>
    <xf numFmtId="166" fontId="126" fillId="0" borderId="111" xfId="25744" applyNumberFormat="1" applyFont="1" applyBorder="1"/>
    <xf numFmtId="6" fontId="124" fillId="0" borderId="112" xfId="0" applyNumberFormat="1" applyFont="1" applyBorder="1"/>
    <xf numFmtId="6" fontId="124" fillId="95" borderId="94" xfId="0" applyNumberFormat="1" applyFont="1" applyFill="1" applyBorder="1"/>
    <xf numFmtId="6" fontId="124" fillId="0" borderId="94" xfId="0" applyNumberFormat="1" applyFont="1" applyBorder="1"/>
    <xf numFmtId="41" fontId="124" fillId="0" borderId="0" xfId="0" applyNumberFormat="1" applyFont="1"/>
    <xf numFmtId="166" fontId="124" fillId="102" borderId="92" xfId="25744" applyNumberFormat="1" applyFont="1" applyFill="1" applyBorder="1"/>
    <xf numFmtId="166" fontId="124" fillId="102" borderId="0" xfId="25744" applyNumberFormat="1" applyFont="1" applyFill="1" applyBorder="1"/>
    <xf numFmtId="166" fontId="124" fillId="102" borderId="93" xfId="25744" applyNumberFormat="1" applyFont="1" applyFill="1" applyBorder="1"/>
    <xf numFmtId="0" fontId="124" fillId="102" borderId="92" xfId="0" applyFont="1" applyFill="1" applyBorder="1"/>
    <xf numFmtId="49" fontId="124" fillId="102" borderId="0" xfId="0" applyNumberFormat="1" applyFont="1" applyFill="1" applyBorder="1" applyAlignment="1">
      <alignment horizontal="center"/>
    </xf>
    <xf numFmtId="49" fontId="124" fillId="102" borderId="93" xfId="0" applyNumberFormat="1" applyFont="1" applyFill="1" applyBorder="1" applyAlignment="1">
      <alignment horizontal="center"/>
    </xf>
    <xf numFmtId="166" fontId="124" fillId="90" borderId="92" xfId="25744" applyNumberFormat="1" applyFont="1" applyFill="1" applyBorder="1"/>
    <xf numFmtId="166" fontId="124" fillId="90" borderId="0" xfId="25744" applyNumberFormat="1" applyFont="1" applyFill="1" applyBorder="1"/>
    <xf numFmtId="166" fontId="124" fillId="90" borderId="93" xfId="25744" applyNumberFormat="1" applyFont="1" applyFill="1" applyBorder="1"/>
    <xf numFmtId="166" fontId="124" fillId="101" borderId="0" xfId="25744" applyNumberFormat="1" applyFont="1" applyFill="1" applyBorder="1"/>
    <xf numFmtId="166" fontId="124" fillId="101" borderId="93" xfId="25744" applyNumberFormat="1" applyFont="1" applyFill="1" applyBorder="1"/>
    <xf numFmtId="166" fontId="124" fillId="101" borderId="109" xfId="25744" applyNumberFormat="1" applyFont="1" applyFill="1" applyBorder="1"/>
    <xf numFmtId="38" fontId="132" fillId="0" borderId="0" xfId="0" applyNumberFormat="1" applyFont="1"/>
    <xf numFmtId="38" fontId="124" fillId="0" borderId="96" xfId="0" applyNumberFormat="1" applyFont="1" applyBorder="1"/>
    <xf numFmtId="38" fontId="124" fillId="0" borderId="97" xfId="0" applyNumberFormat="1" applyFont="1" applyBorder="1"/>
    <xf numFmtId="38" fontId="124" fillId="0" borderId="98" xfId="0" applyNumberFormat="1" applyFont="1" applyBorder="1"/>
    <xf numFmtId="38" fontId="124" fillId="0" borderId="92" xfId="0" applyNumberFormat="1" applyFont="1" applyBorder="1"/>
    <xf numFmtId="38" fontId="124" fillId="0" borderId="0" xfId="0" applyNumberFormat="1" applyFont="1" applyBorder="1"/>
    <xf numFmtId="38" fontId="124" fillId="0" borderId="93" xfId="0" applyNumberFormat="1" applyFont="1" applyBorder="1"/>
    <xf numFmtId="38" fontId="124" fillId="0" borderId="113" xfId="0" applyNumberFormat="1" applyFont="1" applyBorder="1"/>
    <xf numFmtId="38" fontId="124" fillId="0" borderId="114" xfId="0" applyNumberFormat="1" applyFont="1" applyBorder="1"/>
    <xf numFmtId="40" fontId="124" fillId="0" borderId="92" xfId="0" applyNumberFormat="1" applyFont="1" applyBorder="1"/>
    <xf numFmtId="38" fontId="124" fillId="0" borderId="99" xfId="0" applyNumberFormat="1" applyFont="1" applyBorder="1"/>
    <xf numFmtId="38" fontId="124" fillId="0" borderId="49" xfId="0" applyNumberFormat="1" applyFont="1" applyBorder="1"/>
    <xf numFmtId="38" fontId="124" fillId="0" borderId="100" xfId="0" applyNumberFormat="1" applyFont="1" applyBorder="1"/>
    <xf numFmtId="3" fontId="124" fillId="0" borderId="0" xfId="0" applyNumberFormat="1" applyFont="1"/>
    <xf numFmtId="0" fontId="124" fillId="0" borderId="80" xfId="0" applyFont="1" applyBorder="1"/>
    <xf numFmtId="0" fontId="124" fillId="0" borderId="79" xfId="0" applyFont="1" applyBorder="1"/>
    <xf numFmtId="0" fontId="124" fillId="0" borderId="79" xfId="0" applyFont="1" applyBorder="1" applyAlignment="1">
      <alignment horizontal="center"/>
    </xf>
    <xf numFmtId="0" fontId="124" fillId="0" borderId="81" xfId="0" applyFont="1" applyBorder="1"/>
    <xf numFmtId="0" fontId="124" fillId="0" borderId="35" xfId="0" applyFont="1" applyBorder="1"/>
    <xf numFmtId="0" fontId="126" fillId="0" borderId="0" xfId="0" applyFont="1" applyBorder="1" applyAlignment="1">
      <alignment horizontal="center"/>
    </xf>
    <xf numFmtId="0" fontId="124" fillId="0" borderId="11" xfId="0" applyFont="1" applyBorder="1"/>
    <xf numFmtId="0" fontId="124" fillId="0" borderId="54" xfId="0" applyFont="1" applyBorder="1"/>
    <xf numFmtId="0" fontId="124" fillId="0" borderId="89" xfId="0" applyFont="1" applyBorder="1"/>
    <xf numFmtId="0" fontId="124" fillId="0" borderId="89" xfId="0" applyFont="1" applyBorder="1" applyAlignment="1">
      <alignment horizontal="center"/>
    </xf>
    <xf numFmtId="0" fontId="124" fillId="0" borderId="56" xfId="0" applyFont="1" applyBorder="1"/>
    <xf numFmtId="0" fontId="124" fillId="0" borderId="78" xfId="0" applyFont="1" applyBorder="1"/>
    <xf numFmtId="0" fontId="124" fillId="0" borderId="15" xfId="0" applyFont="1" applyBorder="1" applyAlignment="1">
      <alignment horizontal="center"/>
    </xf>
    <xf numFmtId="0" fontId="124" fillId="0" borderId="16" xfId="0" applyFont="1" applyBorder="1" applyAlignment="1">
      <alignment horizontal="center"/>
    </xf>
    <xf numFmtId="0" fontId="124" fillId="0" borderId="14" xfId="0" applyFont="1" applyBorder="1" applyAlignment="1">
      <alignment horizontal="center"/>
    </xf>
    <xf numFmtId="0" fontId="124" fillId="0" borderId="53" xfId="0" applyFont="1" applyBorder="1" applyAlignment="1">
      <alignment horizontal="center"/>
    </xf>
    <xf numFmtId="0" fontId="124" fillId="0" borderId="15" xfId="0" applyFont="1" applyBorder="1"/>
    <xf numFmtId="43" fontId="124" fillId="0" borderId="16" xfId="0" applyNumberFormat="1" applyFont="1" applyBorder="1"/>
    <xf numFmtId="6" fontId="124" fillId="0" borderId="15" xfId="0" applyNumberFormat="1" applyFont="1" applyBorder="1"/>
    <xf numFmtId="43" fontId="124" fillId="0" borderId="15" xfId="0" applyNumberFormat="1" applyFont="1" applyBorder="1"/>
    <xf numFmtId="6" fontId="124" fillId="0" borderId="14" xfId="0" applyNumberFormat="1" applyFont="1" applyBorder="1"/>
    <xf numFmtId="6" fontId="124" fillId="0" borderId="88" xfId="0" applyNumberFormat="1" applyFont="1" applyBorder="1"/>
    <xf numFmtId="167" fontId="124" fillId="0" borderId="88" xfId="0" applyNumberFormat="1" applyFont="1" applyBorder="1"/>
    <xf numFmtId="0" fontId="124" fillId="0" borderId="16" xfId="0" applyFont="1" applyBorder="1"/>
    <xf numFmtId="0" fontId="124" fillId="0" borderId="35" xfId="0" applyFont="1" applyBorder="1" applyAlignment="1">
      <alignment horizontal="center"/>
    </xf>
    <xf numFmtId="0" fontId="124" fillId="0" borderId="54" xfId="0" applyFont="1" applyBorder="1" applyAlignment="1">
      <alignment horizontal="center"/>
    </xf>
    <xf numFmtId="0" fontId="124" fillId="0" borderId="78" xfId="0" applyFont="1" applyBorder="1" applyAlignment="1">
      <alignment horizontal="center"/>
    </xf>
    <xf numFmtId="6" fontId="124" fillId="0" borderId="16" xfId="0" applyNumberFormat="1" applyFont="1" applyBorder="1"/>
    <xf numFmtId="167" fontId="124" fillId="0" borderId="16" xfId="0" applyNumberFormat="1" applyFont="1" applyBorder="1"/>
    <xf numFmtId="6" fontId="126" fillId="0" borderId="88" xfId="0" applyNumberFormat="1" applyFont="1" applyBorder="1"/>
    <xf numFmtId="0" fontId="124" fillId="0" borderId="89" xfId="0" applyFont="1" applyBorder="1" applyAlignment="1">
      <alignment horizontal="left"/>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3"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3"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8" fillId="0" borderId="0" xfId="25295" applyFont="1" applyFill="1" applyAlignment="1">
      <alignment horizontal="center"/>
    </xf>
    <xf numFmtId="0" fontId="125" fillId="0" borderId="80" xfId="0" applyFont="1" applyBorder="1" applyAlignment="1">
      <alignment horizontal="center"/>
    </xf>
    <xf numFmtId="0" fontId="123" fillId="33" borderId="79"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81"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3" fontId="124" fillId="0" borderId="0" xfId="0" applyNumberFormat="1" applyFont="1"/>
    <xf numFmtId="10" fontId="32" fillId="0" borderId="19" xfId="25292" applyNumberFormat="1" applyFont="1" applyBorder="1" applyAlignment="1">
      <alignment horizontal="center"/>
    </xf>
    <xf numFmtId="167" fontId="123"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178" fontId="123" fillId="0" borderId="0" xfId="25741" applyFont="1" applyFill="1" applyAlignment="1">
      <alignment horizontal="centerContinuous"/>
    </xf>
    <xf numFmtId="0" fontId="42" fillId="0" borderId="0" xfId="25742" applyFont="1" applyFill="1"/>
    <xf numFmtId="0" fontId="32" fillId="0" borderId="0" xfId="0" applyFont="1" applyFill="1" applyAlignment="1">
      <alignment horizontal="center"/>
    </xf>
    <xf numFmtId="186" fontId="32" fillId="0" borderId="0" xfId="25747" applyNumberFormat="1" applyFont="1" applyAlignment="1">
      <alignment horizontal="center"/>
    </xf>
    <xf numFmtId="0" fontId="133" fillId="0" borderId="0" xfId="0" applyFont="1"/>
    <xf numFmtId="0" fontId="133" fillId="0" borderId="0" xfId="0" applyFont="1" applyBorder="1" applyAlignment="1">
      <alignment horizontal="centerContinuous"/>
    </xf>
    <xf numFmtId="0" fontId="123" fillId="0" borderId="0" xfId="0" applyFont="1" applyBorder="1" applyAlignment="1">
      <alignment horizontal="centerContinuous"/>
    </xf>
    <xf numFmtId="0" fontId="133" fillId="0" borderId="0" xfId="0" applyFont="1" applyFill="1" applyAlignment="1">
      <alignment horizontal="center" wrapText="1"/>
    </xf>
    <xf numFmtId="0" fontId="133" fillId="0" borderId="0" xfId="0" applyFont="1" applyAlignment="1">
      <alignment horizontal="center" wrapText="1"/>
    </xf>
    <xf numFmtId="0" fontId="32" fillId="0" borderId="0" xfId="0" applyFont="1"/>
    <xf numFmtId="186" fontId="32" fillId="0" borderId="0" xfId="25747" applyNumberFormat="1" applyFont="1"/>
    <xf numFmtId="0" fontId="32" fillId="0" borderId="0" xfId="0" applyFont="1" applyFill="1"/>
    <xf numFmtId="192" fontId="32" fillId="0" borderId="0" xfId="0" applyNumberFormat="1" applyFont="1" applyFill="1"/>
    <xf numFmtId="166" fontId="32" fillId="0" borderId="0" xfId="0" applyNumberFormat="1" applyFont="1"/>
    <xf numFmtId="186" fontId="124" fillId="0" borderId="0" xfId="0" applyNumberFormat="1" applyFont="1" applyFill="1"/>
    <xf numFmtId="186" fontId="32" fillId="0" borderId="0" xfId="25747" applyNumberFormat="1" applyFont="1" applyBorder="1"/>
    <xf numFmtId="3" fontId="32" fillId="0" borderId="0" xfId="0" applyNumberFormat="1" applyFont="1"/>
    <xf numFmtId="0" fontId="133" fillId="0" borderId="83" xfId="0" applyFont="1" applyBorder="1"/>
    <xf numFmtId="0" fontId="32" fillId="0" borderId="83" xfId="0" applyFont="1" applyBorder="1"/>
    <xf numFmtId="0" fontId="32" fillId="0" borderId="83" xfId="0" applyFont="1" applyFill="1" applyBorder="1"/>
    <xf numFmtId="166" fontId="32" fillId="0" borderId="83" xfId="0" applyNumberFormat="1" applyFont="1" applyBorder="1"/>
    <xf numFmtId="186" fontId="32" fillId="0" borderId="83" xfId="25747" applyNumberFormat="1" applyFont="1" applyBorder="1"/>
    <xf numFmtId="186" fontId="124" fillId="0" borderId="83" xfId="0" applyNumberFormat="1" applyFont="1" applyFill="1" applyBorder="1"/>
    <xf numFmtId="166" fontId="32" fillId="0" borderId="0" xfId="0" applyNumberFormat="1" applyFont="1" applyBorder="1"/>
    <xf numFmtId="166" fontId="32" fillId="0" borderId="82" xfId="0" applyNumberFormat="1" applyFont="1" applyBorder="1"/>
    <xf numFmtId="186" fontId="32" fillId="0" borderId="82" xfId="25747" applyNumberFormat="1" applyFont="1" applyBorder="1"/>
    <xf numFmtId="186" fontId="124" fillId="0" borderId="0" xfId="25747" applyNumberFormat="1" applyFont="1"/>
    <xf numFmtId="186" fontId="124" fillId="0" borderId="0" xfId="25747" applyNumberFormat="1" applyFont="1" applyAlignment="1">
      <alignment horizontal="center"/>
    </xf>
    <xf numFmtId="198" fontId="124" fillId="0" borderId="89" xfId="0" applyNumberFormat="1" applyFont="1" applyBorder="1" applyAlignment="1">
      <alignment horizontal="center"/>
    </xf>
    <xf numFmtId="3" fontId="124" fillId="0" borderId="89" xfId="0" applyNumberFormat="1" applyFont="1" applyBorder="1" applyAlignment="1">
      <alignment horizontal="center"/>
    </xf>
    <xf numFmtId="166" fontId="124" fillId="0" borderId="0" xfId="25768" applyNumberFormat="1" applyFont="1" applyAlignment="1">
      <alignment horizontal="center"/>
    </xf>
    <xf numFmtId="3" fontId="124" fillId="0" borderId="0" xfId="0" applyNumberFormat="1" applyFont="1" applyAlignment="1">
      <alignment horizontal="center"/>
    </xf>
    <xf numFmtId="3" fontId="124" fillId="0" borderId="33" xfId="0" applyNumberFormat="1" applyFont="1" applyBorder="1" applyAlignment="1">
      <alignment horizontal="center"/>
    </xf>
    <xf numFmtId="0" fontId="124" fillId="0" borderId="14" xfId="0" applyFont="1" applyBorder="1"/>
    <xf numFmtId="0" fontId="124" fillId="0" borderId="14" xfId="0" applyFont="1" applyFill="1" applyBorder="1"/>
    <xf numFmtId="43" fontId="124" fillId="0" borderId="14" xfId="25744" applyFont="1" applyBorder="1"/>
    <xf numFmtId="0" fontId="124" fillId="0" borderId="0" xfId="0" applyFont="1" applyFill="1" applyBorder="1" applyAlignment="1">
      <alignment horizontal="center"/>
    </xf>
    <xf numFmtId="43" fontId="32" fillId="0" borderId="0" xfId="0" applyNumberFormat="1" applyFont="1"/>
    <xf numFmtId="6" fontId="124" fillId="0" borderId="0" xfId="0" applyNumberFormat="1" applyFont="1" applyAlignment="1">
      <alignment horizontal="center"/>
    </xf>
    <xf numFmtId="0" fontId="132" fillId="0" borderId="0" xfId="0" applyFont="1" applyAlignment="1">
      <alignment horizontal="left"/>
    </xf>
    <xf numFmtId="6" fontId="124" fillId="0" borderId="0" xfId="0" applyNumberFormat="1" applyFont="1" applyFill="1" applyAlignment="1">
      <alignment horizontal="center"/>
    </xf>
    <xf numFmtId="166" fontId="124" fillId="0" borderId="0" xfId="25744" applyNumberFormat="1" applyFont="1" applyAlignment="1">
      <alignment horizontal="center"/>
    </xf>
    <xf numFmtId="6" fontId="124" fillId="0" borderId="0" xfId="25747" applyNumberFormat="1" applyFont="1"/>
    <xf numFmtId="6" fontId="124" fillId="0" borderId="89" xfId="25747" applyNumberFormat="1" applyFont="1" applyBorder="1"/>
    <xf numFmtId="49" fontId="123" fillId="0" borderId="0" xfId="25293" applyNumberFormat="1" applyFont="1" applyFill="1" applyBorder="1" applyAlignment="1">
      <alignment horizontal="center"/>
    </xf>
    <xf numFmtId="49" fontId="32" fillId="0" borderId="0" xfId="25293" applyNumberFormat="1" applyFont="1" applyFill="1" applyBorder="1" applyAlignment="1">
      <alignment horizontal="right"/>
    </xf>
    <xf numFmtId="6" fontId="126" fillId="0" borderId="78" xfId="0" applyNumberFormat="1" applyFont="1" applyBorder="1"/>
    <xf numFmtId="6" fontId="126" fillId="0" borderId="108" xfId="0" applyNumberFormat="1" applyFont="1" applyBorder="1"/>
    <xf numFmtId="6" fontId="126" fillId="0" borderId="14" xfId="0" applyNumberFormat="1" applyFont="1" applyBorder="1"/>
    <xf numFmtId="0" fontId="124" fillId="0" borderId="0" xfId="0" applyFont="1" applyAlignment="1">
      <alignment horizontal="left"/>
    </xf>
    <xf numFmtId="0" fontId="126" fillId="0" borderId="89" xfId="0" applyFont="1" applyBorder="1" applyAlignment="1">
      <alignment horizontal="center"/>
    </xf>
    <xf numFmtId="0" fontId="126" fillId="0" borderId="89" xfId="0" applyFont="1" applyFill="1" applyBorder="1" applyAlignment="1">
      <alignment horizontal="center" wrapText="1"/>
    </xf>
    <xf numFmtId="37" fontId="32" fillId="0" borderId="0" xfId="25743" applyFont="1"/>
    <xf numFmtId="0" fontId="129" fillId="0" borderId="0" xfId="0" applyFont="1" applyAlignment="1">
      <alignment horizontal="center"/>
    </xf>
    <xf numFmtId="37" fontId="32" fillId="0" borderId="0" xfId="25743" applyFont="1" applyAlignment="1">
      <alignment horizontal="center"/>
    </xf>
    <xf numFmtId="37" fontId="32" fillId="0" borderId="0" xfId="25743" applyFont="1" applyAlignment="1" applyProtection="1">
      <alignment horizontal="left"/>
    </xf>
    <xf numFmtId="37" fontId="42" fillId="0" borderId="0" xfId="25743" applyFont="1"/>
    <xf numFmtId="14" fontId="32" fillId="0" borderId="0" xfId="25743" applyNumberFormat="1" applyFont="1" applyAlignment="1">
      <alignment horizontal="left"/>
    </xf>
    <xf numFmtId="37" fontId="123" fillId="0" borderId="0" xfId="25743" applyFont="1" applyFill="1" applyAlignment="1">
      <alignment horizontal="center"/>
    </xf>
    <xf numFmtId="188" fontId="32" fillId="0" borderId="0" xfId="23895" applyNumberFormat="1" applyFont="1" applyAlignment="1">
      <alignment horizontal="center"/>
    </xf>
    <xf numFmtId="37" fontId="32" fillId="0" borderId="0" xfId="25743" applyFont="1" applyFill="1" applyAlignment="1">
      <alignment horizontal="center"/>
    </xf>
    <xf numFmtId="37" fontId="32" fillId="0" borderId="0" xfId="25743" applyFont="1" applyFill="1" applyAlignment="1">
      <alignment horizontal="left"/>
    </xf>
    <xf numFmtId="10" fontId="32" fillId="0" borderId="0" xfId="24219" applyNumberFormat="1" applyFont="1" applyAlignment="1">
      <alignment horizontal="center"/>
    </xf>
    <xf numFmtId="189" fontId="32" fillId="0" borderId="0" xfId="25743" applyNumberFormat="1" applyFont="1" applyFill="1" applyAlignment="1">
      <alignment horizontal="center"/>
    </xf>
    <xf numFmtId="37" fontId="123" fillId="0" borderId="82" xfId="25743" applyFont="1" applyFill="1" applyBorder="1" applyAlignment="1">
      <alignment horizontal="center"/>
    </xf>
    <xf numFmtId="37" fontId="32" fillId="0" borderId="0" xfId="25743" applyFont="1" applyFill="1"/>
    <xf numFmtId="187" fontId="32" fillId="0" borderId="0" xfId="24219" applyNumberFormat="1" applyFont="1"/>
    <xf numFmtId="168" fontId="32" fillId="0" borderId="0" xfId="25743" applyNumberFormat="1" applyFont="1"/>
    <xf numFmtId="49" fontId="32" fillId="0" borderId="0" xfId="25743" applyNumberFormat="1" applyFont="1"/>
    <xf numFmtId="0" fontId="123" fillId="0" borderId="0" xfId="25295" quotePrefix="1" applyFont="1" applyFill="1" applyBorder="1" applyAlignment="1"/>
    <xf numFmtId="49" fontId="123" fillId="0" borderId="0" xfId="25293" applyNumberFormat="1" applyFont="1" applyFill="1" applyBorder="1" applyAlignment="1"/>
    <xf numFmtId="0" fontId="123" fillId="0" borderId="0" xfId="25295" applyFont="1" applyFill="1" applyBorder="1" applyAlignment="1">
      <alignment horizontal="center"/>
    </xf>
    <xf numFmtId="0" fontId="32" fillId="0" borderId="0" xfId="25295" applyFont="1" applyFill="1" applyBorder="1" applyAlignment="1">
      <alignment horizontal="center"/>
    </xf>
    <xf numFmtId="8" fontId="124" fillId="0" borderId="49" xfId="0" applyNumberFormat="1" applyFont="1" applyBorder="1"/>
    <xf numFmtId="0" fontId="124" fillId="0" borderId="49" xfId="0" applyFont="1" applyBorder="1"/>
    <xf numFmtId="10" fontId="124" fillId="0" borderId="49" xfId="0" applyNumberFormat="1" applyFont="1" applyBorder="1"/>
    <xf numFmtId="193" fontId="124" fillId="0" borderId="49" xfId="0" applyNumberFormat="1" applyFont="1" applyBorder="1"/>
    <xf numFmtId="8" fontId="127" fillId="0" borderId="0" xfId="0" applyNumberFormat="1" applyFont="1"/>
    <xf numFmtId="8" fontId="126" fillId="0" borderId="82" xfId="0" applyNumberFormat="1" applyFont="1" applyBorder="1"/>
    <xf numFmtId="8" fontId="126" fillId="0" borderId="0" xfId="0" applyNumberFormat="1" applyFont="1" applyBorder="1"/>
    <xf numFmtId="0" fontId="124" fillId="0" borderId="0" xfId="0" applyFont="1" applyFill="1" applyAlignment="1">
      <alignment horizontal="left" indent="1"/>
    </xf>
    <xf numFmtId="10" fontId="124" fillId="0" borderId="0" xfId="0" applyNumberFormat="1" applyFont="1" applyFill="1"/>
    <xf numFmtId="43" fontId="124" fillId="97" borderId="0" xfId="0" applyNumberFormat="1" applyFont="1" applyFill="1" applyBorder="1"/>
    <xf numFmtId="0" fontId="124" fillId="0" borderId="0" xfId="0" applyFont="1" applyAlignment="1">
      <alignment horizontal="left" indent="1"/>
    </xf>
    <xf numFmtId="40" fontId="124" fillId="0" borderId="0" xfId="0" applyNumberFormat="1" applyFont="1"/>
    <xf numFmtId="10" fontId="124" fillId="0" borderId="89" xfId="0" applyNumberFormat="1" applyFont="1" applyBorder="1"/>
    <xf numFmtId="8" fontId="124" fillId="0" borderId="89" xfId="0" applyNumberFormat="1" applyFont="1" applyBorder="1"/>
    <xf numFmtId="193" fontId="124" fillId="0" borderId="89" xfId="0" applyNumberFormat="1" applyFont="1" applyBorder="1"/>
    <xf numFmtId="4" fontId="124" fillId="0" borderId="89" xfId="0" applyNumberFormat="1" applyFont="1" applyBorder="1"/>
    <xf numFmtId="4" fontId="124" fillId="0" borderId="33" xfId="0" applyNumberFormat="1" applyFont="1" applyBorder="1"/>
    <xf numFmtId="44" fontId="124" fillId="0" borderId="0" xfId="0" applyNumberFormat="1" applyFont="1"/>
    <xf numFmtId="0" fontId="125" fillId="0" borderId="0" xfId="0" applyFont="1" applyBorder="1" applyAlignment="1">
      <alignment horizontal="center"/>
    </xf>
    <xf numFmtId="44" fontId="124" fillId="0" borderId="0" xfId="25747" applyFont="1" applyFill="1"/>
    <xf numFmtId="44" fontId="124" fillId="0" borderId="0" xfId="0" applyNumberFormat="1" applyFont="1" applyBorder="1"/>
    <xf numFmtId="44" fontId="126" fillId="0" borderId="83" xfId="0" applyNumberFormat="1" applyFont="1" applyBorder="1"/>
    <xf numFmtId="0" fontId="124" fillId="0" borderId="49" xfId="0" applyFont="1" applyBorder="1" applyAlignment="1">
      <alignment horizontal="center"/>
    </xf>
    <xf numFmtId="0" fontId="126" fillId="0" borderId="49" xfId="0" applyFont="1" applyFill="1" applyBorder="1" applyAlignment="1">
      <alignment horizontal="center"/>
    </xf>
    <xf numFmtId="166" fontId="124" fillId="0" borderId="0" xfId="25744" applyNumberFormat="1" applyFont="1"/>
    <xf numFmtId="166" fontId="124" fillId="0" borderId="89" xfId="25744" applyNumberFormat="1" applyFont="1" applyBorder="1"/>
    <xf numFmtId="186" fontId="124" fillId="0" borderId="89" xfId="25747" applyNumberFormat="1" applyFont="1" applyBorder="1"/>
    <xf numFmtId="186" fontId="126" fillId="0" borderId="0" xfId="25747" applyNumberFormat="1" applyFont="1"/>
    <xf numFmtId="186" fontId="126" fillId="0" borderId="97" xfId="25747" applyNumberFormat="1" applyFont="1" applyBorder="1"/>
    <xf numFmtId="186" fontId="126" fillId="0" borderId="14" xfId="0" applyNumberFormat="1" applyFont="1" applyBorder="1"/>
    <xf numFmtId="0" fontId="134" fillId="0" borderId="0" xfId="0" applyFont="1" applyAlignment="1">
      <alignment horizontal="center"/>
    </xf>
    <xf numFmtId="3" fontId="129" fillId="0" borderId="0" xfId="0" applyNumberFormat="1" applyFont="1"/>
    <xf numFmtId="3" fontId="129" fillId="0" borderId="0" xfId="0" applyNumberFormat="1" applyFont="1" applyBorder="1"/>
    <xf numFmtId="3" fontId="129" fillId="0" borderId="89" xfId="0" applyNumberFormat="1" applyFont="1" applyBorder="1"/>
    <xf numFmtId="190" fontId="129" fillId="0" borderId="83" xfId="0" applyNumberFormat="1" applyFont="1" applyBorder="1"/>
    <xf numFmtId="0" fontId="126" fillId="0" borderId="0" xfId="0" applyFont="1" applyAlignment="1">
      <alignment vertical="center"/>
    </xf>
    <xf numFmtId="0" fontId="126" fillId="0" borderId="0" xfId="0" applyFont="1" applyAlignment="1">
      <alignment horizontal="center" vertical="center" wrapText="1"/>
    </xf>
    <xf numFmtId="0" fontId="126" fillId="0" borderId="0" xfId="0" applyFont="1" applyAlignment="1">
      <alignment vertical="center" wrapText="1"/>
    </xf>
    <xf numFmtId="0" fontId="126" fillId="0" borderId="89" xfId="0" applyFont="1" applyBorder="1" applyAlignment="1">
      <alignment vertical="center"/>
    </xf>
    <xf numFmtId="0" fontId="126" fillId="0" borderId="89" xfId="0" applyFont="1" applyBorder="1" applyAlignment="1">
      <alignment horizontal="center" vertical="center"/>
    </xf>
    <xf numFmtId="0" fontId="124" fillId="93" borderId="0" xfId="0" quotePrefix="1" applyFont="1" applyFill="1" applyAlignment="1">
      <alignment vertical="center"/>
    </xf>
    <xf numFmtId="6" fontId="124" fillId="93" borderId="0" xfId="0" quotePrefix="1" applyNumberFormat="1" applyFont="1" applyFill="1" applyAlignment="1">
      <alignment horizontal="center" vertical="center"/>
    </xf>
    <xf numFmtId="0" fontId="124" fillId="93" borderId="0" xfId="0" applyFont="1" applyFill="1" applyAlignment="1">
      <alignment horizontal="center" vertical="center"/>
    </xf>
    <xf numFmtId="6" fontId="124" fillId="93" borderId="33" xfId="0" quotePrefix="1" applyNumberFormat="1" applyFont="1" applyFill="1" applyBorder="1" applyAlignment="1">
      <alignment vertical="center"/>
    </xf>
    <xf numFmtId="0" fontId="124" fillId="93" borderId="33" xfId="0" quotePrefix="1" applyFont="1" applyFill="1" applyBorder="1" applyAlignment="1">
      <alignment vertical="center"/>
    </xf>
    <xf numFmtId="190" fontId="124" fillId="93" borderId="33" xfId="0" quotePrefix="1" applyNumberFormat="1" applyFont="1" applyFill="1" applyBorder="1" applyAlignment="1">
      <alignment horizontal="center" vertical="center"/>
    </xf>
    <xf numFmtId="190" fontId="124" fillId="93" borderId="33" xfId="0" quotePrefix="1" applyNumberFormat="1" applyFont="1" applyFill="1" applyBorder="1" applyAlignment="1">
      <alignment vertical="center"/>
    </xf>
    <xf numFmtId="9" fontId="124" fillId="93" borderId="33" xfId="0" quotePrefix="1" applyNumberFormat="1" applyFont="1" applyFill="1" applyBorder="1" applyAlignment="1">
      <alignment vertical="center"/>
    </xf>
    <xf numFmtId="0" fontId="124" fillId="0" borderId="0" xfId="0" quotePrefix="1" applyFont="1" applyAlignment="1">
      <alignment vertical="center"/>
    </xf>
    <xf numFmtId="6" fontId="124" fillId="0" borderId="0" xfId="0" quotePrefix="1" applyNumberFormat="1" applyFont="1" applyAlignment="1">
      <alignment horizontal="center" vertical="center"/>
    </xf>
    <xf numFmtId="6" fontId="124" fillId="0" borderId="0" xfId="0" applyNumberFormat="1" applyFont="1" applyAlignment="1">
      <alignment vertical="center"/>
    </xf>
    <xf numFmtId="190" fontId="124" fillId="0" borderId="0" xfId="0" quotePrefix="1" applyNumberFormat="1" applyFont="1" applyAlignment="1">
      <alignment horizontal="center" vertical="center"/>
    </xf>
    <xf numFmtId="190" fontId="124" fillId="0" borderId="0" xfId="0" quotePrefix="1" applyNumberFormat="1" applyFont="1" applyAlignment="1">
      <alignment vertical="center"/>
    </xf>
    <xf numFmtId="6" fontId="124" fillId="0" borderId="0" xfId="0" quotePrefix="1" applyNumberFormat="1" applyFont="1" applyAlignment="1">
      <alignment vertical="center"/>
    </xf>
    <xf numFmtId="9" fontId="124" fillId="0" borderId="0" xfId="0" quotePrefix="1" applyNumberFormat="1" applyFont="1" applyFill="1" applyBorder="1" applyAlignment="1">
      <alignment vertical="center"/>
    </xf>
    <xf numFmtId="6" fontId="124" fillId="93" borderId="0" xfId="0" applyNumberFormat="1" applyFont="1" applyFill="1" applyAlignment="1">
      <alignment vertical="center"/>
    </xf>
    <xf numFmtId="190" fontId="124" fillId="93" borderId="0" xfId="0" quotePrefix="1" applyNumberFormat="1" applyFont="1" applyFill="1" applyAlignment="1">
      <alignment horizontal="center" vertical="center"/>
    </xf>
    <xf numFmtId="190" fontId="124" fillId="93" borderId="0" xfId="0" quotePrefix="1" applyNumberFormat="1" applyFont="1" applyFill="1" applyAlignment="1">
      <alignment vertical="center"/>
    </xf>
    <xf numFmtId="6" fontId="124" fillId="93" borderId="0" xfId="0" quotePrefix="1" applyNumberFormat="1" applyFont="1" applyFill="1" applyAlignment="1">
      <alignment vertical="center"/>
    </xf>
    <xf numFmtId="9" fontId="124" fillId="93" borderId="0" xfId="0" quotePrefix="1" applyNumberFormat="1" applyFont="1" applyFill="1" applyBorder="1" applyAlignment="1">
      <alignment vertical="center"/>
    </xf>
    <xf numFmtId="6" fontId="124" fillId="0" borderId="0" xfId="0" applyNumberFormat="1" applyFont="1" applyFill="1" applyAlignment="1">
      <alignment vertical="center"/>
    </xf>
    <xf numFmtId="9" fontId="128" fillId="0" borderId="0" xfId="0" quotePrefix="1" applyNumberFormat="1" applyFont="1" applyFill="1" applyBorder="1" applyAlignment="1">
      <alignment vertical="center"/>
    </xf>
    <xf numFmtId="38" fontId="129" fillId="0" borderId="0" xfId="0" applyNumberFormat="1" applyFont="1"/>
    <xf numFmtId="38" fontId="129" fillId="0" borderId="49" xfId="0" applyNumberFormat="1" applyFont="1" applyBorder="1"/>
    <xf numFmtId="38" fontId="137" fillId="0" borderId="0" xfId="0" applyNumberFormat="1" applyFont="1"/>
    <xf numFmtId="38" fontId="137" fillId="0" borderId="14" xfId="0" applyNumberFormat="1" applyFont="1" applyBorder="1"/>
    <xf numFmtId="190" fontId="129" fillId="0" borderId="0" xfId="0" applyNumberFormat="1" applyFont="1"/>
    <xf numFmtId="190" fontId="137" fillId="0" borderId="0" xfId="0" applyNumberFormat="1" applyFont="1" applyBorder="1"/>
    <xf numFmtId="1" fontId="124" fillId="0" borderId="0" xfId="0" applyNumberFormat="1" applyFont="1" applyFill="1" applyBorder="1" applyAlignment="1">
      <alignment horizontal="center"/>
    </xf>
    <xf numFmtId="1" fontId="124" fillId="0" borderId="0" xfId="0" applyNumberFormat="1" applyFont="1" applyBorder="1" applyAlignment="1">
      <alignment horizontal="center"/>
    </xf>
    <xf numFmtId="49" fontId="124" fillId="0" borderId="0" xfId="0" applyNumberFormat="1" applyFont="1" applyFill="1" applyAlignment="1">
      <alignment horizontal="center"/>
    </xf>
    <xf numFmtId="10" fontId="124" fillId="0" borderId="0" xfId="25795" applyNumberFormat="1" applyFont="1" applyFill="1" applyAlignment="1">
      <alignment horizontal="right"/>
    </xf>
    <xf numFmtId="49" fontId="124" fillId="0" borderId="0" xfId="0" applyNumberFormat="1" applyFont="1" applyAlignment="1">
      <alignment horizontal="center"/>
    </xf>
    <xf numFmtId="10" fontId="124" fillId="0" borderId="0" xfId="25795" applyNumberFormat="1" applyFont="1"/>
    <xf numFmtId="10" fontId="124" fillId="0" borderId="0" xfId="25795" applyNumberFormat="1" applyFont="1" applyFill="1" applyAlignment="1">
      <alignment horizontal="center"/>
    </xf>
    <xf numFmtId="49" fontId="124" fillId="0" borderId="79" xfId="0" applyNumberFormat="1" applyFont="1" applyFill="1" applyBorder="1" applyAlignment="1">
      <alignment horizontal="center"/>
    </xf>
    <xf numFmtId="0" fontId="126" fillId="0" borderId="79" xfId="0" applyFont="1" applyFill="1" applyBorder="1"/>
    <xf numFmtId="0" fontId="126" fillId="0" borderId="79" xfId="0" applyFont="1" applyFill="1" applyBorder="1" applyAlignment="1">
      <alignment horizontal="center"/>
    </xf>
    <xf numFmtId="0" fontId="124" fillId="0" borderId="79" xfId="0" applyFont="1" applyFill="1" applyBorder="1"/>
    <xf numFmtId="10" fontId="124" fillId="0" borderId="81" xfId="25795" applyNumberFormat="1" applyFont="1" applyFill="1" applyBorder="1" applyAlignment="1">
      <alignment horizontal="center"/>
    </xf>
    <xf numFmtId="43" fontId="124" fillId="0" borderId="79" xfId="25744" applyFont="1" applyFill="1" applyBorder="1"/>
    <xf numFmtId="43" fontId="124" fillId="0" borderId="78" xfId="25744" applyFont="1" applyFill="1" applyBorder="1"/>
    <xf numFmtId="10" fontId="124" fillId="0" borderId="11" xfId="25795" applyNumberFormat="1" applyFont="1" applyFill="1" applyBorder="1" applyAlignment="1">
      <alignment horizontal="center"/>
    </xf>
    <xf numFmtId="43" fontId="124" fillId="0" borderId="0" xfId="25744" applyFont="1" applyFill="1" applyBorder="1"/>
    <xf numFmtId="43" fontId="124" fillId="0" borderId="15" xfId="25744" applyFont="1" applyFill="1" applyBorder="1"/>
    <xf numFmtId="49" fontId="124" fillId="0" borderId="89" xfId="0" quotePrefix="1" applyNumberFormat="1" applyFont="1" applyFill="1" applyBorder="1" applyAlignment="1">
      <alignment horizontal="center"/>
    </xf>
    <xf numFmtId="49" fontId="124" fillId="0" borderId="89" xfId="0" applyNumberFormat="1" applyFont="1" applyFill="1" applyBorder="1" applyAlignment="1">
      <alignment horizontal="center"/>
    </xf>
    <xf numFmtId="0" fontId="124" fillId="0" borderId="89" xfId="0" applyFont="1" applyFill="1" applyBorder="1"/>
    <xf numFmtId="0" fontId="124" fillId="0" borderId="89" xfId="0" applyFont="1" applyFill="1" applyBorder="1" applyAlignment="1">
      <alignment horizontal="center"/>
    </xf>
    <xf numFmtId="0" fontId="124" fillId="0" borderId="79" xfId="0" applyFont="1" applyFill="1" applyBorder="1" applyAlignment="1">
      <alignment horizontal="center"/>
    </xf>
    <xf numFmtId="43" fontId="124" fillId="0" borderId="14" xfId="25744" applyFont="1" applyFill="1" applyBorder="1"/>
    <xf numFmtId="49" fontId="124" fillId="0" borderId="0" xfId="0" applyNumberFormat="1" applyFont="1" applyFill="1" applyBorder="1"/>
    <xf numFmtId="10" fontId="124" fillId="0" borderId="56" xfId="25795" applyNumberFormat="1" applyFont="1" applyFill="1" applyBorder="1" applyAlignment="1">
      <alignment horizontal="center"/>
    </xf>
    <xf numFmtId="43" fontId="124" fillId="0" borderId="89" xfId="25744" applyFont="1" applyFill="1" applyBorder="1"/>
    <xf numFmtId="49" fontId="124" fillId="0" borderId="53" xfId="25744" applyNumberFormat="1" applyFont="1" applyFill="1" applyBorder="1" applyAlignment="1">
      <alignment horizontal="center" vertical="center"/>
    </xf>
    <xf numFmtId="0" fontId="124" fillId="0" borderId="53" xfId="0" applyFont="1" applyFill="1" applyBorder="1"/>
    <xf numFmtId="0" fontId="124" fillId="0" borderId="53" xfId="0" applyFont="1" applyFill="1" applyBorder="1" applyAlignment="1">
      <alignment horizontal="center"/>
    </xf>
    <xf numFmtId="49" fontId="124" fillId="0" borderId="53" xfId="0" applyNumberFormat="1" applyFont="1" applyFill="1" applyBorder="1" applyAlignment="1">
      <alignment horizontal="center"/>
    </xf>
    <xf numFmtId="10" fontId="124" fillId="0" borderId="53" xfId="25795" applyNumberFormat="1" applyFont="1" applyFill="1" applyBorder="1" applyAlignment="1">
      <alignment horizontal="center"/>
    </xf>
    <xf numFmtId="43" fontId="124" fillId="0" borderId="53" xfId="25744" applyFont="1" applyFill="1" applyBorder="1"/>
    <xf numFmtId="49" fontId="124" fillId="0" borderId="79" xfId="25744" applyNumberFormat="1" applyFont="1" applyFill="1" applyBorder="1" applyAlignment="1">
      <alignment horizontal="center" vertical="center"/>
    </xf>
    <xf numFmtId="10" fontId="124" fillId="0" borderId="79" xfId="25795" applyNumberFormat="1" applyFont="1" applyFill="1" applyBorder="1" applyAlignment="1">
      <alignment horizontal="center"/>
    </xf>
    <xf numFmtId="49" fontId="124" fillId="0" borderId="0" xfId="25744" applyNumberFormat="1" applyFont="1" applyFill="1" applyBorder="1" applyAlignment="1">
      <alignment horizontal="center" vertical="center"/>
    </xf>
    <xf numFmtId="10" fontId="124" fillId="0" borderId="0" xfId="25795" applyNumberFormat="1" applyFont="1" applyFill="1" applyBorder="1" applyAlignment="1">
      <alignment horizontal="center"/>
    </xf>
    <xf numFmtId="49" fontId="124" fillId="0" borderId="89" xfId="25744" applyNumberFormat="1" applyFont="1" applyFill="1" applyBorder="1" applyAlignment="1">
      <alignment horizontal="center" vertical="center"/>
    </xf>
    <xf numFmtId="10" fontId="124" fillId="0" borderId="89" xfId="25795" applyNumberFormat="1" applyFont="1" applyFill="1" applyBorder="1" applyAlignment="1">
      <alignment horizontal="center"/>
    </xf>
    <xf numFmtId="49" fontId="124" fillId="0" borderId="53" xfId="0" applyNumberFormat="1" applyFont="1" applyBorder="1" applyAlignment="1">
      <alignment horizontal="center"/>
    </xf>
    <xf numFmtId="10" fontId="124" fillId="0" borderId="53" xfId="25795" applyNumberFormat="1" applyFont="1" applyBorder="1" applyAlignment="1">
      <alignment horizontal="center"/>
    </xf>
    <xf numFmtId="43" fontId="124" fillId="0" borderId="53" xfId="25744" applyFont="1" applyBorder="1"/>
    <xf numFmtId="10" fontId="124" fillId="0" borderId="0" xfId="25795" applyNumberFormat="1" applyFont="1" applyBorder="1" applyAlignment="1">
      <alignment horizontal="center"/>
    </xf>
    <xf numFmtId="43" fontId="124" fillId="0" borderId="0" xfId="25744" applyFont="1" applyBorder="1"/>
    <xf numFmtId="43" fontId="124" fillId="0" borderId="15" xfId="25744" applyFont="1" applyBorder="1"/>
    <xf numFmtId="43" fontId="124" fillId="0" borderId="0" xfId="25795" applyNumberFormat="1" applyFont="1" applyBorder="1"/>
    <xf numFmtId="4" fontId="124" fillId="0" borderId="0" xfId="25795" applyNumberFormat="1" applyFont="1" applyBorder="1"/>
    <xf numFmtId="40" fontId="124" fillId="0" borderId="0" xfId="0" applyNumberFormat="1" applyFont="1" applyBorder="1"/>
    <xf numFmtId="38" fontId="126" fillId="0" borderId="94" xfId="0" applyNumberFormat="1" applyFont="1" applyBorder="1"/>
    <xf numFmtId="3" fontId="124" fillId="0" borderId="0" xfId="0" applyNumberFormat="1" applyFont="1" applyFill="1"/>
    <xf numFmtId="4" fontId="124" fillId="0" borderId="0" xfId="0" quotePrefix="1" applyNumberFormat="1" applyFont="1"/>
    <xf numFmtId="49" fontId="32" fillId="0" borderId="0" xfId="25766" applyNumberFormat="1" applyFont="1" applyFill="1"/>
    <xf numFmtId="49" fontId="123" fillId="0" borderId="0" xfId="25766" applyNumberFormat="1" applyFont="1" applyFill="1"/>
    <xf numFmtId="0" fontId="32" fillId="0" borderId="0" xfId="25766" applyNumberFormat="1" applyFont="1" applyFill="1"/>
    <xf numFmtId="49" fontId="32" fillId="0" borderId="0" xfId="25766" applyNumberFormat="1" applyFont="1" applyFill="1" applyAlignment="1">
      <alignment horizontal="center"/>
    </xf>
    <xf numFmtId="0" fontId="124" fillId="0" borderId="0" xfId="25767" applyFont="1"/>
    <xf numFmtId="49" fontId="124" fillId="0" borderId="0" xfId="3278" applyNumberFormat="1" applyFont="1" applyBorder="1" applyAlignment="1">
      <alignment horizontal="center"/>
    </xf>
    <xf numFmtId="49" fontId="42" fillId="0" borderId="0" xfId="25766" applyNumberFormat="1" applyFont="1" applyFill="1" applyAlignment="1">
      <alignment horizontal="center"/>
    </xf>
    <xf numFmtId="0" fontId="32" fillId="0" borderId="0" xfId="25766" applyFont="1" applyFill="1"/>
    <xf numFmtId="43" fontId="124" fillId="0" borderId="0" xfId="25767" applyNumberFormat="1" applyFont="1"/>
    <xf numFmtId="49" fontId="123" fillId="0" borderId="0" xfId="25766" applyNumberFormat="1" applyFont="1" applyFill="1" applyAlignment="1">
      <alignment horizontal="center"/>
    </xf>
    <xf numFmtId="0" fontId="123" fillId="0" borderId="0" xfId="25766" applyNumberFormat="1" applyFont="1" applyFill="1" applyAlignment="1">
      <alignment horizontal="center"/>
    </xf>
    <xf numFmtId="17" fontId="123" fillId="0" borderId="0" xfId="25766" applyNumberFormat="1" applyFont="1" applyFill="1" applyAlignment="1">
      <alignment horizontal="center"/>
    </xf>
    <xf numFmtId="0" fontId="123" fillId="0" borderId="0" xfId="25766" applyFont="1" applyFill="1" applyAlignment="1">
      <alignment horizontal="center"/>
    </xf>
    <xf numFmtId="0" fontId="126" fillId="0" borderId="0" xfId="25767" applyFont="1" applyAlignment="1">
      <alignment horizontal="center"/>
    </xf>
    <xf numFmtId="49" fontId="123" fillId="0" borderId="0" xfId="25766" applyNumberFormat="1" applyFont="1" applyAlignment="1">
      <alignment horizontal="center"/>
    </xf>
    <xf numFmtId="0" fontId="123" fillId="0" borderId="0" xfId="25766" applyFont="1" applyFill="1"/>
    <xf numFmtId="0" fontId="126" fillId="0" borderId="0" xfId="25767" applyFont="1"/>
    <xf numFmtId="0" fontId="32" fillId="0" borderId="0" xfId="25766" applyFont="1"/>
    <xf numFmtId="0" fontId="133" fillId="0" borderId="0" xfId="25766" applyNumberFormat="1" applyFont="1" applyFill="1" applyAlignment="1">
      <alignment horizontal="left"/>
    </xf>
    <xf numFmtId="49" fontId="133" fillId="0" borderId="0" xfId="25766" applyNumberFormat="1" applyFont="1" applyFill="1"/>
    <xf numFmtId="49" fontId="133" fillId="0" borderId="0" xfId="25766" applyNumberFormat="1" applyFont="1" applyFill="1" applyAlignment="1">
      <alignment horizontal="center"/>
    </xf>
    <xf numFmtId="0" fontId="126" fillId="0" borderId="89" xfId="25767" applyFont="1" applyBorder="1"/>
    <xf numFmtId="0" fontId="32" fillId="88" borderId="0" xfId="25766" applyFont="1" applyFill="1"/>
    <xf numFmtId="0" fontId="123" fillId="88" borderId="0" xfId="25766" applyFont="1" applyFill="1" applyAlignment="1">
      <alignment horizontal="center"/>
    </xf>
    <xf numFmtId="49" fontId="32" fillId="0" borderId="0" xfId="25766" applyNumberFormat="1" applyFont="1"/>
    <xf numFmtId="0" fontId="123" fillId="0" borderId="0" xfId="25766" applyNumberFormat="1" applyFont="1" applyAlignment="1">
      <alignment horizontal="center"/>
    </xf>
    <xf numFmtId="0" fontId="32" fillId="0" borderId="0" xfId="25766" applyNumberFormat="1" applyFont="1"/>
    <xf numFmtId="43" fontId="32" fillId="0" borderId="0" xfId="301" applyFont="1" applyFill="1"/>
    <xf numFmtId="43" fontId="32" fillId="0" borderId="0" xfId="173" applyFont="1" applyFill="1"/>
    <xf numFmtId="43" fontId="32" fillId="0" borderId="0" xfId="306" applyFont="1" applyFill="1"/>
    <xf numFmtId="43" fontId="32" fillId="0" borderId="0" xfId="300" applyFont="1" applyFill="1"/>
    <xf numFmtId="43" fontId="32" fillId="0" borderId="0" xfId="289" applyFont="1" applyFill="1"/>
    <xf numFmtId="43" fontId="32" fillId="0" borderId="0" xfId="291" applyFont="1" applyFill="1"/>
    <xf numFmtId="43" fontId="32" fillId="0" borderId="0" xfId="288" applyFont="1" applyFill="1"/>
    <xf numFmtId="43" fontId="32" fillId="0" borderId="0" xfId="290" applyFont="1" applyFill="1"/>
    <xf numFmtId="43" fontId="32" fillId="0" borderId="0" xfId="282" applyFont="1" applyFill="1"/>
    <xf numFmtId="43" fontId="124" fillId="0" borderId="0" xfId="5" applyFont="1" applyFill="1"/>
    <xf numFmtId="43" fontId="32" fillId="0" borderId="0" xfId="174" applyFont="1" applyFill="1"/>
    <xf numFmtId="43" fontId="32" fillId="0" borderId="0" xfId="314" applyFont="1" applyFill="1"/>
    <xf numFmtId="0" fontId="124" fillId="0" borderId="0" xfId="25767" applyFont="1" applyFill="1"/>
    <xf numFmtId="43" fontId="124" fillId="0" borderId="0" xfId="25767" applyNumberFormat="1" applyFont="1" applyFill="1"/>
    <xf numFmtId="49" fontId="32" fillId="0" borderId="0" xfId="166" applyNumberFormat="1" applyFont="1" applyFill="1"/>
    <xf numFmtId="49" fontId="124" fillId="0" borderId="0" xfId="3264" applyNumberFormat="1" applyFont="1" applyFill="1"/>
    <xf numFmtId="49" fontId="124" fillId="0" borderId="0" xfId="451" applyNumberFormat="1" applyFont="1" applyFill="1"/>
    <xf numFmtId="49" fontId="32" fillId="0" borderId="0" xfId="52" applyNumberFormat="1" applyFont="1" applyFill="1"/>
    <xf numFmtId="49" fontId="124" fillId="0" borderId="0" xfId="419" applyNumberFormat="1" applyFont="1" applyFill="1"/>
    <xf numFmtId="49" fontId="124" fillId="0" borderId="0" xfId="370" applyNumberFormat="1" applyFont="1" applyFill="1"/>
    <xf numFmtId="49" fontId="32" fillId="0" borderId="0" xfId="393" applyNumberFormat="1" applyFont="1" applyFill="1"/>
    <xf numFmtId="49" fontId="32" fillId="0" borderId="0" xfId="359" applyNumberFormat="1" applyFont="1" applyFill="1"/>
    <xf numFmtId="49" fontId="124" fillId="0" borderId="0" xfId="0" applyNumberFormat="1" applyFont="1" applyFill="1"/>
    <xf numFmtId="49" fontId="32" fillId="0" borderId="0" xfId="343" applyNumberFormat="1" applyFont="1" applyFill="1"/>
    <xf numFmtId="49" fontId="32" fillId="0" borderId="0" xfId="470" applyNumberFormat="1" applyFont="1" applyFill="1"/>
    <xf numFmtId="43" fontId="32" fillId="0" borderId="79" xfId="173" applyFont="1" applyFill="1" applyBorder="1"/>
    <xf numFmtId="43" fontId="124" fillId="0" borderId="0" xfId="5" applyFont="1"/>
    <xf numFmtId="43" fontId="32" fillId="0" borderId="0" xfId="25746" applyFont="1" applyFill="1"/>
    <xf numFmtId="43" fontId="32" fillId="0" borderId="0" xfId="181" applyFont="1"/>
    <xf numFmtId="43" fontId="124" fillId="0" borderId="0" xfId="25746" applyFont="1" applyFill="1"/>
    <xf numFmtId="43" fontId="32" fillId="0" borderId="0" xfId="173" applyFont="1" applyFill="1" applyBorder="1"/>
    <xf numFmtId="43" fontId="32" fillId="0" borderId="0" xfId="306" applyFont="1" applyFill="1" applyBorder="1"/>
    <xf numFmtId="43" fontId="32" fillId="0" borderId="0" xfId="300" applyFont="1" applyFill="1" applyBorder="1"/>
    <xf numFmtId="43" fontId="32" fillId="0" borderId="0" xfId="289" applyFont="1" applyFill="1" applyBorder="1"/>
    <xf numFmtId="43" fontId="32" fillId="0" borderId="0" xfId="291" applyFont="1" applyFill="1" applyBorder="1"/>
    <xf numFmtId="43" fontId="32" fillId="0" borderId="0" xfId="288" applyFont="1" applyFill="1" applyBorder="1"/>
    <xf numFmtId="43" fontId="32" fillId="0" borderId="0" xfId="290" applyFont="1" applyFill="1" applyBorder="1"/>
    <xf numFmtId="43" fontId="32" fillId="0" borderId="0" xfId="282" applyFont="1" applyFill="1" applyBorder="1"/>
    <xf numFmtId="43" fontId="124" fillId="0" borderId="0" xfId="5" applyFont="1" applyFill="1" applyBorder="1"/>
    <xf numFmtId="43" fontId="32" fillId="0" borderId="0" xfId="174" applyFont="1" applyFill="1" applyBorder="1"/>
    <xf numFmtId="43" fontId="32" fillId="0" borderId="0" xfId="314" applyFont="1" applyFill="1" applyBorder="1"/>
    <xf numFmtId="43" fontId="32" fillId="0" borderId="89" xfId="173" applyFont="1" applyFill="1" applyBorder="1"/>
    <xf numFmtId="43" fontId="32" fillId="0" borderId="89" xfId="306" applyFont="1" applyFill="1" applyBorder="1"/>
    <xf numFmtId="43" fontId="32" fillId="0" borderId="89" xfId="300" applyFont="1" applyFill="1" applyBorder="1"/>
    <xf numFmtId="43" fontId="32" fillId="0" borderId="89" xfId="289" applyFont="1" applyFill="1" applyBorder="1"/>
    <xf numFmtId="43" fontId="32" fillId="0" borderId="89" xfId="291" applyFont="1" applyFill="1" applyBorder="1"/>
    <xf numFmtId="43" fontId="32" fillId="0" borderId="89" xfId="288" applyFont="1" applyFill="1" applyBorder="1"/>
    <xf numFmtId="43" fontId="32" fillId="0" borderId="89" xfId="290" applyFont="1" applyFill="1" applyBorder="1"/>
    <xf numFmtId="43" fontId="32" fillId="0" borderId="89" xfId="282" applyFont="1" applyFill="1" applyBorder="1"/>
    <xf numFmtId="43" fontId="124" fillId="0" borderId="89" xfId="5" applyFont="1" applyFill="1" applyBorder="1"/>
    <xf numFmtId="43" fontId="32" fillId="0" borderId="89" xfId="174" applyFont="1" applyFill="1" applyBorder="1"/>
    <xf numFmtId="43" fontId="32" fillId="0" borderId="89" xfId="314" applyFont="1" applyFill="1" applyBorder="1"/>
    <xf numFmtId="43" fontId="32" fillId="0" borderId="0" xfId="173" applyNumberFormat="1" applyFont="1" applyFill="1"/>
    <xf numFmtId="43" fontId="32" fillId="0" borderId="53" xfId="173" applyNumberFormat="1" applyFont="1" applyFill="1" applyBorder="1"/>
    <xf numFmtId="43" fontId="32" fillId="0" borderId="89" xfId="173" applyNumberFormat="1" applyFont="1" applyFill="1" applyBorder="1"/>
    <xf numFmtId="49" fontId="124" fillId="0" borderId="0" xfId="409" applyNumberFormat="1" applyFont="1" applyFill="1"/>
    <xf numFmtId="0" fontId="32" fillId="0" borderId="0" xfId="166" applyNumberFormat="1" applyFont="1" applyFill="1"/>
    <xf numFmtId="0" fontId="124" fillId="0" borderId="0" xfId="3264" applyFont="1" applyFill="1"/>
    <xf numFmtId="0" fontId="124" fillId="0" borderId="0" xfId="451" applyNumberFormat="1" applyFont="1" applyFill="1"/>
    <xf numFmtId="0" fontId="32" fillId="0" borderId="0" xfId="52" applyNumberFormat="1" applyFont="1" applyFill="1"/>
    <xf numFmtId="0" fontId="124" fillId="0" borderId="0" xfId="419" applyNumberFormat="1" applyFont="1" applyFill="1"/>
    <xf numFmtId="0" fontId="124" fillId="0" borderId="0" xfId="370" applyNumberFormat="1" applyFont="1" applyFill="1"/>
    <xf numFmtId="0" fontId="32" fillId="0" borderId="0" xfId="393" applyNumberFormat="1" applyFont="1" applyFill="1"/>
    <xf numFmtId="0" fontId="32" fillId="0" borderId="0" xfId="359" applyNumberFormat="1" applyFont="1" applyFill="1"/>
    <xf numFmtId="0" fontId="124" fillId="0" borderId="0" xfId="0" applyNumberFormat="1" applyFont="1" applyFill="1"/>
    <xf numFmtId="0" fontId="32" fillId="0" borderId="0" xfId="343" applyNumberFormat="1" applyFont="1" applyFill="1"/>
    <xf numFmtId="0" fontId="32" fillId="0" borderId="0" xfId="470" applyNumberFormat="1" applyFont="1" applyFill="1"/>
    <xf numFmtId="43" fontId="32" fillId="0" borderId="0" xfId="166" applyNumberFormat="1" applyFont="1" applyFill="1"/>
    <xf numFmtId="43" fontId="32" fillId="0" borderId="79" xfId="306" applyFont="1" applyFill="1" applyBorder="1"/>
    <xf numFmtId="43" fontId="32" fillId="0" borderId="79" xfId="300" applyFont="1" applyFill="1" applyBorder="1"/>
    <xf numFmtId="43" fontId="32" fillId="0" borderId="79" xfId="289" applyFont="1" applyFill="1" applyBorder="1"/>
    <xf numFmtId="43" fontId="32" fillId="0" borderId="79" xfId="291" applyFont="1" applyFill="1" applyBorder="1"/>
    <xf numFmtId="43" fontId="32" fillId="0" borderId="79" xfId="288" applyFont="1" applyFill="1" applyBorder="1"/>
    <xf numFmtId="43" fontId="32" fillId="0" borderId="79" xfId="290" applyFont="1" applyFill="1" applyBorder="1"/>
    <xf numFmtId="43" fontId="32" fillId="0" borderId="79" xfId="282" applyFont="1" applyFill="1" applyBorder="1"/>
    <xf numFmtId="43" fontId="124" fillId="0" borderId="79" xfId="5" applyFont="1" applyFill="1" applyBorder="1"/>
    <xf numFmtId="43" fontId="32" fillId="0" borderId="79" xfId="174" applyFont="1" applyFill="1" applyBorder="1"/>
    <xf numFmtId="43" fontId="32" fillId="0" borderId="79" xfId="314" applyFont="1" applyFill="1" applyBorder="1"/>
    <xf numFmtId="43" fontId="32" fillId="0" borderId="0" xfId="5" applyFont="1" applyFill="1"/>
    <xf numFmtId="49" fontId="123" fillId="0" borderId="0" xfId="25766" applyNumberFormat="1" applyFont="1"/>
    <xf numFmtId="43" fontId="32" fillId="0" borderId="0" xfId="183" applyFont="1" applyFill="1"/>
    <xf numFmtId="43" fontId="32" fillId="0" borderId="0" xfId="312" applyFont="1" applyFill="1"/>
    <xf numFmtId="43" fontId="32" fillId="0" borderId="0" xfId="313" applyFont="1" applyFill="1"/>
    <xf numFmtId="43" fontId="32" fillId="0" borderId="0" xfId="337" applyFont="1" applyFill="1"/>
    <xf numFmtId="43" fontId="32" fillId="0" borderId="0" xfId="308" applyFont="1" applyFill="1"/>
    <xf numFmtId="0" fontId="32" fillId="0" borderId="0" xfId="25766" quotePrefix="1" applyNumberFormat="1" applyFont="1" applyFill="1"/>
    <xf numFmtId="49" fontId="124" fillId="0" borderId="0" xfId="3265" applyNumberFormat="1" applyFont="1" applyFill="1"/>
    <xf numFmtId="49" fontId="124" fillId="0" borderId="0" xfId="3262" applyNumberFormat="1" applyFont="1" applyFill="1"/>
    <xf numFmtId="43" fontId="32" fillId="0" borderId="0" xfId="5" applyFont="1"/>
    <xf numFmtId="43" fontId="32" fillId="0" borderId="0" xfId="308" applyFont="1" applyFill="1" applyBorder="1"/>
    <xf numFmtId="43" fontId="32" fillId="0" borderId="0" xfId="5" applyFont="1" applyFill="1" applyBorder="1"/>
    <xf numFmtId="43" fontId="32" fillId="0" borderId="89" xfId="5" applyFont="1" applyFill="1" applyBorder="1"/>
    <xf numFmtId="43" fontId="32" fillId="0" borderId="0" xfId="181" applyFont="1" applyFill="1"/>
    <xf numFmtId="49" fontId="32" fillId="0" borderId="0" xfId="333" applyNumberFormat="1" applyFont="1" applyFill="1"/>
    <xf numFmtId="43" fontId="32" fillId="0" borderId="0" xfId="337" applyFont="1" applyFill="1" applyBorder="1"/>
    <xf numFmtId="49" fontId="32" fillId="0" borderId="0" xfId="25766" quotePrefix="1" applyNumberFormat="1" applyFont="1"/>
    <xf numFmtId="43" fontId="124" fillId="95" borderId="0" xfId="25767" applyNumberFormat="1" applyFont="1" applyFill="1"/>
    <xf numFmtId="0" fontId="32" fillId="0" borderId="0" xfId="25766" quotePrefix="1" applyNumberFormat="1" applyFont="1"/>
    <xf numFmtId="49" fontId="86" fillId="0" borderId="0" xfId="25766" applyNumberFormat="1" applyFont="1"/>
    <xf numFmtId="0" fontId="86" fillId="0" borderId="0" xfId="25766" applyNumberFormat="1" applyFont="1"/>
    <xf numFmtId="0" fontId="86" fillId="0" borderId="0" xfId="25766" quotePrefix="1" applyNumberFormat="1" applyFont="1"/>
    <xf numFmtId="43" fontId="32" fillId="0" borderId="0" xfId="351" applyFont="1" applyFill="1"/>
    <xf numFmtId="0" fontId="32" fillId="0" borderId="0" xfId="25766" applyNumberFormat="1" applyFont="1" applyAlignment="1">
      <alignment horizontal="left"/>
    </xf>
    <xf numFmtId="43" fontId="32" fillId="0" borderId="82" xfId="173" applyFont="1" applyFill="1" applyBorder="1"/>
    <xf numFmtId="2" fontId="124" fillId="0" borderId="0" xfId="409" applyNumberFormat="1" applyFont="1" applyFill="1" applyAlignment="1">
      <alignment wrapText="1"/>
    </xf>
    <xf numFmtId="2" fontId="32" fillId="0" borderId="0" xfId="25766" applyNumberFormat="1" applyFont="1" applyAlignment="1">
      <alignment wrapText="1"/>
    </xf>
    <xf numFmtId="2" fontId="32" fillId="0" borderId="0" xfId="409" applyNumberFormat="1" applyFont="1" applyFill="1" applyAlignment="1">
      <alignment wrapText="1"/>
    </xf>
    <xf numFmtId="49" fontId="138" fillId="0" borderId="0" xfId="25766" applyNumberFormat="1" applyFont="1"/>
    <xf numFmtId="49" fontId="32" fillId="0" borderId="0" xfId="409" applyNumberFormat="1" applyFont="1" applyFill="1"/>
    <xf numFmtId="2" fontId="32" fillId="0" borderId="0" xfId="25766" applyNumberFormat="1" applyFont="1"/>
    <xf numFmtId="0" fontId="86" fillId="0" borderId="0" xfId="25766" applyNumberFormat="1" applyFont="1" applyFill="1"/>
    <xf numFmtId="49" fontId="32" fillId="0" borderId="0" xfId="58" applyNumberFormat="1" applyFont="1" applyFill="1"/>
    <xf numFmtId="190" fontId="124" fillId="0" borderId="0" xfId="25767" applyNumberFormat="1" applyFont="1"/>
    <xf numFmtId="43" fontId="124" fillId="0" borderId="0" xfId="25746" applyFont="1"/>
    <xf numFmtId="166" fontId="124" fillId="0" borderId="0" xfId="25746" applyNumberFormat="1" applyFont="1"/>
    <xf numFmtId="43" fontId="32" fillId="0" borderId="0" xfId="25766" applyNumberFormat="1" applyFont="1" applyFill="1"/>
    <xf numFmtId="0" fontId="123" fillId="96" borderId="0" xfId="25766" applyFont="1" applyFill="1"/>
    <xf numFmtId="10" fontId="126" fillId="96" borderId="0" xfId="25767" applyNumberFormat="1" applyFont="1" applyFill="1"/>
    <xf numFmtId="0" fontId="126" fillId="0" borderId="0" xfId="0" applyFont="1"/>
    <xf numFmtId="6" fontId="126" fillId="0" borderId="83" xfId="0" applyNumberFormat="1" applyFont="1" applyBorder="1" applyAlignment="1">
      <alignment horizontal="center"/>
    </xf>
    <xf numFmtId="0" fontId="123" fillId="0" borderId="0" xfId="0" applyFont="1" applyFill="1" applyAlignment="1">
      <alignment horizontal="center"/>
    </xf>
    <xf numFmtId="0" fontId="133" fillId="0" borderId="0" xfId="0" applyFont="1" applyFill="1" applyAlignment="1">
      <alignment horizontal="center"/>
    </xf>
    <xf numFmtId="49" fontId="32" fillId="0" borderId="0" xfId="0" applyNumberFormat="1" applyFont="1" applyFill="1" applyAlignment="1">
      <alignment horizontal="center"/>
    </xf>
    <xf numFmtId="0" fontId="32" fillId="0" borderId="0" xfId="25295" quotePrefix="1" applyFont="1" applyFill="1" applyBorder="1" applyAlignment="1">
      <alignment horizontal="center"/>
    </xf>
    <xf numFmtId="43" fontId="32" fillId="0" borderId="0" xfId="0" applyNumberFormat="1" applyFont="1" applyFill="1"/>
    <xf numFmtId="196" fontId="124" fillId="0" borderId="0" xfId="0" applyNumberFormat="1" applyFont="1" applyFill="1" applyBorder="1"/>
    <xf numFmtId="0" fontId="0" fillId="0" borderId="0" xfId="0" applyAlignment="1">
      <alignment horizontal="right"/>
    </xf>
    <xf numFmtId="39" fontId="124" fillId="0" borderId="0" xfId="0" applyNumberFormat="1" applyFont="1" applyFill="1"/>
    <xf numFmtId="39" fontId="32" fillId="0" borderId="85" xfId="0" applyNumberFormat="1" applyFont="1" applyFill="1" applyBorder="1"/>
    <xf numFmtId="37" fontId="18" fillId="0" borderId="0" xfId="25797" applyFont="1"/>
    <xf numFmtId="37" fontId="18" fillId="0" borderId="0" xfId="25797" applyFont="1" applyFill="1"/>
    <xf numFmtId="199" fontId="18" fillId="0" borderId="0" xfId="25797" applyNumberFormat="1" applyFont="1" applyFill="1"/>
    <xf numFmtId="37" fontId="18" fillId="0" borderId="89" xfId="25797" applyFont="1" applyFill="1" applyBorder="1"/>
    <xf numFmtId="10" fontId="18" fillId="0" borderId="0" xfId="25750" applyNumberFormat="1" applyFont="1" applyFill="1"/>
    <xf numFmtId="0" fontId="18" fillId="0" borderId="0" xfId="25768" applyNumberFormat="1" applyFont="1" applyFill="1" applyAlignment="1">
      <alignment horizontal="left"/>
    </xf>
    <xf numFmtId="37" fontId="18" fillId="0" borderId="100" xfId="25797" applyFont="1" applyFill="1" applyBorder="1"/>
    <xf numFmtId="37" fontId="18" fillId="0" borderId="49" xfId="25797" applyFont="1" applyFill="1" applyBorder="1"/>
    <xf numFmtId="37" fontId="18" fillId="0" borderId="99" xfId="25797" applyFont="1" applyFill="1" applyBorder="1"/>
    <xf numFmtId="10" fontId="23" fillId="0" borderId="49" xfId="25797" applyNumberFormat="1" applyFont="1" applyFill="1" applyBorder="1" applyProtection="1">
      <protection locked="0"/>
    </xf>
    <xf numFmtId="37" fontId="18" fillId="0" borderId="100" xfId="25797" applyFont="1" applyBorder="1"/>
    <xf numFmtId="37" fontId="18" fillId="0" borderId="49" xfId="25797" applyFont="1" applyBorder="1"/>
    <xf numFmtId="37" fontId="18" fillId="0" borderId="99" xfId="25797" applyFont="1" applyBorder="1"/>
    <xf numFmtId="37" fontId="18" fillId="0" borderId="93" xfId="25797" applyFont="1" applyFill="1" applyBorder="1"/>
    <xf numFmtId="37" fontId="18" fillId="0" borderId="0" xfId="25797" applyFont="1" applyFill="1" applyBorder="1"/>
    <xf numFmtId="37" fontId="18" fillId="0" borderId="92" xfId="25797" applyFont="1" applyFill="1" applyBorder="1"/>
    <xf numFmtId="10" fontId="18" fillId="0" borderId="0" xfId="25797" applyNumberFormat="1" applyFont="1" applyFill="1" applyBorder="1" applyAlignment="1" applyProtection="1">
      <alignment horizontal="left"/>
    </xf>
    <xf numFmtId="37" fontId="18" fillId="0" borderId="93" xfId="25797" applyFont="1" applyBorder="1"/>
    <xf numFmtId="37" fontId="18" fillId="0" borderId="0" xfId="25797" applyFont="1" applyBorder="1"/>
    <xf numFmtId="37" fontId="18" fillId="0" borderId="92" xfId="25797" applyFont="1" applyBorder="1"/>
    <xf numFmtId="10" fontId="18" fillId="0" borderId="93" xfId="25797" applyNumberFormat="1" applyFont="1" applyFill="1" applyBorder="1" applyAlignment="1" applyProtection="1">
      <alignment horizontal="fill"/>
    </xf>
    <xf numFmtId="10" fontId="18" fillId="0" borderId="0" xfId="25797" applyNumberFormat="1" applyFont="1" applyFill="1" applyBorder="1" applyAlignment="1" applyProtection="1">
      <alignment horizontal="fill"/>
    </xf>
    <xf numFmtId="10" fontId="18" fillId="0" borderId="109" xfId="25797" applyNumberFormat="1" applyFont="1" applyFill="1" applyBorder="1" applyProtection="1"/>
    <xf numFmtId="10" fontId="18" fillId="0" borderId="89" xfId="25797" applyNumberFormat="1" applyFont="1" applyFill="1" applyBorder="1" applyProtection="1"/>
    <xf numFmtId="166" fontId="18" fillId="0" borderId="109" xfId="25768" applyNumberFormat="1" applyFont="1" applyFill="1" applyBorder="1" applyProtection="1"/>
    <xf numFmtId="166" fontId="18" fillId="0" borderId="89" xfId="25768" applyNumberFormat="1" applyFont="1" applyFill="1" applyBorder="1" applyProtection="1"/>
    <xf numFmtId="10" fontId="18" fillId="0" borderId="93" xfId="25797" applyNumberFormat="1" applyFont="1" applyBorder="1" applyAlignment="1" applyProtection="1">
      <alignment horizontal="fill"/>
    </xf>
    <xf numFmtId="10" fontId="18" fillId="0" borderId="0" xfId="25797" applyNumberFormat="1" applyFont="1" applyBorder="1" applyAlignment="1" applyProtection="1">
      <alignment horizontal="fill"/>
    </xf>
    <xf numFmtId="166" fontId="18" fillId="0" borderId="93" xfId="25768" applyNumberFormat="1" applyFont="1" applyFill="1" applyBorder="1"/>
    <xf numFmtId="166" fontId="18" fillId="0" borderId="0" xfId="25768" applyNumberFormat="1" applyFont="1" applyFill="1" applyBorder="1"/>
    <xf numFmtId="10" fontId="18" fillId="0" borderId="93" xfId="25797" applyNumberFormat="1" applyFont="1" applyBorder="1" applyProtection="1"/>
    <xf numFmtId="10" fontId="18" fillId="0" borderId="0" xfId="25797" applyNumberFormat="1" applyFont="1" applyBorder="1" applyProtection="1"/>
    <xf numFmtId="10" fontId="23" fillId="0" borderId="0" xfId="25797" applyNumberFormat="1" applyFont="1" applyBorder="1" applyProtection="1">
      <protection locked="0"/>
    </xf>
    <xf numFmtId="10" fontId="18" fillId="0" borderId="92" xfId="25797" applyNumberFormat="1" applyFont="1" applyBorder="1" applyAlignment="1" applyProtection="1">
      <alignment horizontal="left"/>
    </xf>
    <xf numFmtId="166" fontId="18" fillId="0" borderId="0" xfId="25768" applyNumberFormat="1" applyFont="1" applyFill="1" applyBorder="1" applyProtection="1"/>
    <xf numFmtId="166" fontId="18" fillId="0" borderId="0" xfId="25768" applyNumberFormat="1" applyFont="1" applyFill="1" applyBorder="1" applyAlignment="1" applyProtection="1">
      <alignment horizontal="fill"/>
    </xf>
    <xf numFmtId="10" fontId="18" fillId="0" borderId="92" xfId="25797" applyNumberFormat="1" applyFont="1" applyFill="1" applyBorder="1" applyAlignment="1" applyProtection="1">
      <alignment horizontal="left"/>
    </xf>
    <xf numFmtId="166" fontId="23" fillId="0" borderId="89" xfId="25768" applyNumberFormat="1" applyFont="1" applyFill="1" applyBorder="1" applyProtection="1">
      <protection locked="0"/>
    </xf>
    <xf numFmtId="200" fontId="18" fillId="0" borderId="0" xfId="25797" applyNumberFormat="1" applyFont="1" applyFill="1" applyBorder="1" applyProtection="1"/>
    <xf numFmtId="10" fontId="18" fillId="0" borderId="109" xfId="25797" applyNumberFormat="1" applyFont="1" applyBorder="1" applyProtection="1"/>
    <xf numFmtId="10" fontId="18" fillId="0" borderId="89" xfId="25797" applyNumberFormat="1" applyFont="1" applyBorder="1" applyProtection="1"/>
    <xf numFmtId="10" fontId="18" fillId="0" borderId="0" xfId="25750" applyNumberFormat="1" applyFont="1" applyFill="1" applyBorder="1"/>
    <xf numFmtId="166" fontId="23" fillId="0" borderId="0" xfId="25768" applyNumberFormat="1" applyFont="1" applyFill="1" applyBorder="1" applyProtection="1">
      <protection locked="0"/>
    </xf>
    <xf numFmtId="39" fontId="18" fillId="0" borderId="0" xfId="25797" applyNumberFormat="1" applyFont="1"/>
    <xf numFmtId="10" fontId="18" fillId="0" borderId="93" xfId="25797" applyNumberFormat="1" applyFont="1" applyFill="1" applyBorder="1" applyProtection="1"/>
    <xf numFmtId="166" fontId="18" fillId="0" borderId="93" xfId="25768" applyNumberFormat="1" applyFont="1" applyFill="1" applyBorder="1" applyAlignment="1" applyProtection="1">
      <alignment horizontal="fill"/>
    </xf>
    <xf numFmtId="10" fontId="18" fillId="0" borderId="109" xfId="25797" applyNumberFormat="1" applyFont="1" applyFill="1" applyBorder="1" applyAlignment="1" applyProtection="1">
      <alignment horizontal="center"/>
    </xf>
    <xf numFmtId="10" fontId="18" fillId="0" borderId="89" xfId="25797" applyNumberFormat="1" applyFont="1" applyFill="1" applyBorder="1" applyAlignment="1" applyProtection="1">
      <alignment horizontal="center"/>
    </xf>
    <xf numFmtId="10" fontId="18" fillId="0" borderId="93" xfId="25797" applyNumberFormat="1" applyFont="1" applyFill="1" applyBorder="1" applyAlignment="1" applyProtection="1">
      <alignment horizontal="center"/>
    </xf>
    <xf numFmtId="10" fontId="18" fillId="0" borderId="0" xfId="25797" applyNumberFormat="1" applyFont="1" applyFill="1" applyBorder="1" applyAlignment="1" applyProtection="1">
      <alignment horizontal="center"/>
    </xf>
    <xf numFmtId="166" fontId="18" fillId="0" borderId="93" xfId="25768" applyNumberFormat="1" applyFont="1" applyFill="1" applyBorder="1" applyProtection="1"/>
    <xf numFmtId="37" fontId="18" fillId="0" borderId="93" xfId="25797" applyFont="1" applyFill="1" applyBorder="1" applyAlignment="1">
      <alignment horizontal="center"/>
    </xf>
    <xf numFmtId="201" fontId="18" fillId="0" borderId="0" xfId="25797" applyNumberFormat="1" applyFont="1" applyFill="1" applyBorder="1" applyAlignment="1" applyProtection="1">
      <alignment horizontal="center"/>
    </xf>
    <xf numFmtId="166" fontId="18" fillId="0" borderId="89" xfId="25768" applyNumberFormat="1" applyFont="1" applyFill="1" applyBorder="1" applyAlignment="1" applyProtection="1">
      <alignment horizontal="center"/>
    </xf>
    <xf numFmtId="166" fontId="18" fillId="0" borderId="0" xfId="25768" applyNumberFormat="1" applyFont="1" applyFill="1" applyBorder="1" applyAlignment="1" applyProtection="1">
      <alignment horizontal="center"/>
    </xf>
    <xf numFmtId="37" fontId="18" fillId="0" borderId="0" xfId="25797" applyFont="1" applyFill="1" applyBorder="1" applyAlignment="1">
      <alignment horizontal="center"/>
    </xf>
    <xf numFmtId="10" fontId="18" fillId="0" borderId="109" xfId="25797" applyNumberFormat="1" applyFont="1" applyBorder="1" applyAlignment="1" applyProtection="1">
      <alignment horizontal="center"/>
    </xf>
    <xf numFmtId="10" fontId="18" fillId="0" borderId="89" xfId="25797" applyNumberFormat="1" applyFont="1" applyBorder="1" applyAlignment="1" applyProtection="1">
      <alignment horizontal="center"/>
    </xf>
    <xf numFmtId="37" fontId="18" fillId="0" borderId="93" xfId="25797" applyFont="1" applyFill="1" applyBorder="1" applyAlignment="1">
      <alignment horizontal="centerContinuous"/>
    </xf>
    <xf numFmtId="37" fontId="18" fillId="0" borderId="0" xfId="25797" applyFont="1" applyFill="1" applyBorder="1" applyAlignment="1">
      <alignment horizontal="centerContinuous"/>
    </xf>
    <xf numFmtId="201" fontId="18" fillId="0" borderId="92" xfId="25797" applyNumberFormat="1" applyFont="1" applyFill="1" applyBorder="1" applyAlignment="1" applyProtection="1">
      <alignment horizontal="centerContinuous"/>
    </xf>
    <xf numFmtId="166" fontId="18" fillId="0" borderId="93" xfId="25768" applyNumberFormat="1" applyFont="1" applyFill="1" applyBorder="1" applyAlignment="1">
      <alignment horizontal="centerContinuous"/>
    </xf>
    <xf numFmtId="166" fontId="18" fillId="0" borderId="0" xfId="25768" applyNumberFormat="1" applyFont="1" applyFill="1" applyBorder="1" applyAlignment="1">
      <alignment horizontal="centerContinuous"/>
    </xf>
    <xf numFmtId="201" fontId="18" fillId="0" borderId="0" xfId="25797" applyNumberFormat="1" applyFont="1" applyFill="1" applyBorder="1" applyAlignment="1" applyProtection="1">
      <alignment horizontal="centerContinuous"/>
    </xf>
    <xf numFmtId="37" fontId="18" fillId="0" borderId="93" xfId="25797" applyFont="1" applyBorder="1" applyAlignment="1">
      <alignment horizontal="centerContinuous"/>
    </xf>
    <xf numFmtId="37" fontId="18" fillId="0" borderId="0" xfId="25797" applyFont="1" applyBorder="1" applyAlignment="1">
      <alignment horizontal="centerContinuous"/>
    </xf>
    <xf numFmtId="201" fontId="23" fillId="0" borderId="92" xfId="25797" applyNumberFormat="1" applyFont="1" applyBorder="1" applyAlignment="1" applyProtection="1">
      <alignment horizontal="centerContinuous"/>
      <protection locked="0"/>
    </xf>
    <xf numFmtId="10" fontId="18" fillId="0" borderId="92" xfId="25797" applyNumberFormat="1" applyFont="1" applyFill="1" applyBorder="1" applyAlignment="1" applyProtection="1">
      <alignment horizontal="centerContinuous"/>
    </xf>
    <xf numFmtId="10" fontId="18" fillId="0" borderId="0" xfId="25797" applyNumberFormat="1" applyFont="1" applyFill="1" applyBorder="1" applyAlignment="1" applyProtection="1">
      <alignment horizontal="centerContinuous"/>
    </xf>
    <xf numFmtId="10" fontId="18" fillId="0" borderId="92" xfId="25797" applyNumberFormat="1" applyFont="1" applyBorder="1" applyAlignment="1" applyProtection="1">
      <alignment horizontal="centerContinuous"/>
    </xf>
    <xf numFmtId="37" fontId="18" fillId="0" borderId="98" xfId="25797" applyFont="1" applyFill="1" applyBorder="1"/>
    <xf numFmtId="37" fontId="18" fillId="0" borderId="97" xfId="25797" applyFont="1" applyFill="1" applyBorder="1"/>
    <xf numFmtId="37" fontId="18" fillId="0" borderId="96" xfId="25797" applyFont="1" applyFill="1" applyBorder="1"/>
    <xf numFmtId="166" fontId="18" fillId="0" borderId="98" xfId="25768" applyNumberFormat="1" applyFont="1" applyFill="1" applyBorder="1"/>
    <xf numFmtId="166" fontId="18" fillId="0" borderId="97" xfId="25768" applyNumberFormat="1" applyFont="1" applyFill="1" applyBorder="1"/>
    <xf numFmtId="37" fontId="18" fillId="0" borderId="98" xfId="25797" applyFont="1" applyBorder="1"/>
    <xf numFmtId="37" fontId="18" fillId="0" borderId="97" xfId="25797" applyFont="1" applyBorder="1"/>
    <xf numFmtId="37" fontId="18" fillId="0" borderId="96" xfId="25797" applyFont="1" applyBorder="1"/>
    <xf numFmtId="37" fontId="141" fillId="0" borderId="0" xfId="25797" applyFont="1"/>
    <xf numFmtId="37" fontId="26" fillId="0" borderId="0" xfId="25797" applyFont="1"/>
    <xf numFmtId="10" fontId="32" fillId="0" borderId="0" xfId="25796" applyNumberFormat="1" applyFont="1"/>
    <xf numFmtId="0" fontId="32" fillId="0" borderId="0" xfId="25796" applyFont="1" applyFill="1" applyAlignment="1">
      <alignment horizontal="center"/>
    </xf>
    <xf numFmtId="10" fontId="18" fillId="95" borderId="92" xfId="25797" applyNumberFormat="1" applyFont="1" applyFill="1" applyBorder="1" applyAlignment="1" applyProtection="1">
      <alignment horizontal="left"/>
    </xf>
    <xf numFmtId="10" fontId="18" fillId="95" borderId="89" xfId="25797" applyNumberFormat="1" applyFont="1" applyFill="1" applyBorder="1" applyProtection="1"/>
    <xf numFmtId="10" fontId="18" fillId="95" borderId="109" xfId="25797" applyNumberFormat="1" applyFont="1" applyFill="1" applyBorder="1" applyProtection="1"/>
    <xf numFmtId="0" fontId="144" fillId="0" borderId="0" xfId="0" applyFont="1" applyAlignment="1"/>
    <xf numFmtId="202" fontId="18" fillId="0" borderId="0" xfId="25797" applyNumberFormat="1" applyFont="1" applyBorder="1"/>
    <xf numFmtId="0" fontId="124" fillId="0" borderId="49" xfId="0" applyFont="1" applyFill="1" applyBorder="1" applyAlignment="1">
      <alignment horizontal="center"/>
    </xf>
    <xf numFmtId="0" fontId="143" fillId="0" borderId="0" xfId="0" applyFont="1" applyAlignment="1">
      <alignment horizontal="center"/>
    </xf>
    <xf numFmtId="0" fontId="124" fillId="0" borderId="0" xfId="0" applyFont="1" applyAlignment="1">
      <alignment horizontal="left" vertical="top"/>
    </xf>
    <xf numFmtId="0" fontId="124" fillId="0" borderId="80" xfId="0" applyFont="1" applyBorder="1" applyAlignment="1">
      <alignment horizontal="center"/>
    </xf>
    <xf numFmtId="39" fontId="124" fillId="0" borderId="81" xfId="25747" applyNumberFormat="1" applyFont="1" applyBorder="1" applyAlignment="1"/>
    <xf numFmtId="4" fontId="124" fillId="0" borderId="56" xfId="0" applyNumberFormat="1" applyFont="1" applyBorder="1" applyAlignment="1"/>
    <xf numFmtId="203" fontId="124" fillId="0" borderId="56" xfId="0" applyNumberFormat="1" applyFont="1" applyBorder="1" applyAlignment="1"/>
    <xf numFmtId="4" fontId="124" fillId="0" borderId="81" xfId="0" applyNumberFormat="1" applyFont="1" applyBorder="1" applyAlignment="1"/>
    <xf numFmtId="0" fontId="124" fillId="0" borderId="11" xfId="0" applyFont="1" applyBorder="1" applyAlignment="1"/>
    <xf numFmtId="190" fontId="124" fillId="0" borderId="56" xfId="0" applyNumberFormat="1" applyFont="1" applyBorder="1" applyAlignment="1"/>
    <xf numFmtId="49" fontId="123" fillId="33" borderId="54" xfId="24690" applyNumberFormat="1" applyFont="1" applyFill="1" applyBorder="1" applyAlignment="1"/>
    <xf numFmtId="49" fontId="123" fillId="33" borderId="55" xfId="24690" applyNumberFormat="1" applyFont="1" applyFill="1" applyBorder="1" applyAlignment="1"/>
    <xf numFmtId="49" fontId="123" fillId="33" borderId="56" xfId="24690" applyNumberFormat="1" applyFont="1" applyFill="1" applyBorder="1" applyAlignment="1"/>
    <xf numFmtId="0" fontId="126" fillId="0" borderId="0" xfId="0" applyFont="1" applyAlignment="1">
      <alignment horizontal="center" vertical="center"/>
    </xf>
    <xf numFmtId="37" fontId="18" fillId="0" borderId="0" xfId="25797" applyFont="1" applyAlignment="1">
      <alignment horizontal="center"/>
    </xf>
    <xf numFmtId="37" fontId="60" fillId="0" borderId="0" xfId="25797" applyFont="1" applyAlignment="1">
      <alignment horizontal="center"/>
    </xf>
    <xf numFmtId="0" fontId="32" fillId="0" borderId="0" xfId="24690" applyFont="1" applyFill="1" applyBorder="1" applyAlignment="1">
      <alignment horizontal="center"/>
    </xf>
    <xf numFmtId="0" fontId="146" fillId="0" borderId="0" xfId="0" applyFont="1" applyAlignment="1">
      <alignment horizontal="left"/>
    </xf>
    <xf numFmtId="49" fontId="126" fillId="0" borderId="0" xfId="0" applyNumberFormat="1" applyFont="1" applyBorder="1" applyAlignment="1">
      <alignment horizontal="center" vertical="center"/>
    </xf>
    <xf numFmtId="0" fontId="123" fillId="33" borderId="0" xfId="1" applyFont="1" applyFill="1" applyBorder="1" applyAlignment="1">
      <alignment horizontal="center"/>
    </xf>
    <xf numFmtId="0" fontId="123" fillId="33" borderId="0" xfId="1" quotePrefix="1" applyFont="1" applyFill="1" applyBorder="1" applyAlignment="1">
      <alignment horizontal="center"/>
    </xf>
    <xf numFmtId="0" fontId="123" fillId="33" borderId="80" xfId="24690" applyFont="1" applyFill="1" applyBorder="1" applyAlignment="1">
      <alignment horizontal="center"/>
    </xf>
    <xf numFmtId="0" fontId="123" fillId="33" borderId="79" xfId="24690" applyFont="1" applyFill="1" applyBorder="1" applyAlignment="1">
      <alignment horizontal="center"/>
    </xf>
    <xf numFmtId="0" fontId="123" fillId="33" borderId="81" xfId="24690" applyFont="1" applyFill="1" applyBorder="1" applyAlignment="1">
      <alignment horizontal="center"/>
    </xf>
    <xf numFmtId="0" fontId="123" fillId="33" borderId="35" xfId="24690" applyFont="1" applyFill="1" applyBorder="1" applyAlignment="1">
      <alignment horizontal="center"/>
    </xf>
    <xf numFmtId="0" fontId="123" fillId="33" borderId="0" xfId="24690" applyFont="1" applyFill="1" applyBorder="1" applyAlignment="1">
      <alignment horizontal="center"/>
    </xf>
    <xf numFmtId="0" fontId="123" fillId="33" borderId="11" xfId="24690" applyFont="1" applyFill="1" applyBorder="1" applyAlignment="1">
      <alignment horizontal="center"/>
    </xf>
    <xf numFmtId="0" fontId="123" fillId="33" borderId="80" xfId="25276" applyFont="1" applyFill="1" applyBorder="1" applyAlignment="1">
      <alignment horizontal="center"/>
    </xf>
    <xf numFmtId="0" fontId="123" fillId="33" borderId="79" xfId="25276" applyFont="1" applyFill="1" applyBorder="1" applyAlignment="1">
      <alignment horizontal="center"/>
    </xf>
    <xf numFmtId="0" fontId="123" fillId="33" borderId="81" xfId="25276" applyFont="1" applyFill="1" applyBorder="1" applyAlignment="1">
      <alignment horizontal="center"/>
    </xf>
    <xf numFmtId="0" fontId="123" fillId="33" borderId="55" xfId="1" quotePrefix="1" applyFont="1" applyFill="1" applyBorder="1" applyAlignment="1">
      <alignment horizontal="center"/>
    </xf>
    <xf numFmtId="0" fontId="123" fillId="0" borderId="0" xfId="25455" quotePrefix="1" applyFont="1" applyFill="1" applyAlignment="1">
      <alignment horizontal="center"/>
    </xf>
    <xf numFmtId="0" fontId="123" fillId="0" borderId="0" xfId="24690" applyFont="1" applyFill="1" applyBorder="1" applyAlignment="1">
      <alignment horizontal="center"/>
    </xf>
    <xf numFmtId="0" fontId="123" fillId="33" borderId="10" xfId="24690" applyFont="1" applyFill="1" applyBorder="1" applyAlignment="1">
      <alignment horizontal="center"/>
    </xf>
    <xf numFmtId="0" fontId="123" fillId="33" borderId="72" xfId="24690" applyFont="1" applyFill="1" applyBorder="1" applyAlignment="1">
      <alignment horizontal="center"/>
    </xf>
    <xf numFmtId="0" fontId="123" fillId="33" borderId="71" xfId="24690" applyFont="1" applyFill="1" applyBorder="1" applyAlignment="1">
      <alignment horizontal="center"/>
    </xf>
    <xf numFmtId="49" fontId="123" fillId="33" borderId="54" xfId="24690" applyNumberFormat="1" applyFont="1" applyFill="1" applyBorder="1" applyAlignment="1">
      <alignment horizontal="center"/>
    </xf>
    <xf numFmtId="49" fontId="123" fillId="33" borderId="55" xfId="24690" applyNumberFormat="1" applyFont="1" applyFill="1" applyBorder="1" applyAlignment="1">
      <alignment horizontal="center"/>
    </xf>
    <xf numFmtId="49" fontId="123" fillId="33" borderId="56" xfId="24690" applyNumberFormat="1" applyFont="1" applyFill="1" applyBorder="1" applyAlignment="1">
      <alignment horizontal="center"/>
    </xf>
    <xf numFmtId="0" fontId="126" fillId="0" borderId="0" xfId="0" applyFont="1" applyAlignment="1">
      <alignment horizontal="center"/>
    </xf>
    <xf numFmtId="0" fontId="123" fillId="93" borderId="54" xfId="0" applyFont="1" applyFill="1" applyBorder="1" applyAlignment="1">
      <alignment horizontal="left"/>
    </xf>
    <xf numFmtId="0" fontId="123" fillId="93" borderId="56" xfId="0" applyFont="1" applyFill="1" applyBorder="1" applyAlignment="1">
      <alignment horizontal="left"/>
    </xf>
    <xf numFmtId="39" fontId="123" fillId="0" borderId="35" xfId="25745" applyFont="1" applyBorder="1" applyAlignment="1" applyProtection="1">
      <alignment horizontal="left" wrapText="1" indent="1"/>
    </xf>
    <xf numFmtId="39" fontId="123" fillId="0" borderId="11" xfId="25745" applyFont="1" applyBorder="1" applyAlignment="1" applyProtection="1">
      <alignment horizontal="left" wrapText="1" indent="1"/>
    </xf>
    <xf numFmtId="0" fontId="123" fillId="93" borderId="80" xfId="0" applyFont="1" applyFill="1" applyBorder="1" applyAlignment="1">
      <alignment horizontal="left" vertical="center"/>
    </xf>
    <xf numFmtId="0" fontId="123" fillId="93" borderId="81" xfId="0" applyFont="1" applyFill="1" applyBorder="1" applyAlignment="1">
      <alignment horizontal="left" vertical="center"/>
    </xf>
    <xf numFmtId="0" fontId="123" fillId="93" borderId="35" xfId="0" applyFont="1" applyFill="1" applyBorder="1" applyAlignment="1">
      <alignment horizontal="left" vertical="center"/>
    </xf>
    <xf numFmtId="0" fontId="123" fillId="93" borderId="11" xfId="0" applyFont="1" applyFill="1" applyBorder="1" applyAlignment="1">
      <alignment horizontal="left" vertical="center"/>
    </xf>
    <xf numFmtId="0" fontId="123" fillId="94" borderId="84" xfId="0" applyFont="1" applyFill="1" applyBorder="1" applyAlignment="1">
      <alignment horizontal="center"/>
    </xf>
    <xf numFmtId="0" fontId="123" fillId="94" borderId="53" xfId="0" applyFont="1" applyFill="1" applyBorder="1" applyAlignment="1">
      <alignment horizontal="center"/>
    </xf>
    <xf numFmtId="0" fontId="123" fillId="94" borderId="80" xfId="0" applyFont="1" applyFill="1" applyBorder="1" applyAlignment="1">
      <alignment horizontal="center"/>
    </xf>
    <xf numFmtId="0" fontId="123" fillId="94" borderId="79" xfId="0" applyFont="1" applyFill="1" applyBorder="1" applyAlignment="1">
      <alignment horizontal="center"/>
    </xf>
    <xf numFmtId="0" fontId="123" fillId="94" borderId="81" xfId="0" applyFont="1" applyFill="1" applyBorder="1" applyAlignment="1">
      <alignment horizontal="center"/>
    </xf>
    <xf numFmtId="0" fontId="131" fillId="0" borderId="79" xfId="0" applyFont="1" applyBorder="1" applyAlignment="1">
      <alignment horizontal="left"/>
    </xf>
    <xf numFmtId="0" fontId="131" fillId="0" borderId="53" xfId="0" applyFont="1" applyBorder="1" applyAlignment="1">
      <alignment horizontal="left"/>
    </xf>
    <xf numFmtId="0" fontId="124" fillId="33" borderId="0" xfId="0" applyFont="1" applyFill="1" applyBorder="1" applyAlignment="1">
      <alignment horizontal="right"/>
    </xf>
    <xf numFmtId="0" fontId="124" fillId="33" borderId="93" xfId="0" applyFont="1" applyFill="1" applyBorder="1" applyAlignment="1">
      <alignment horizontal="right"/>
    </xf>
    <xf numFmtId="0" fontId="142" fillId="0" borderId="96" xfId="0" applyFont="1" applyBorder="1" applyAlignment="1">
      <alignment horizontal="center" vertical="center" wrapText="1"/>
    </xf>
    <xf numFmtId="0" fontId="142" fillId="0" borderId="97" xfId="0" applyFont="1" applyBorder="1" applyAlignment="1">
      <alignment horizontal="center" vertical="center" wrapText="1"/>
    </xf>
    <xf numFmtId="0" fontId="142" fillId="0" borderId="98" xfId="0" applyFont="1" applyBorder="1" applyAlignment="1">
      <alignment horizontal="center" vertical="center" wrapText="1"/>
    </xf>
    <xf numFmtId="0" fontId="142" fillId="0" borderId="92" xfId="0" applyFont="1" applyBorder="1" applyAlignment="1">
      <alignment horizontal="center" vertical="center" wrapText="1"/>
    </xf>
    <xf numFmtId="0" fontId="142" fillId="0" borderId="0" xfId="0" applyFont="1" applyBorder="1" applyAlignment="1">
      <alignment horizontal="center" vertical="center" wrapText="1"/>
    </xf>
    <xf numFmtId="0" fontId="142" fillId="0" borderId="93" xfId="0" applyFont="1" applyBorder="1" applyAlignment="1">
      <alignment horizontal="center" vertical="center" wrapText="1"/>
    </xf>
    <xf numFmtId="0" fontId="142" fillId="0" borderId="99" xfId="0" applyFont="1" applyBorder="1" applyAlignment="1">
      <alignment horizontal="center" vertical="center" wrapText="1"/>
    </xf>
    <xf numFmtId="0" fontId="142" fillId="0" borderId="49" xfId="0" applyFont="1" applyBorder="1" applyAlignment="1">
      <alignment horizontal="center" vertical="center" wrapText="1"/>
    </xf>
    <xf numFmtId="0" fontId="142" fillId="0" borderId="100" xfId="0" applyFont="1" applyBorder="1" applyAlignment="1">
      <alignment horizontal="center" vertical="center" wrapText="1"/>
    </xf>
    <xf numFmtId="0" fontId="132" fillId="0" borderId="92" xfId="0" applyFont="1" applyBorder="1" applyAlignment="1">
      <alignment horizontal="left"/>
    </xf>
    <xf numFmtId="0" fontId="132" fillId="0" borderId="0" xfId="0" applyFont="1" applyBorder="1" applyAlignment="1">
      <alignment horizontal="left"/>
    </xf>
    <xf numFmtId="0" fontId="132" fillId="0" borderId="93" xfId="0" applyFont="1" applyBorder="1" applyAlignment="1">
      <alignment horizontal="left"/>
    </xf>
    <xf numFmtId="0" fontId="124" fillId="33" borderId="97" xfId="0" applyFont="1" applyFill="1" applyBorder="1" applyAlignment="1">
      <alignment horizontal="right"/>
    </xf>
    <xf numFmtId="0" fontId="124" fillId="33" borderId="98" xfId="0" applyFont="1" applyFill="1" applyBorder="1" applyAlignment="1">
      <alignment horizontal="right"/>
    </xf>
    <xf numFmtId="0" fontId="124" fillId="0" borderId="0" xfId="0" applyFont="1" applyAlignment="1">
      <alignment horizontal="center" wrapText="1"/>
    </xf>
    <xf numFmtId="49" fontId="123" fillId="0" borderId="0" xfId="25293" applyNumberFormat="1" applyFont="1" applyFill="1" applyBorder="1" applyAlignment="1">
      <alignment horizontal="center"/>
    </xf>
    <xf numFmtId="0" fontId="123" fillId="0" borderId="0" xfId="0" applyFont="1" applyAlignment="1">
      <alignment horizontal="center"/>
    </xf>
    <xf numFmtId="0" fontId="32" fillId="0" borderId="0" xfId="0" applyFont="1" applyAlignment="1">
      <alignment horizontal="center" wrapText="1"/>
    </xf>
    <xf numFmtId="0" fontId="32" fillId="0" borderId="89" xfId="0" applyFont="1" applyBorder="1" applyAlignment="1">
      <alignment horizontal="center" wrapText="1"/>
    </xf>
    <xf numFmtId="0" fontId="126" fillId="0" borderId="96" xfId="0" applyFont="1" applyBorder="1" applyAlignment="1">
      <alignment vertical="center"/>
    </xf>
    <xf numFmtId="0" fontId="126" fillId="0" borderId="97" xfId="0" applyFont="1" applyBorder="1" applyAlignment="1">
      <alignment vertical="center"/>
    </xf>
    <xf numFmtId="0" fontId="126" fillId="0" borderId="98" xfId="0" applyFont="1" applyBorder="1" applyAlignment="1">
      <alignment vertical="center"/>
    </xf>
    <xf numFmtId="0" fontId="126" fillId="0" borderId="92" xfId="0" applyFont="1" applyBorder="1" applyAlignment="1">
      <alignment vertical="center"/>
    </xf>
    <xf numFmtId="0" fontId="126" fillId="0" borderId="0" xfId="0" applyFont="1" applyBorder="1" applyAlignment="1">
      <alignment vertical="center"/>
    </xf>
    <xf numFmtId="0" fontId="126" fillId="0" borderId="93" xfId="0" applyFont="1" applyBorder="1" applyAlignment="1">
      <alignment vertical="center"/>
    </xf>
    <xf numFmtId="0" fontId="126" fillId="0" borderId="99" xfId="0" applyFont="1" applyBorder="1" applyAlignment="1">
      <alignment vertical="center"/>
    </xf>
    <xf numFmtId="0" fontId="126" fillId="0" borderId="49" xfId="0" applyFont="1" applyBorder="1" applyAlignment="1">
      <alignment vertical="center"/>
    </xf>
    <xf numFmtId="0" fontId="126" fillId="0" borderId="100" xfId="0" applyFont="1" applyBorder="1" applyAlignment="1">
      <alignment vertical="center"/>
    </xf>
    <xf numFmtId="0" fontId="124" fillId="0" borderId="0" xfId="0" applyFont="1" applyAlignment="1">
      <alignment vertical="center" wrapText="1"/>
    </xf>
    <xf numFmtId="0" fontId="145" fillId="0" borderId="0" xfId="24690" applyFont="1" applyFill="1" applyBorder="1" applyAlignment="1">
      <alignment horizontal="center"/>
    </xf>
  </cellXfs>
  <cellStyles count="25798">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Thin" xfId="545" xr:uid="{00000000-0005-0000-0000-0000634B0000}"/>
    <cellStyle name="Border Thin 2" xfId="24055" xr:uid="{00000000-0005-0000-0000-0000644B0000}"/>
    <cellStyle name="Calculation 10" xfId="2441" xr:uid="{00000000-0005-0000-0000-0000654B0000}"/>
    <cellStyle name="Calculation 11" xfId="2442" xr:uid="{00000000-0005-0000-0000-0000664B0000}"/>
    <cellStyle name="Calculation 12" xfId="2443" xr:uid="{00000000-0005-0000-0000-0000674B0000}"/>
    <cellStyle name="Calculation 13" xfId="2444" xr:uid="{00000000-0005-0000-0000-0000684B0000}"/>
    <cellStyle name="Calculation 14" xfId="2445" xr:uid="{00000000-0005-0000-0000-0000694B0000}"/>
    <cellStyle name="Calculation 15" xfId="2446" xr:uid="{00000000-0005-0000-0000-00006A4B0000}"/>
    <cellStyle name="Calculation 16" xfId="2447" xr:uid="{00000000-0005-0000-0000-00006B4B0000}"/>
    <cellStyle name="Calculation 17" xfId="2448" xr:uid="{00000000-0005-0000-0000-00006C4B0000}"/>
    <cellStyle name="Calculation 18" xfId="2449" xr:uid="{00000000-0005-0000-0000-00006D4B0000}"/>
    <cellStyle name="Calculation 19" xfId="2450" xr:uid="{00000000-0005-0000-0000-00006E4B0000}"/>
    <cellStyle name="Calculation 2" xfId="2451" xr:uid="{00000000-0005-0000-0000-00006F4B0000}"/>
    <cellStyle name="Calculation 2 2" xfId="24057" xr:uid="{00000000-0005-0000-0000-0000704B0000}"/>
    <cellStyle name="Calculation 2 2 2" xfId="24699" xr:uid="{00000000-0005-0000-0000-0000714B0000}"/>
    <cellStyle name="Calculation 2 2 2 2" xfId="25298" xr:uid="{00000000-0005-0000-0000-0000724B0000}"/>
    <cellStyle name="Calculation 2 2 2 3" xfId="25658" xr:uid="{00000000-0005-0000-0000-0000734B0000}"/>
    <cellStyle name="Calculation 2 2 3" xfId="25022" xr:uid="{00000000-0005-0000-0000-0000744B0000}"/>
    <cellStyle name="Calculation 2 2 3 2" xfId="25431" xr:uid="{00000000-0005-0000-0000-0000754B0000}"/>
    <cellStyle name="Calculation 2 2 3 3" xfId="25669" xr:uid="{00000000-0005-0000-0000-0000764B0000}"/>
    <cellStyle name="Calculation 2 2 4" xfId="25556" xr:uid="{00000000-0005-0000-0000-0000774B0000}"/>
    <cellStyle name="Calculation 2 3" xfId="24056" xr:uid="{00000000-0005-0000-0000-0000784B0000}"/>
    <cellStyle name="Calculation 2 3 2" xfId="25555" xr:uid="{00000000-0005-0000-0000-0000794B0000}"/>
    <cellStyle name="Calculation 2 4" xfId="24698" xr:uid="{00000000-0005-0000-0000-00007A4B0000}"/>
    <cellStyle name="Calculation 2 4 2" xfId="25361" xr:uid="{00000000-0005-0000-0000-00007B4B0000}"/>
    <cellStyle name="Calculation 2 4 3" xfId="25657" xr:uid="{00000000-0005-0000-0000-00007C4B0000}"/>
    <cellStyle name="Calculation 2 5" xfId="25021" xr:uid="{00000000-0005-0000-0000-00007D4B0000}"/>
    <cellStyle name="Calculation 2 5 2" xfId="25330" xr:uid="{00000000-0005-0000-0000-00007E4B0000}"/>
    <cellStyle name="Calculation 2 5 3" xfId="25668" xr:uid="{00000000-0005-0000-0000-00007F4B0000}"/>
    <cellStyle name="Calculation 20" xfId="2452" xr:uid="{00000000-0005-0000-0000-0000804B0000}"/>
    <cellStyle name="Calculation 21" xfId="2453" xr:uid="{00000000-0005-0000-0000-0000814B0000}"/>
    <cellStyle name="Calculation 22" xfId="2454" xr:uid="{00000000-0005-0000-0000-0000824B0000}"/>
    <cellStyle name="Calculation 23" xfId="2455" xr:uid="{00000000-0005-0000-0000-0000834B0000}"/>
    <cellStyle name="Calculation 24" xfId="2456" xr:uid="{00000000-0005-0000-0000-0000844B0000}"/>
    <cellStyle name="Calculation 25" xfId="2457" xr:uid="{00000000-0005-0000-0000-0000854B0000}"/>
    <cellStyle name="Calculation 26" xfId="2458" xr:uid="{00000000-0005-0000-0000-0000864B0000}"/>
    <cellStyle name="Calculation 27" xfId="2459" xr:uid="{00000000-0005-0000-0000-0000874B0000}"/>
    <cellStyle name="Calculation 28" xfId="2460" xr:uid="{00000000-0005-0000-0000-0000884B0000}"/>
    <cellStyle name="Calculation 29" xfId="2461" xr:uid="{00000000-0005-0000-0000-0000894B0000}"/>
    <cellStyle name="Calculation 3" xfId="2462" xr:uid="{00000000-0005-0000-0000-00008A4B0000}"/>
    <cellStyle name="Calculation 3 2" xfId="24058" xr:uid="{00000000-0005-0000-0000-00008B4B0000}"/>
    <cellStyle name="Calculation 3 2 2" xfId="25557" xr:uid="{00000000-0005-0000-0000-00008C4B0000}"/>
    <cellStyle name="Calculation 3 3" xfId="24700" xr:uid="{00000000-0005-0000-0000-00008D4B0000}"/>
    <cellStyle name="Calculation 3 3 2" xfId="25287" xr:uid="{00000000-0005-0000-0000-00008E4B0000}"/>
    <cellStyle name="Calculation 3 3 3" xfId="25659" xr:uid="{00000000-0005-0000-0000-00008F4B0000}"/>
    <cellStyle name="Calculation 3 4" xfId="25023" xr:uid="{00000000-0005-0000-0000-0000904B0000}"/>
    <cellStyle name="Calculation 3 4 2" xfId="25347" xr:uid="{00000000-0005-0000-0000-0000914B0000}"/>
    <cellStyle name="Calculation 3 4 3" xfId="25670" xr:uid="{00000000-0005-0000-0000-0000924B0000}"/>
    <cellStyle name="Calculation 30" xfId="2463" xr:uid="{00000000-0005-0000-0000-0000934B0000}"/>
    <cellStyle name="Calculation 31" xfId="2464" xr:uid="{00000000-0005-0000-0000-0000944B0000}"/>
    <cellStyle name="Calculation 32" xfId="2465" xr:uid="{00000000-0005-0000-0000-0000954B0000}"/>
    <cellStyle name="Calculation 33" xfId="2466" xr:uid="{00000000-0005-0000-0000-0000964B0000}"/>
    <cellStyle name="Calculation 34" xfId="2467" xr:uid="{00000000-0005-0000-0000-0000974B0000}"/>
    <cellStyle name="Calculation 35" xfId="2468" xr:uid="{00000000-0005-0000-0000-0000984B0000}"/>
    <cellStyle name="Calculation 36" xfId="2469" xr:uid="{00000000-0005-0000-0000-0000994B0000}"/>
    <cellStyle name="Calculation 37" xfId="2470" xr:uid="{00000000-0005-0000-0000-00009A4B0000}"/>
    <cellStyle name="Calculation 38" xfId="2471" xr:uid="{00000000-0005-0000-0000-00009B4B0000}"/>
    <cellStyle name="Calculation 39" xfId="2472" xr:uid="{00000000-0005-0000-0000-00009C4B0000}"/>
    <cellStyle name="Calculation 4" xfId="2473" xr:uid="{00000000-0005-0000-0000-00009D4B0000}"/>
    <cellStyle name="Calculation 4 2" xfId="24059" xr:uid="{00000000-0005-0000-0000-00009E4B0000}"/>
    <cellStyle name="Calculation 4 2 2" xfId="25558" xr:uid="{00000000-0005-0000-0000-00009F4B0000}"/>
    <cellStyle name="Calculation 4 3" xfId="24701" xr:uid="{00000000-0005-0000-0000-0000A04B0000}"/>
    <cellStyle name="Calculation 4 3 2" xfId="25369" xr:uid="{00000000-0005-0000-0000-0000A14B0000}"/>
    <cellStyle name="Calculation 4 3 3" xfId="25660" xr:uid="{00000000-0005-0000-0000-0000A24B0000}"/>
    <cellStyle name="Calculation 4 4" xfId="25024" xr:uid="{00000000-0005-0000-0000-0000A34B0000}"/>
    <cellStyle name="Calculation 4 4 2" xfId="25448" xr:uid="{00000000-0005-0000-0000-0000A44B0000}"/>
    <cellStyle name="Calculation 4 4 3" xfId="25671" xr:uid="{00000000-0005-0000-0000-0000A54B0000}"/>
    <cellStyle name="Calculation 40" xfId="2474" xr:uid="{00000000-0005-0000-0000-0000A64B0000}"/>
    <cellStyle name="Calculation 41" xfId="2475" xr:uid="{00000000-0005-0000-0000-0000A74B0000}"/>
    <cellStyle name="Calculation 42" xfId="2476" xr:uid="{00000000-0005-0000-0000-0000A84B0000}"/>
    <cellStyle name="Calculation 43" xfId="2477" xr:uid="{00000000-0005-0000-0000-0000A94B0000}"/>
    <cellStyle name="Calculation 44" xfId="2478" xr:uid="{00000000-0005-0000-0000-0000AA4B0000}"/>
    <cellStyle name="Calculation 45" xfId="2479" xr:uid="{00000000-0005-0000-0000-0000AB4B0000}"/>
    <cellStyle name="Calculation 46" xfId="2480" xr:uid="{00000000-0005-0000-0000-0000AC4B0000}"/>
    <cellStyle name="Calculation 47" xfId="2481" xr:uid="{00000000-0005-0000-0000-0000AD4B0000}"/>
    <cellStyle name="Calculation 48" xfId="2482" xr:uid="{00000000-0005-0000-0000-0000AE4B0000}"/>
    <cellStyle name="Calculation 49" xfId="2483" xr:uid="{00000000-0005-0000-0000-0000AF4B0000}"/>
    <cellStyle name="Calculation 5" xfId="2484" xr:uid="{00000000-0005-0000-0000-0000B04B0000}"/>
    <cellStyle name="Calculation 50" xfId="2485" xr:uid="{00000000-0005-0000-0000-0000B14B0000}"/>
    <cellStyle name="Calculation 51" xfId="2486" xr:uid="{00000000-0005-0000-0000-0000B24B0000}"/>
    <cellStyle name="Calculation 52" xfId="2487" xr:uid="{00000000-0005-0000-0000-0000B34B0000}"/>
    <cellStyle name="Calculation 53" xfId="2488" xr:uid="{00000000-0005-0000-0000-0000B44B0000}"/>
    <cellStyle name="Calculation 54" xfId="2489" xr:uid="{00000000-0005-0000-0000-0000B54B0000}"/>
    <cellStyle name="Calculation 55" xfId="2490" xr:uid="{00000000-0005-0000-0000-0000B64B0000}"/>
    <cellStyle name="Calculation 56" xfId="2491" xr:uid="{00000000-0005-0000-0000-0000B74B0000}"/>
    <cellStyle name="Calculation 57" xfId="2492" xr:uid="{00000000-0005-0000-0000-0000B84B0000}"/>
    <cellStyle name="Calculation 58" xfId="2493" xr:uid="{00000000-0005-0000-0000-0000B94B0000}"/>
    <cellStyle name="Calculation 59" xfId="2494" xr:uid="{00000000-0005-0000-0000-0000BA4B0000}"/>
    <cellStyle name="Calculation 6" xfId="2495" xr:uid="{00000000-0005-0000-0000-0000BB4B0000}"/>
    <cellStyle name="Calculation 60" xfId="2496" xr:uid="{00000000-0005-0000-0000-0000BC4B0000}"/>
    <cellStyle name="Calculation 61" xfId="2497" xr:uid="{00000000-0005-0000-0000-0000BD4B0000}"/>
    <cellStyle name="Calculation 62" xfId="2498" xr:uid="{00000000-0005-0000-0000-0000BE4B0000}"/>
    <cellStyle name="Calculation 63" xfId="2499" xr:uid="{00000000-0005-0000-0000-0000BF4B0000}"/>
    <cellStyle name="Calculation 64" xfId="2500" xr:uid="{00000000-0005-0000-0000-0000C04B0000}"/>
    <cellStyle name="Calculation 65" xfId="2501" xr:uid="{00000000-0005-0000-0000-0000C14B0000}"/>
    <cellStyle name="Calculation 66" xfId="2502" xr:uid="{00000000-0005-0000-0000-0000C24B0000}"/>
    <cellStyle name="Calculation 67" xfId="2503" xr:uid="{00000000-0005-0000-0000-0000C34B0000}"/>
    <cellStyle name="Calculation 68" xfId="2504" xr:uid="{00000000-0005-0000-0000-0000C44B0000}"/>
    <cellStyle name="Calculation 69" xfId="2505" xr:uid="{00000000-0005-0000-0000-0000C54B0000}"/>
    <cellStyle name="Calculation 7" xfId="2506" xr:uid="{00000000-0005-0000-0000-0000C64B0000}"/>
    <cellStyle name="Calculation 70" xfId="2507" xr:uid="{00000000-0005-0000-0000-0000C74B0000}"/>
    <cellStyle name="Calculation 71" xfId="2508" xr:uid="{00000000-0005-0000-0000-0000C84B0000}"/>
    <cellStyle name="Calculation 72" xfId="2509" xr:uid="{00000000-0005-0000-0000-0000C94B0000}"/>
    <cellStyle name="Calculation 8" xfId="2510" xr:uid="{00000000-0005-0000-0000-0000CA4B0000}"/>
    <cellStyle name="Calculation 9" xfId="2511" xr:uid="{00000000-0005-0000-0000-0000CB4B0000}"/>
    <cellStyle name="Check Cell 10" xfId="2512" xr:uid="{00000000-0005-0000-0000-0000CC4B0000}"/>
    <cellStyle name="Check Cell 11" xfId="2513" xr:uid="{00000000-0005-0000-0000-0000CD4B0000}"/>
    <cellStyle name="Check Cell 12" xfId="2514" xr:uid="{00000000-0005-0000-0000-0000CE4B0000}"/>
    <cellStyle name="Check Cell 13" xfId="2515" xr:uid="{00000000-0005-0000-0000-0000CF4B0000}"/>
    <cellStyle name="Check Cell 14" xfId="2516" xr:uid="{00000000-0005-0000-0000-0000D04B0000}"/>
    <cellStyle name="Check Cell 15" xfId="2517" xr:uid="{00000000-0005-0000-0000-0000D14B0000}"/>
    <cellStyle name="Check Cell 16" xfId="2518" xr:uid="{00000000-0005-0000-0000-0000D24B0000}"/>
    <cellStyle name="Check Cell 17" xfId="2519" xr:uid="{00000000-0005-0000-0000-0000D34B0000}"/>
    <cellStyle name="Check Cell 18" xfId="2520" xr:uid="{00000000-0005-0000-0000-0000D44B0000}"/>
    <cellStyle name="Check Cell 19" xfId="2521" xr:uid="{00000000-0005-0000-0000-0000D54B0000}"/>
    <cellStyle name="Check Cell 2" xfId="2522" xr:uid="{00000000-0005-0000-0000-0000D64B0000}"/>
    <cellStyle name="Check Cell 2 2" xfId="24061" xr:uid="{00000000-0005-0000-0000-0000D74B0000}"/>
    <cellStyle name="Check Cell 2 3" xfId="24060" xr:uid="{00000000-0005-0000-0000-0000D84B0000}"/>
    <cellStyle name="Check Cell 20" xfId="2523" xr:uid="{00000000-0005-0000-0000-0000D94B0000}"/>
    <cellStyle name="Check Cell 21" xfId="2524" xr:uid="{00000000-0005-0000-0000-0000DA4B0000}"/>
    <cellStyle name="Check Cell 22" xfId="2525" xr:uid="{00000000-0005-0000-0000-0000DB4B0000}"/>
    <cellStyle name="Check Cell 23" xfId="2526" xr:uid="{00000000-0005-0000-0000-0000DC4B0000}"/>
    <cellStyle name="Check Cell 24" xfId="2527" xr:uid="{00000000-0005-0000-0000-0000DD4B0000}"/>
    <cellStyle name="Check Cell 25" xfId="2528" xr:uid="{00000000-0005-0000-0000-0000DE4B0000}"/>
    <cellStyle name="Check Cell 26" xfId="2529" xr:uid="{00000000-0005-0000-0000-0000DF4B0000}"/>
    <cellStyle name="Check Cell 27" xfId="2530" xr:uid="{00000000-0005-0000-0000-0000E04B0000}"/>
    <cellStyle name="Check Cell 28" xfId="2531" xr:uid="{00000000-0005-0000-0000-0000E14B0000}"/>
    <cellStyle name="Check Cell 29" xfId="2532" xr:uid="{00000000-0005-0000-0000-0000E24B0000}"/>
    <cellStyle name="Check Cell 3" xfId="2533" xr:uid="{00000000-0005-0000-0000-0000E34B0000}"/>
    <cellStyle name="Check Cell 3 2" xfId="24062" xr:uid="{00000000-0005-0000-0000-0000E44B0000}"/>
    <cellStyle name="Check Cell 30" xfId="2534" xr:uid="{00000000-0005-0000-0000-0000E54B0000}"/>
    <cellStyle name="Check Cell 31" xfId="2535" xr:uid="{00000000-0005-0000-0000-0000E64B0000}"/>
    <cellStyle name="Check Cell 32" xfId="2536" xr:uid="{00000000-0005-0000-0000-0000E74B0000}"/>
    <cellStyle name="Check Cell 33" xfId="2537" xr:uid="{00000000-0005-0000-0000-0000E84B0000}"/>
    <cellStyle name="Check Cell 34" xfId="2538" xr:uid="{00000000-0005-0000-0000-0000E94B0000}"/>
    <cellStyle name="Check Cell 35" xfId="2539" xr:uid="{00000000-0005-0000-0000-0000EA4B0000}"/>
    <cellStyle name="Check Cell 36" xfId="2540" xr:uid="{00000000-0005-0000-0000-0000EB4B0000}"/>
    <cellStyle name="Check Cell 37" xfId="2541" xr:uid="{00000000-0005-0000-0000-0000EC4B0000}"/>
    <cellStyle name="Check Cell 38" xfId="2542" xr:uid="{00000000-0005-0000-0000-0000ED4B0000}"/>
    <cellStyle name="Check Cell 39" xfId="2543" xr:uid="{00000000-0005-0000-0000-0000EE4B0000}"/>
    <cellStyle name="Check Cell 4" xfId="2544" xr:uid="{00000000-0005-0000-0000-0000EF4B0000}"/>
    <cellStyle name="Check Cell 4 2" xfId="24063" xr:uid="{00000000-0005-0000-0000-0000F04B0000}"/>
    <cellStyle name="Check Cell 40" xfId="2545" xr:uid="{00000000-0005-0000-0000-0000F14B0000}"/>
    <cellStyle name="Check Cell 41" xfId="2546" xr:uid="{00000000-0005-0000-0000-0000F24B0000}"/>
    <cellStyle name="Check Cell 42" xfId="2547" xr:uid="{00000000-0005-0000-0000-0000F34B0000}"/>
    <cellStyle name="Check Cell 43" xfId="2548" xr:uid="{00000000-0005-0000-0000-0000F44B0000}"/>
    <cellStyle name="Check Cell 44" xfId="2549" xr:uid="{00000000-0005-0000-0000-0000F54B0000}"/>
    <cellStyle name="Check Cell 45" xfId="2550" xr:uid="{00000000-0005-0000-0000-0000F64B0000}"/>
    <cellStyle name="Check Cell 46" xfId="2551" xr:uid="{00000000-0005-0000-0000-0000F74B0000}"/>
    <cellStyle name="Check Cell 47" xfId="2552" xr:uid="{00000000-0005-0000-0000-0000F84B0000}"/>
    <cellStyle name="Check Cell 48" xfId="2553" xr:uid="{00000000-0005-0000-0000-0000F94B0000}"/>
    <cellStyle name="Check Cell 49" xfId="2554" xr:uid="{00000000-0005-0000-0000-0000FA4B0000}"/>
    <cellStyle name="Check Cell 5" xfId="2555" xr:uid="{00000000-0005-0000-0000-0000FB4B0000}"/>
    <cellStyle name="Check Cell 50" xfId="2556" xr:uid="{00000000-0005-0000-0000-0000FC4B0000}"/>
    <cellStyle name="Check Cell 51" xfId="2557" xr:uid="{00000000-0005-0000-0000-0000FD4B0000}"/>
    <cellStyle name="Check Cell 52" xfId="2558" xr:uid="{00000000-0005-0000-0000-0000FE4B0000}"/>
    <cellStyle name="Check Cell 53" xfId="2559" xr:uid="{00000000-0005-0000-0000-0000FF4B0000}"/>
    <cellStyle name="Check Cell 54" xfId="2560" xr:uid="{00000000-0005-0000-0000-0000004C0000}"/>
    <cellStyle name="Check Cell 55" xfId="2561" xr:uid="{00000000-0005-0000-0000-0000014C0000}"/>
    <cellStyle name="Check Cell 56" xfId="2562" xr:uid="{00000000-0005-0000-0000-0000024C0000}"/>
    <cellStyle name="Check Cell 57" xfId="2563" xr:uid="{00000000-0005-0000-0000-0000034C0000}"/>
    <cellStyle name="Check Cell 58" xfId="2564" xr:uid="{00000000-0005-0000-0000-0000044C0000}"/>
    <cellStyle name="Check Cell 59" xfId="2565" xr:uid="{00000000-0005-0000-0000-0000054C0000}"/>
    <cellStyle name="Check Cell 6" xfId="2566" xr:uid="{00000000-0005-0000-0000-0000064C0000}"/>
    <cellStyle name="Check Cell 60" xfId="2567" xr:uid="{00000000-0005-0000-0000-0000074C0000}"/>
    <cellStyle name="Check Cell 61" xfId="2568" xr:uid="{00000000-0005-0000-0000-0000084C0000}"/>
    <cellStyle name="Check Cell 62" xfId="2569" xr:uid="{00000000-0005-0000-0000-0000094C0000}"/>
    <cellStyle name="Check Cell 63" xfId="2570" xr:uid="{00000000-0005-0000-0000-00000A4C0000}"/>
    <cellStyle name="Check Cell 64" xfId="2571" xr:uid="{00000000-0005-0000-0000-00000B4C0000}"/>
    <cellStyle name="Check Cell 65" xfId="2572" xr:uid="{00000000-0005-0000-0000-00000C4C0000}"/>
    <cellStyle name="Check Cell 66" xfId="2573" xr:uid="{00000000-0005-0000-0000-00000D4C0000}"/>
    <cellStyle name="Check Cell 67" xfId="2574" xr:uid="{00000000-0005-0000-0000-00000E4C0000}"/>
    <cellStyle name="Check Cell 68" xfId="2575" xr:uid="{00000000-0005-0000-0000-00000F4C0000}"/>
    <cellStyle name="Check Cell 69" xfId="2576" xr:uid="{00000000-0005-0000-0000-0000104C0000}"/>
    <cellStyle name="Check Cell 7" xfId="2577" xr:uid="{00000000-0005-0000-0000-0000114C0000}"/>
    <cellStyle name="Check Cell 70" xfId="2578" xr:uid="{00000000-0005-0000-0000-0000124C0000}"/>
    <cellStyle name="Check Cell 71" xfId="2579" xr:uid="{00000000-0005-0000-0000-0000134C0000}"/>
    <cellStyle name="Check Cell 72" xfId="2580" xr:uid="{00000000-0005-0000-0000-0000144C0000}"/>
    <cellStyle name="Check Cell 8" xfId="2581" xr:uid="{00000000-0005-0000-0000-0000154C0000}"/>
    <cellStyle name="Check Cell 9" xfId="2582" xr:uid="{00000000-0005-0000-0000-0000164C0000}"/>
    <cellStyle name="Co. Names" xfId="546" xr:uid="{00000000-0005-0000-0000-0000174C0000}"/>
    <cellStyle name="Co. Names 2" xfId="24064" xr:uid="{00000000-0005-0000-0000-0000184C0000}"/>
    <cellStyle name="Column total in dollars" xfId="11" xr:uid="{00000000-0005-0000-0000-0000194C0000}"/>
    <cellStyle name="ColumnAttributeAbovePrompt" xfId="2583" xr:uid="{00000000-0005-0000-0000-00001A4C0000}"/>
    <cellStyle name="ColumnAttributePrompt" xfId="2584" xr:uid="{00000000-0005-0000-0000-00001B4C0000}"/>
    <cellStyle name="ColumnAttributeValue" xfId="2585" xr:uid="{00000000-0005-0000-0000-00001C4C0000}"/>
    <cellStyle name="ColumnHeadingPrompt" xfId="2586" xr:uid="{00000000-0005-0000-0000-00001D4C0000}"/>
    <cellStyle name="ColumnHeadingValue" xfId="2587" xr:uid="{00000000-0005-0000-0000-00001E4C0000}"/>
    <cellStyle name="Comma" xfId="25744" builtinId="3"/>
    <cellStyle name="Comma  - Style1" xfId="12" xr:uid="{00000000-0005-0000-0000-0000204C0000}"/>
    <cellStyle name="Comma  - Style2" xfId="13" xr:uid="{00000000-0005-0000-0000-0000214C0000}"/>
    <cellStyle name="Comma  - Style3" xfId="14" xr:uid="{00000000-0005-0000-0000-0000224C0000}"/>
    <cellStyle name="Comma  - Style4" xfId="15" xr:uid="{00000000-0005-0000-0000-0000234C0000}"/>
    <cellStyle name="Comma  - Style5" xfId="16" xr:uid="{00000000-0005-0000-0000-0000244C0000}"/>
    <cellStyle name="Comma  - Style6" xfId="17" xr:uid="{00000000-0005-0000-0000-0000254C0000}"/>
    <cellStyle name="Comma  - Style7" xfId="18" xr:uid="{00000000-0005-0000-0000-0000264C0000}"/>
    <cellStyle name="Comma  - Style8" xfId="19" xr:uid="{00000000-0005-0000-0000-0000274C0000}"/>
    <cellStyle name="Comma (0)" xfId="20" xr:uid="{00000000-0005-0000-0000-0000284C0000}"/>
    <cellStyle name="Comma [0] 2" xfId="176" xr:uid="{00000000-0005-0000-0000-0000294C0000}"/>
    <cellStyle name="Comma [0] 3" xfId="177" xr:uid="{00000000-0005-0000-0000-00002A4C0000}"/>
    <cellStyle name="Comma [0] 3 2" xfId="363" xr:uid="{00000000-0005-0000-0000-00002B4C0000}"/>
    <cellStyle name="Comma [0] 3 2 2" xfId="445" xr:uid="{00000000-0005-0000-0000-00002C4C0000}"/>
    <cellStyle name="Comma [0] 3 2 2 2" xfId="531" xr:uid="{00000000-0005-0000-0000-00002D4C0000}"/>
    <cellStyle name="Comma [0] 3 2 2 2 2" xfId="13894" xr:uid="{00000000-0005-0000-0000-00002E4C0000}"/>
    <cellStyle name="Comma [0] 3 2 2 3" xfId="13817" xr:uid="{00000000-0005-0000-0000-00002F4C0000}"/>
    <cellStyle name="Comma [0] 3 2 3" xfId="494" xr:uid="{00000000-0005-0000-0000-0000304C0000}"/>
    <cellStyle name="Comma [0] 3 2 3 2" xfId="13857" xr:uid="{00000000-0005-0000-0000-0000314C0000}"/>
    <cellStyle name="Comma [0] 3 2 4" xfId="13773" xr:uid="{00000000-0005-0000-0000-0000324C0000}"/>
    <cellStyle name="Comma [0] 3 3" xfId="425" xr:uid="{00000000-0005-0000-0000-0000334C0000}"/>
    <cellStyle name="Comma [0] 3 3 2" xfId="516" xr:uid="{00000000-0005-0000-0000-0000344C0000}"/>
    <cellStyle name="Comma [0] 3 3 2 2" xfId="13879" xr:uid="{00000000-0005-0000-0000-0000354C0000}"/>
    <cellStyle name="Comma [0] 3 3 3" xfId="13802" xr:uid="{00000000-0005-0000-0000-0000364C0000}"/>
    <cellStyle name="Comma [0] 3 4" xfId="479" xr:uid="{00000000-0005-0000-0000-0000374C0000}"/>
    <cellStyle name="Comma [0] 3 4 2" xfId="13842" xr:uid="{00000000-0005-0000-0000-0000384C0000}"/>
    <cellStyle name="Comma [0] 3 5" xfId="13687" xr:uid="{00000000-0005-0000-0000-0000394C0000}"/>
    <cellStyle name="Comma [1]" xfId="547" xr:uid="{00000000-0005-0000-0000-00003A4C0000}"/>
    <cellStyle name="Comma [1] 2" xfId="24066" xr:uid="{00000000-0005-0000-0000-00003B4C0000}"/>
    <cellStyle name="Comma [2]" xfId="548" xr:uid="{00000000-0005-0000-0000-00003C4C0000}"/>
    <cellStyle name="Comma [3]" xfId="549" xr:uid="{00000000-0005-0000-0000-00003D4C0000}"/>
    <cellStyle name="Comma 10" xfId="172" xr:uid="{00000000-0005-0000-0000-00003E4C0000}"/>
    <cellStyle name="Comma 10 10" xfId="25746" xr:uid="{00000000-0005-0000-0000-00003F4C0000}"/>
    <cellStyle name="Comma 10 2" xfId="281" xr:uid="{00000000-0005-0000-0000-0000404C0000}"/>
    <cellStyle name="Comma 10 3" xfId="633" xr:uid="{00000000-0005-0000-0000-0000414C0000}"/>
    <cellStyle name="Comma 10 3 2" xfId="13905" xr:uid="{00000000-0005-0000-0000-0000424C0000}"/>
    <cellStyle name="Comma 11" xfId="178" xr:uid="{00000000-0005-0000-0000-0000434C0000}"/>
    <cellStyle name="Comma 11 2" xfId="634" xr:uid="{00000000-0005-0000-0000-0000444C0000}"/>
    <cellStyle name="Comma 11 3" xfId="23929" xr:uid="{00000000-0005-0000-0000-0000454C0000}"/>
    <cellStyle name="Comma 12" xfId="179" xr:uid="{00000000-0005-0000-0000-0000464C0000}"/>
    <cellStyle name="Comma 13" xfId="180" xr:uid="{00000000-0005-0000-0000-0000474C0000}"/>
    <cellStyle name="Comma 14" xfId="175" xr:uid="{00000000-0005-0000-0000-0000484C0000}"/>
    <cellStyle name="Comma 15" xfId="181" xr:uid="{00000000-0005-0000-0000-0000494C0000}"/>
    <cellStyle name="Comma 16" xfId="173" xr:uid="{00000000-0005-0000-0000-00004A4C0000}"/>
    <cellStyle name="Comma 17" xfId="182" xr:uid="{00000000-0005-0000-0000-00004B4C0000}"/>
    <cellStyle name="Comma 18" xfId="174" xr:uid="{00000000-0005-0000-0000-00004C4C0000}"/>
    <cellStyle name="Comma 19" xfId="283" xr:uid="{00000000-0005-0000-0000-00004D4C0000}"/>
    <cellStyle name="Comma 2" xfId="5" xr:uid="{00000000-0005-0000-0000-00004E4C0000}"/>
    <cellStyle name="Comma 2 10" xfId="25768" xr:uid="{00000000-0005-0000-0000-00004F4C0000}"/>
    <cellStyle name="Comma 2 2" xfId="21" xr:uid="{00000000-0005-0000-0000-0000504C0000}"/>
    <cellStyle name="Comma 2 2 2" xfId="398" xr:uid="{00000000-0005-0000-0000-0000514C0000}"/>
    <cellStyle name="Comma 2 2 2 2" xfId="637" xr:uid="{00000000-0005-0000-0000-0000524C0000}"/>
    <cellStyle name="Comma 2 2 2 3" xfId="636" xr:uid="{00000000-0005-0000-0000-0000534C0000}"/>
    <cellStyle name="Comma 2 2 2 4" xfId="25782" xr:uid="{00000000-0005-0000-0000-0000544C0000}"/>
    <cellStyle name="Comma 2 2 3" xfId="374" xr:uid="{00000000-0005-0000-0000-0000554C0000}"/>
    <cellStyle name="Comma 2 2 3 2" xfId="638" xr:uid="{00000000-0005-0000-0000-0000564C0000}"/>
    <cellStyle name="Comma 2 2 4" xfId="23898" xr:uid="{00000000-0005-0000-0000-0000574C0000}"/>
    <cellStyle name="Comma 2 2 5" xfId="25769" xr:uid="{00000000-0005-0000-0000-0000584C0000}"/>
    <cellStyle name="Comma 2 3" xfId="183" xr:uid="{00000000-0005-0000-0000-0000594C0000}"/>
    <cellStyle name="Comma 2 3 2" xfId="364" xr:uid="{00000000-0005-0000-0000-00005A4C0000}"/>
    <cellStyle name="Comma 2 3 2 2" xfId="446" xr:uid="{00000000-0005-0000-0000-00005B4C0000}"/>
    <cellStyle name="Comma 2 3 2 2 2" xfId="532" xr:uid="{00000000-0005-0000-0000-00005C4C0000}"/>
    <cellStyle name="Comma 2 3 2 2 2 2" xfId="13895" xr:uid="{00000000-0005-0000-0000-00005D4C0000}"/>
    <cellStyle name="Comma 2 3 2 2 3" xfId="13818" xr:uid="{00000000-0005-0000-0000-00005E4C0000}"/>
    <cellStyle name="Comma 2 3 2 3" xfId="495" xr:uid="{00000000-0005-0000-0000-00005F4C0000}"/>
    <cellStyle name="Comma 2 3 2 3 2" xfId="13858" xr:uid="{00000000-0005-0000-0000-0000604C0000}"/>
    <cellStyle name="Comma 2 3 2 4" xfId="13774" xr:uid="{00000000-0005-0000-0000-0000614C0000}"/>
    <cellStyle name="Comma 2 3 3" xfId="426" xr:uid="{00000000-0005-0000-0000-0000624C0000}"/>
    <cellStyle name="Comma 2 3 3 2" xfId="517" xr:uid="{00000000-0005-0000-0000-0000634C0000}"/>
    <cellStyle name="Comma 2 3 3 2 2" xfId="13880" xr:uid="{00000000-0005-0000-0000-0000644C0000}"/>
    <cellStyle name="Comma 2 3 3 3" xfId="13803" xr:uid="{00000000-0005-0000-0000-0000654C0000}"/>
    <cellStyle name="Comma 2 3 4" xfId="480" xr:uid="{00000000-0005-0000-0000-0000664C0000}"/>
    <cellStyle name="Comma 2 3 4 2" xfId="13843" xr:uid="{00000000-0005-0000-0000-0000674C0000}"/>
    <cellStyle name="Comma 2 3 5" xfId="639" xr:uid="{00000000-0005-0000-0000-0000684C0000}"/>
    <cellStyle name="Comma 2 3 5 2" xfId="13907" xr:uid="{00000000-0005-0000-0000-0000694C0000}"/>
    <cellStyle name="Comma 2 3 6" xfId="13688" xr:uid="{00000000-0005-0000-0000-00006A4C0000}"/>
    <cellStyle name="Comma 2 3 7" xfId="24067" xr:uid="{00000000-0005-0000-0000-00006B4C0000}"/>
    <cellStyle name="Comma 2 4" xfId="351" xr:uid="{00000000-0005-0000-0000-00006C4C0000}"/>
    <cellStyle name="Comma 2 4 2" xfId="25783" xr:uid="{00000000-0005-0000-0000-00006D4C0000}"/>
    <cellStyle name="Comma 2 4 3" xfId="25770" xr:uid="{00000000-0005-0000-0000-00006E4C0000}"/>
    <cellStyle name="Comma 2 5" xfId="373" xr:uid="{00000000-0005-0000-0000-00006F4C0000}"/>
    <cellStyle name="Comma 2 5 2" xfId="25784" xr:uid="{00000000-0005-0000-0000-0000704C0000}"/>
    <cellStyle name="Comma 2 5 3" xfId="25771" xr:uid="{00000000-0005-0000-0000-0000714C0000}"/>
    <cellStyle name="Comma 2 6" xfId="635" xr:uid="{00000000-0005-0000-0000-0000724C0000}"/>
    <cellStyle name="Comma 2 6 2" xfId="13906" xr:uid="{00000000-0005-0000-0000-0000734C0000}"/>
    <cellStyle name="Comma 2 6 3" xfId="25781" xr:uid="{00000000-0005-0000-0000-0000744C0000}"/>
    <cellStyle name="Comma 2 7" xfId="2588" xr:uid="{00000000-0005-0000-0000-0000754C0000}"/>
    <cellStyle name="Comma 2 8" xfId="13603" xr:uid="{00000000-0005-0000-0000-0000764C0000}"/>
    <cellStyle name="Comma 2 9" xfId="12600" xr:uid="{00000000-0005-0000-0000-0000774C0000}"/>
    <cellStyle name="Comma 20" xfId="282" xr:uid="{00000000-0005-0000-0000-0000784C0000}"/>
    <cellStyle name="Comma 21" xfId="290" xr:uid="{00000000-0005-0000-0000-0000794C0000}"/>
    <cellStyle name="Comma 21 2" xfId="369" xr:uid="{00000000-0005-0000-0000-00007A4C0000}"/>
    <cellStyle name="Comma 22" xfId="288" xr:uid="{00000000-0005-0000-0000-00007B4C0000}"/>
    <cellStyle name="Comma 23" xfId="291" xr:uid="{00000000-0005-0000-0000-00007C4C0000}"/>
    <cellStyle name="Comma 24" xfId="289" xr:uid="{00000000-0005-0000-0000-00007D4C0000}"/>
    <cellStyle name="Comma 25" xfId="301" xr:uid="{00000000-0005-0000-0000-00007E4C0000}"/>
    <cellStyle name="Comma 26" xfId="300" xr:uid="{00000000-0005-0000-0000-00007F4C0000}"/>
    <cellStyle name="Comma 27" xfId="312" xr:uid="{00000000-0005-0000-0000-0000804C0000}"/>
    <cellStyle name="Comma 28" xfId="311" xr:uid="{00000000-0005-0000-0000-0000814C0000}"/>
    <cellStyle name="Comma 29" xfId="313" xr:uid="{00000000-0005-0000-0000-0000824C0000}"/>
    <cellStyle name="Comma 3" xfId="10" xr:uid="{00000000-0005-0000-0000-0000834C0000}"/>
    <cellStyle name="Comma 3 10" xfId="23905" xr:uid="{00000000-0005-0000-0000-0000844C0000}"/>
    <cellStyle name="Comma 3 11" xfId="25779" xr:uid="{00000000-0005-0000-0000-0000854C0000}"/>
    <cellStyle name="Comma 3 2" xfId="22" xr:uid="{00000000-0005-0000-0000-0000864C0000}"/>
    <cellStyle name="Comma 3 3" xfId="184" xr:uid="{00000000-0005-0000-0000-0000874C0000}"/>
    <cellStyle name="Comma 3 4" xfId="353" xr:uid="{00000000-0005-0000-0000-0000884C0000}"/>
    <cellStyle name="Comma 3 5" xfId="397" xr:uid="{00000000-0005-0000-0000-0000894C0000}"/>
    <cellStyle name="Comma 3 6" xfId="375" xr:uid="{00000000-0005-0000-0000-00008A4C0000}"/>
    <cellStyle name="Comma 3 7" xfId="2589" xr:uid="{00000000-0005-0000-0000-00008B4C0000}"/>
    <cellStyle name="Comma 3 8" xfId="13605" xr:uid="{00000000-0005-0000-0000-00008C4C0000}"/>
    <cellStyle name="Comma 3 9" xfId="13599" xr:uid="{00000000-0005-0000-0000-00008D4C0000}"/>
    <cellStyle name="Comma 30" xfId="310" xr:uid="{00000000-0005-0000-0000-00008E4C0000}"/>
    <cellStyle name="Comma 31" xfId="314" xr:uid="{00000000-0005-0000-0000-00008F4C0000}"/>
    <cellStyle name="Comma 32" xfId="308" xr:uid="{00000000-0005-0000-0000-0000904C0000}"/>
    <cellStyle name="Comma 33" xfId="315" xr:uid="{00000000-0005-0000-0000-0000914C0000}"/>
    <cellStyle name="Comma 34" xfId="306" xr:uid="{00000000-0005-0000-0000-0000924C0000}"/>
    <cellStyle name="Comma 35" xfId="337" xr:uid="{00000000-0005-0000-0000-0000934C0000}"/>
    <cellStyle name="Comma 36" xfId="334" xr:uid="{00000000-0005-0000-0000-0000944C0000}"/>
    <cellStyle name="Comma 37" xfId="338" xr:uid="{00000000-0005-0000-0000-0000954C0000}"/>
    <cellStyle name="Comma 38" xfId="336" xr:uid="{00000000-0005-0000-0000-0000964C0000}"/>
    <cellStyle name="Comma 39" xfId="394" xr:uid="{00000000-0005-0000-0000-0000974C0000}"/>
    <cellStyle name="Comma 4" xfId="8" xr:uid="{00000000-0005-0000-0000-0000984C0000}"/>
    <cellStyle name="Comma 4 2" xfId="185" xr:uid="{00000000-0005-0000-0000-0000994C0000}"/>
    <cellStyle name="Comma 4 2 2" xfId="365" xr:uid="{00000000-0005-0000-0000-00009A4C0000}"/>
    <cellStyle name="Comma 4 2 2 2" xfId="447" xr:uid="{00000000-0005-0000-0000-00009B4C0000}"/>
    <cellStyle name="Comma 4 2 2 2 2" xfId="533" xr:uid="{00000000-0005-0000-0000-00009C4C0000}"/>
    <cellStyle name="Comma 4 2 2 2 2 2" xfId="13896" xr:uid="{00000000-0005-0000-0000-00009D4C0000}"/>
    <cellStyle name="Comma 4 2 2 2 3" xfId="13819" xr:uid="{00000000-0005-0000-0000-00009E4C0000}"/>
    <cellStyle name="Comma 4 2 2 3" xfId="496" xr:uid="{00000000-0005-0000-0000-00009F4C0000}"/>
    <cellStyle name="Comma 4 2 2 3 2" xfId="13859" xr:uid="{00000000-0005-0000-0000-0000A04C0000}"/>
    <cellStyle name="Comma 4 2 2 4" xfId="13775" xr:uid="{00000000-0005-0000-0000-0000A14C0000}"/>
    <cellStyle name="Comma 4 2 3" xfId="427" xr:uid="{00000000-0005-0000-0000-0000A24C0000}"/>
    <cellStyle name="Comma 4 2 3 2" xfId="518" xr:uid="{00000000-0005-0000-0000-0000A34C0000}"/>
    <cellStyle name="Comma 4 2 3 2 2" xfId="13881" xr:uid="{00000000-0005-0000-0000-0000A44C0000}"/>
    <cellStyle name="Comma 4 2 3 3" xfId="13804" xr:uid="{00000000-0005-0000-0000-0000A54C0000}"/>
    <cellStyle name="Comma 4 2 4" xfId="481" xr:uid="{00000000-0005-0000-0000-0000A64C0000}"/>
    <cellStyle name="Comma 4 2 4 2" xfId="13844" xr:uid="{00000000-0005-0000-0000-0000A74C0000}"/>
    <cellStyle name="Comma 4 2 5" xfId="641" xr:uid="{00000000-0005-0000-0000-0000A84C0000}"/>
    <cellStyle name="Comma 4 2 6" xfId="13689" xr:uid="{00000000-0005-0000-0000-0000A94C0000}"/>
    <cellStyle name="Comma 4 2 7" xfId="24068" xr:uid="{00000000-0005-0000-0000-0000AA4C0000}"/>
    <cellStyle name="Comma 4 3" xfId="352" xr:uid="{00000000-0005-0000-0000-0000AB4C0000}"/>
    <cellStyle name="Comma 4 4" xfId="640" xr:uid="{00000000-0005-0000-0000-0000AC4C0000}"/>
    <cellStyle name="Comma 4 5" xfId="3619" xr:uid="{00000000-0005-0000-0000-0000AD4C0000}"/>
    <cellStyle name="Comma 4 6" xfId="25792" xr:uid="{00000000-0005-0000-0000-0000AE4C0000}"/>
    <cellStyle name="Comma 40" xfId="371" xr:uid="{00000000-0005-0000-0000-0000AF4C0000}"/>
    <cellStyle name="Comma 40 2" xfId="501" xr:uid="{00000000-0005-0000-0000-0000B04C0000}"/>
    <cellStyle name="Comma 40 2 2" xfId="13864" xr:uid="{00000000-0005-0000-0000-0000B14C0000}"/>
    <cellStyle name="Comma 40 3" xfId="13780" xr:uid="{00000000-0005-0000-0000-0000B24C0000}"/>
    <cellStyle name="Comma 41" xfId="391" xr:uid="{00000000-0005-0000-0000-0000B34C0000}"/>
    <cellStyle name="Comma 41 2" xfId="505" xr:uid="{00000000-0005-0000-0000-0000B44C0000}"/>
    <cellStyle name="Comma 41 2 2" xfId="13868" xr:uid="{00000000-0005-0000-0000-0000B54C0000}"/>
    <cellStyle name="Comma 41 3" xfId="13786" xr:uid="{00000000-0005-0000-0000-0000B64C0000}"/>
    <cellStyle name="Comma 42" xfId="388" xr:uid="{00000000-0005-0000-0000-0000B74C0000}"/>
    <cellStyle name="Comma 42 2" xfId="504" xr:uid="{00000000-0005-0000-0000-0000B84C0000}"/>
    <cellStyle name="Comma 42 2 2" xfId="13867" xr:uid="{00000000-0005-0000-0000-0000B94C0000}"/>
    <cellStyle name="Comma 42 3" xfId="13784" xr:uid="{00000000-0005-0000-0000-0000BA4C0000}"/>
    <cellStyle name="Comma 43" xfId="452" xr:uid="{00000000-0005-0000-0000-0000BB4C0000}"/>
    <cellStyle name="Comma 43 2" xfId="538" xr:uid="{00000000-0005-0000-0000-0000BC4C0000}"/>
    <cellStyle name="Comma 43 2 2" xfId="13901" xr:uid="{00000000-0005-0000-0000-0000BD4C0000}"/>
    <cellStyle name="Comma 43 3" xfId="13824" xr:uid="{00000000-0005-0000-0000-0000BE4C0000}"/>
    <cellStyle name="Comma 44" xfId="13600" xr:uid="{00000000-0005-0000-0000-0000BF4C0000}"/>
    <cellStyle name="Comma 45" xfId="23886" xr:uid="{00000000-0005-0000-0000-0000C04C0000}"/>
    <cellStyle name="Comma 46" xfId="23891" xr:uid="{00000000-0005-0000-0000-0000C14C0000}"/>
    <cellStyle name="Comma 47" xfId="23895" xr:uid="{00000000-0005-0000-0000-0000C24C0000}"/>
    <cellStyle name="Comma 48" xfId="23899" xr:uid="{00000000-0005-0000-0000-0000C34C0000}"/>
    <cellStyle name="Comma 49" xfId="2" xr:uid="{00000000-0005-0000-0000-0000C44C0000}"/>
    <cellStyle name="Comma 5" xfId="23" xr:uid="{00000000-0005-0000-0000-0000C54C0000}"/>
    <cellStyle name="Comma 5 2" xfId="24069" xr:uid="{00000000-0005-0000-0000-0000C64C0000}"/>
    <cellStyle name="Comma 50" xfId="25277" xr:uid="{00000000-0005-0000-0000-0000C74C0000}"/>
    <cellStyle name="Comma 51" xfId="25294" xr:uid="{00000000-0005-0000-0000-0000C84C0000}"/>
    <cellStyle name="Comma 52" xfId="25456" xr:uid="{00000000-0005-0000-0000-0000C94C0000}"/>
    <cellStyle name="Comma 53" xfId="25749" xr:uid="{00000000-0005-0000-0000-0000CA4C0000}"/>
    <cellStyle name="Comma 54" xfId="25755" xr:uid="{00000000-0005-0000-0000-0000CB4C0000}"/>
    <cellStyle name="Comma 55" xfId="25756" xr:uid="{00000000-0005-0000-0000-0000CC4C0000}"/>
    <cellStyle name="Comma 56" xfId="25761" xr:uid="{00000000-0005-0000-0000-0000CD4C0000}"/>
    <cellStyle name="Comma 57" xfId="25762" xr:uid="{00000000-0005-0000-0000-0000CE4C0000}"/>
    <cellStyle name="Comma 6" xfId="24" xr:uid="{00000000-0005-0000-0000-0000CF4C0000}"/>
    <cellStyle name="Comma 6 2" xfId="399" xr:uid="{00000000-0005-0000-0000-0000D04C0000}"/>
    <cellStyle name="Comma 6 2 2" xfId="24319" xr:uid="{00000000-0005-0000-0000-0000D14C0000}"/>
    <cellStyle name="Comma 6 2 3" xfId="24783" xr:uid="{00000000-0005-0000-0000-0000D24C0000}"/>
    <cellStyle name="Comma 6 2 4" xfId="25150" xr:uid="{00000000-0005-0000-0000-0000D34C0000}"/>
    <cellStyle name="Comma 6 3" xfId="376" xr:uid="{00000000-0005-0000-0000-0000D44C0000}"/>
    <cellStyle name="Comma 6 4" xfId="23931" xr:uid="{00000000-0005-0000-0000-0000D54C0000}"/>
    <cellStyle name="Comma 6 5" xfId="24558" xr:uid="{00000000-0005-0000-0000-0000D64C0000}"/>
    <cellStyle name="Comma 6 6" xfId="24948" xr:uid="{00000000-0005-0000-0000-0000D74C0000}"/>
    <cellStyle name="Comma 7" xfId="186" xr:uid="{00000000-0005-0000-0000-0000D84C0000}"/>
    <cellStyle name="Comma 7 2" xfId="642" xr:uid="{00000000-0005-0000-0000-0000D94C0000}"/>
    <cellStyle name="Comma 7 2 2" xfId="24406" xr:uid="{00000000-0005-0000-0000-0000DA4C0000}"/>
    <cellStyle name="Comma 7 2 3" xfId="24858" xr:uid="{00000000-0005-0000-0000-0000DB4C0000}"/>
    <cellStyle name="Comma 7 2 4" xfId="25223" xr:uid="{00000000-0005-0000-0000-0000DC4C0000}"/>
    <cellStyle name="Comma 7 3" xfId="24070" xr:uid="{00000000-0005-0000-0000-0000DD4C0000}"/>
    <cellStyle name="Comma 7 4" xfId="24703" xr:uid="{00000000-0005-0000-0000-0000DE4C0000}"/>
    <cellStyle name="Comma 7 5" xfId="25025" xr:uid="{00000000-0005-0000-0000-0000DF4C0000}"/>
    <cellStyle name="Comma 8" xfId="187" xr:uid="{00000000-0005-0000-0000-0000E04C0000}"/>
    <cellStyle name="Comma 8 2" xfId="643" xr:uid="{00000000-0005-0000-0000-0000E14C0000}"/>
    <cellStyle name="Comma 8 2 2" xfId="13908" xr:uid="{00000000-0005-0000-0000-0000E24C0000}"/>
    <cellStyle name="Comma 8 2 3" xfId="24481" xr:uid="{00000000-0005-0000-0000-0000E34C0000}"/>
    <cellStyle name="Comma 8 2 4" xfId="24913" xr:uid="{00000000-0005-0000-0000-0000E44C0000}"/>
    <cellStyle name="Comma 8 2 5" xfId="25273" xr:uid="{00000000-0005-0000-0000-0000E54C0000}"/>
    <cellStyle name="Comma 8 3" xfId="24295" xr:uid="{00000000-0005-0000-0000-0000E64C0000}"/>
    <cellStyle name="Comma 8 4" xfId="24776" xr:uid="{00000000-0005-0000-0000-0000E74C0000}"/>
    <cellStyle name="Comma 8 5" xfId="25145" xr:uid="{00000000-0005-0000-0000-0000E84C0000}"/>
    <cellStyle name="Comma 9" xfId="188" xr:uid="{00000000-0005-0000-0000-0000E94C0000}"/>
    <cellStyle name="Comma 9 2" xfId="24482" xr:uid="{00000000-0005-0000-0000-0000EA4C0000}"/>
    <cellStyle name="Comma 9 2 2" xfId="24914" xr:uid="{00000000-0005-0000-0000-0000EB4C0000}"/>
    <cellStyle name="Comma 9 2 3" xfId="25274" xr:uid="{00000000-0005-0000-0000-0000EC4C0000}"/>
    <cellStyle name="Comma 9 3" xfId="24296" xr:uid="{00000000-0005-0000-0000-0000ED4C0000}"/>
    <cellStyle name="Comma 9 4" xfId="24777" xr:uid="{00000000-0005-0000-0000-0000EE4C0000}"/>
    <cellStyle name="Comma 9 5" xfId="25146" xr:uid="{00000000-0005-0000-0000-0000EF4C0000}"/>
    <cellStyle name="Comma0" xfId="25" xr:uid="{00000000-0005-0000-0000-0000F04C0000}"/>
    <cellStyle name="Comma0 - Style3" xfId="26" xr:uid="{00000000-0005-0000-0000-0000F14C0000}"/>
    <cellStyle name="Comma0 - Style4" xfId="27" xr:uid="{00000000-0005-0000-0000-0000F24C0000}"/>
    <cellStyle name="Comma0 10" xfId="461" xr:uid="{00000000-0005-0000-0000-0000F34C0000}"/>
    <cellStyle name="Comma0 11" xfId="24411" xr:uid="{00000000-0005-0000-0000-0000F44C0000}"/>
    <cellStyle name="Comma0 12" xfId="24399" xr:uid="{00000000-0005-0000-0000-0000F54C0000}"/>
    <cellStyle name="Comma0 13" xfId="24503" xr:uid="{00000000-0005-0000-0000-0000F64C0000}"/>
    <cellStyle name="Comma0 14" xfId="24400" xr:uid="{00000000-0005-0000-0000-0000F74C0000}"/>
    <cellStyle name="Comma0 15" xfId="24496" xr:uid="{00000000-0005-0000-0000-0000F84C0000}"/>
    <cellStyle name="Comma0 16" xfId="24474" xr:uid="{00000000-0005-0000-0000-0000F94C0000}"/>
    <cellStyle name="Comma0 17" xfId="24497" xr:uid="{00000000-0005-0000-0000-0000FA4C0000}"/>
    <cellStyle name="Comma0 18" xfId="24402" xr:uid="{00000000-0005-0000-0000-0000FB4C0000}"/>
    <cellStyle name="Comma0 19" xfId="24477" xr:uid="{00000000-0005-0000-0000-0000FC4C0000}"/>
    <cellStyle name="Comma0 2" xfId="400" xr:uid="{00000000-0005-0000-0000-0000FD4C0000}"/>
    <cellStyle name="Comma0 2 2" xfId="24072" xr:uid="{00000000-0005-0000-0000-0000FE4C0000}"/>
    <cellStyle name="Comma0 20" xfId="24508" xr:uid="{00000000-0005-0000-0000-0000FF4C0000}"/>
    <cellStyle name="Comma0 21" xfId="24509" xr:uid="{00000000-0005-0000-0000-0000004D0000}"/>
    <cellStyle name="Comma0 22" xfId="24510" xr:uid="{00000000-0005-0000-0000-0000014D0000}"/>
    <cellStyle name="Comma0 23" xfId="24512" xr:uid="{00000000-0005-0000-0000-0000024D0000}"/>
    <cellStyle name="Comma0 24" xfId="24513" xr:uid="{00000000-0005-0000-0000-0000034D0000}"/>
    <cellStyle name="Comma0 25" xfId="24514" xr:uid="{00000000-0005-0000-0000-0000044D0000}"/>
    <cellStyle name="Comma0 26" xfId="24515" xr:uid="{00000000-0005-0000-0000-0000054D0000}"/>
    <cellStyle name="Comma0 27" xfId="24516" xr:uid="{00000000-0005-0000-0000-0000064D0000}"/>
    <cellStyle name="Comma0 28" xfId="24517" xr:uid="{00000000-0005-0000-0000-0000074D0000}"/>
    <cellStyle name="Comma0 29" xfId="23909" xr:uid="{00000000-0005-0000-0000-0000084D0000}"/>
    <cellStyle name="Comma0 3" xfId="377" xr:uid="{00000000-0005-0000-0000-0000094D0000}"/>
    <cellStyle name="Comma0 3 2" xfId="24073" xr:uid="{00000000-0005-0000-0000-00000A4D0000}"/>
    <cellStyle name="Comma0 30" xfId="23926" xr:uid="{00000000-0005-0000-0000-00000B4D0000}"/>
    <cellStyle name="Comma0 31" xfId="24531" xr:uid="{00000000-0005-0000-0000-00000C4D0000}"/>
    <cellStyle name="Comma0 32" xfId="24012" xr:uid="{00000000-0005-0000-0000-00000D4D0000}"/>
    <cellStyle name="Comma0 33" xfId="24540" xr:uid="{00000000-0005-0000-0000-00000E4D0000}"/>
    <cellStyle name="Comma0 34" xfId="24102" xr:uid="{00000000-0005-0000-0000-00000F4D0000}"/>
    <cellStyle name="Comma0 35" xfId="24032" xr:uid="{00000000-0005-0000-0000-0000104D0000}"/>
    <cellStyle name="Comma0 36" xfId="24071" xr:uid="{00000000-0005-0000-0000-0000114D0000}"/>
    <cellStyle name="Comma0 37" xfId="24533" xr:uid="{00000000-0005-0000-0000-0000124D0000}"/>
    <cellStyle name="Comma0 38" xfId="24535" xr:uid="{00000000-0005-0000-0000-0000134D0000}"/>
    <cellStyle name="Comma0 39" xfId="24524" xr:uid="{00000000-0005-0000-0000-0000144D0000}"/>
    <cellStyle name="Comma0 4" xfId="435" xr:uid="{00000000-0005-0000-0000-0000154D0000}"/>
    <cellStyle name="Comma0 40" xfId="24547" xr:uid="{00000000-0005-0000-0000-0000164D0000}"/>
    <cellStyle name="Comma0 41" xfId="24773" xr:uid="{00000000-0005-0000-0000-0000174D0000}"/>
    <cellStyle name="Comma0 42" xfId="24922" xr:uid="{00000000-0005-0000-0000-0000184D0000}"/>
    <cellStyle name="Comma0 43" xfId="24687" xr:uid="{00000000-0005-0000-0000-0000194D0000}"/>
    <cellStyle name="Comma0 44" xfId="24702" xr:uid="{00000000-0005-0000-0000-00001A4D0000}"/>
    <cellStyle name="Comma0 45" xfId="24934" xr:uid="{00000000-0005-0000-0000-00001B4D0000}"/>
    <cellStyle name="Comma0 46" xfId="24765" xr:uid="{00000000-0005-0000-0000-00001C4D0000}"/>
    <cellStyle name="Comma0 47" xfId="24938" xr:uid="{00000000-0005-0000-0000-00001D4D0000}"/>
    <cellStyle name="Comma0 48" xfId="24706" xr:uid="{00000000-0005-0000-0000-00001E4D0000}"/>
    <cellStyle name="Comma0 49" xfId="24766" xr:uid="{00000000-0005-0000-0000-00001F4D0000}"/>
    <cellStyle name="Comma0 5" xfId="430" xr:uid="{00000000-0005-0000-0000-0000204D0000}"/>
    <cellStyle name="Comma0 50" xfId="24546" xr:uid="{00000000-0005-0000-0000-0000214D0000}"/>
    <cellStyle name="Comma0 51" xfId="24761" xr:uid="{00000000-0005-0000-0000-0000224D0000}"/>
    <cellStyle name="Comma0 52" xfId="24923" xr:uid="{00000000-0005-0000-0000-0000234D0000}"/>
    <cellStyle name="Comma0 53" xfId="24942" xr:uid="{00000000-0005-0000-0000-0000244D0000}"/>
    <cellStyle name="Comma0 6" xfId="433" xr:uid="{00000000-0005-0000-0000-0000254D0000}"/>
    <cellStyle name="Comma0 7" xfId="455" xr:uid="{00000000-0005-0000-0000-0000264D0000}"/>
    <cellStyle name="Comma0 8" xfId="463" xr:uid="{00000000-0005-0000-0000-0000274D0000}"/>
    <cellStyle name="Comma0 9" xfId="456" xr:uid="{00000000-0005-0000-0000-0000284D0000}"/>
    <cellStyle name="Comma0_3.7 Revenue Correcting - Dec09" xfId="349" xr:uid="{00000000-0005-0000-0000-0000294D0000}"/>
    <cellStyle name="Comma1 - Style1" xfId="28" xr:uid="{00000000-0005-0000-0000-00002A4D0000}"/>
    <cellStyle name="Currency" xfId="25747" builtinId="4"/>
    <cellStyle name="Currency [1]" xfId="550" xr:uid="{00000000-0005-0000-0000-00002C4D0000}"/>
    <cellStyle name="Currency [1] 2" xfId="24074" xr:uid="{00000000-0005-0000-0000-00002D4D0000}"/>
    <cellStyle name="Currency [2]" xfId="551" xr:uid="{00000000-0005-0000-0000-00002E4D0000}"/>
    <cellStyle name="Currency [2] 2" xfId="24075" xr:uid="{00000000-0005-0000-0000-00002F4D0000}"/>
    <cellStyle name="Currency [3]" xfId="552" xr:uid="{00000000-0005-0000-0000-0000304D0000}"/>
    <cellStyle name="Currency [3] 2" xfId="24076" xr:uid="{00000000-0005-0000-0000-0000314D0000}"/>
    <cellStyle name="Currency 10" xfId="24300" xr:uid="{00000000-0005-0000-0000-0000324D0000}"/>
    <cellStyle name="Currency 11" xfId="24466" xr:uid="{00000000-0005-0000-0000-0000334D0000}"/>
    <cellStyle name="Currency 12" xfId="3" xr:uid="{00000000-0005-0000-0000-0000344D0000}"/>
    <cellStyle name="Currency 13" xfId="24305" xr:uid="{00000000-0005-0000-0000-0000354D0000}"/>
    <cellStyle name="Currency 14" xfId="25278" xr:uid="{00000000-0005-0000-0000-0000364D0000}"/>
    <cellStyle name="Currency 15" xfId="25293" xr:uid="{00000000-0005-0000-0000-0000374D0000}"/>
    <cellStyle name="Currency 16" xfId="24306" xr:uid="{00000000-0005-0000-0000-0000384D0000}"/>
    <cellStyle name="Currency 17" xfId="24307" xr:uid="{00000000-0005-0000-0000-0000394D0000}"/>
    <cellStyle name="Currency 18" xfId="25457" xr:uid="{00000000-0005-0000-0000-00003A4D0000}"/>
    <cellStyle name="Currency 2" xfId="29" xr:uid="{00000000-0005-0000-0000-00003B4D0000}"/>
    <cellStyle name="Currency 2 10" xfId="24077" xr:uid="{00000000-0005-0000-0000-00003C4D0000}"/>
    <cellStyle name="Currency 2 11" xfId="25753" xr:uid="{00000000-0005-0000-0000-00003D4D0000}"/>
    <cellStyle name="Currency 2 2" xfId="354" xr:uid="{00000000-0005-0000-0000-00003E4D0000}"/>
    <cellStyle name="Currency 2 2 2" xfId="437" xr:uid="{00000000-0005-0000-0000-00003F4D0000}"/>
    <cellStyle name="Currency 2 2 2 2" xfId="523" xr:uid="{00000000-0005-0000-0000-0000404D0000}"/>
    <cellStyle name="Currency 2 2 2 2 2" xfId="13886" xr:uid="{00000000-0005-0000-0000-0000414D0000}"/>
    <cellStyle name="Currency 2 2 2 3" xfId="13809" xr:uid="{00000000-0005-0000-0000-0000424D0000}"/>
    <cellStyle name="Currency 2 2 3" xfId="486" xr:uid="{00000000-0005-0000-0000-0000434D0000}"/>
    <cellStyle name="Currency 2 2 3 2" xfId="13849" xr:uid="{00000000-0005-0000-0000-0000444D0000}"/>
    <cellStyle name="Currency 2 2 4" xfId="13764" xr:uid="{00000000-0005-0000-0000-0000454D0000}"/>
    <cellStyle name="Currency 2 2 5" xfId="24078" xr:uid="{00000000-0005-0000-0000-0000464D0000}"/>
    <cellStyle name="Currency 2 3" xfId="401" xr:uid="{00000000-0005-0000-0000-0000474D0000}"/>
    <cellStyle name="Currency 2 3 2" xfId="506" xr:uid="{00000000-0005-0000-0000-0000484D0000}"/>
    <cellStyle name="Currency 2 3 2 2" xfId="13869" xr:uid="{00000000-0005-0000-0000-0000494D0000}"/>
    <cellStyle name="Currency 2 3 3" xfId="13788" xr:uid="{00000000-0005-0000-0000-00004A4D0000}"/>
    <cellStyle name="Currency 2 3 4" xfId="24079" xr:uid="{00000000-0005-0000-0000-00004B4D0000}"/>
    <cellStyle name="Currency 2 4" xfId="378" xr:uid="{00000000-0005-0000-0000-00004C4D0000}"/>
    <cellStyle name="Currency 2 5" xfId="468" xr:uid="{00000000-0005-0000-0000-00004D4D0000}"/>
    <cellStyle name="Currency 2 6" xfId="471" xr:uid="{00000000-0005-0000-0000-00004E4D0000}"/>
    <cellStyle name="Currency 2 6 2" xfId="13834" xr:uid="{00000000-0005-0000-0000-00004F4D0000}"/>
    <cellStyle name="Currency 2 7" xfId="644" xr:uid="{00000000-0005-0000-0000-0000504D0000}"/>
    <cellStyle name="Currency 2 7 2" xfId="13909" xr:uid="{00000000-0005-0000-0000-0000514D0000}"/>
    <cellStyle name="Currency 2 8" xfId="23896" xr:uid="{00000000-0005-0000-0000-0000524D0000}"/>
    <cellStyle name="Currency 2 9" xfId="13606" xr:uid="{00000000-0005-0000-0000-0000534D0000}"/>
    <cellStyle name="Currency 3" xfId="30" xr:uid="{00000000-0005-0000-0000-0000544D0000}"/>
    <cellStyle name="Currency 3 2" xfId="402" xr:uid="{00000000-0005-0000-0000-0000554D0000}"/>
    <cellStyle name="Currency 3 2 2" xfId="24302" xr:uid="{00000000-0005-0000-0000-0000564D0000}"/>
    <cellStyle name="Currency 3 3" xfId="379" xr:uid="{00000000-0005-0000-0000-0000574D0000}"/>
    <cellStyle name="Currency 3 4" xfId="3620" xr:uid="{00000000-0005-0000-0000-0000584D0000}"/>
    <cellStyle name="Currency 3 5" xfId="24080" xr:uid="{00000000-0005-0000-0000-0000594D0000}"/>
    <cellStyle name="Currency 3 6" xfId="25793" xr:uid="{00000000-0005-0000-0000-00005A4D0000}"/>
    <cellStyle name="Currency 4" xfId="168" xr:uid="{00000000-0005-0000-0000-00005B4D0000}"/>
    <cellStyle name="Currency 5" xfId="169" xr:uid="{00000000-0005-0000-0000-00005C4D0000}"/>
    <cellStyle name="Currency 5 2" xfId="360" xr:uid="{00000000-0005-0000-0000-00005D4D0000}"/>
    <cellStyle name="Currency 5 2 2" xfId="442" xr:uid="{00000000-0005-0000-0000-00005E4D0000}"/>
    <cellStyle name="Currency 5 2 2 2" xfId="528" xr:uid="{00000000-0005-0000-0000-00005F4D0000}"/>
    <cellStyle name="Currency 5 2 2 2 2" xfId="13891" xr:uid="{00000000-0005-0000-0000-0000604D0000}"/>
    <cellStyle name="Currency 5 2 2 3" xfId="13814" xr:uid="{00000000-0005-0000-0000-0000614D0000}"/>
    <cellStyle name="Currency 5 2 3" xfId="491" xr:uid="{00000000-0005-0000-0000-0000624D0000}"/>
    <cellStyle name="Currency 5 2 3 2" xfId="13854" xr:uid="{00000000-0005-0000-0000-0000634D0000}"/>
    <cellStyle name="Currency 5 2 4" xfId="13770" xr:uid="{00000000-0005-0000-0000-0000644D0000}"/>
    <cellStyle name="Currency 5 2 5" xfId="24303" xr:uid="{00000000-0005-0000-0000-0000654D0000}"/>
    <cellStyle name="Currency 5 3" xfId="422" xr:uid="{00000000-0005-0000-0000-0000664D0000}"/>
    <cellStyle name="Currency 5 3 2" xfId="513" xr:uid="{00000000-0005-0000-0000-0000674D0000}"/>
    <cellStyle name="Currency 5 3 2 2" xfId="13876" xr:uid="{00000000-0005-0000-0000-0000684D0000}"/>
    <cellStyle name="Currency 5 3 3" xfId="13799" xr:uid="{00000000-0005-0000-0000-0000694D0000}"/>
    <cellStyle name="Currency 5 3 4" xfId="24407" xr:uid="{00000000-0005-0000-0000-00006A4D0000}"/>
    <cellStyle name="Currency 5 3 5" xfId="24859" xr:uid="{00000000-0005-0000-0000-00006B4D0000}"/>
    <cellStyle name="Currency 5 3 6" xfId="25224" xr:uid="{00000000-0005-0000-0000-00006C4D0000}"/>
    <cellStyle name="Currency 5 4" xfId="476" xr:uid="{00000000-0005-0000-0000-00006D4D0000}"/>
    <cellStyle name="Currency 5 4 2" xfId="13839" xr:uid="{00000000-0005-0000-0000-00006E4D0000}"/>
    <cellStyle name="Currency 5 5" xfId="13684" xr:uid="{00000000-0005-0000-0000-00006F4D0000}"/>
    <cellStyle name="Currency 5 6" xfId="23903" xr:uid="{00000000-0005-0000-0000-0000704D0000}"/>
    <cellStyle name="Currency 5 7" xfId="24081" xr:uid="{00000000-0005-0000-0000-0000714D0000}"/>
    <cellStyle name="Currency 5 8" xfId="24707" xr:uid="{00000000-0005-0000-0000-0000724D0000}"/>
    <cellStyle name="Currency 5 9" xfId="25026" xr:uid="{00000000-0005-0000-0000-0000734D0000}"/>
    <cellStyle name="Currency 6" xfId="395" xr:uid="{00000000-0005-0000-0000-0000744D0000}"/>
    <cellStyle name="Currency 6 2" xfId="24293" xr:uid="{00000000-0005-0000-0000-0000754D0000}"/>
    <cellStyle name="Currency 7" xfId="2590" xr:uid="{00000000-0005-0000-0000-0000764D0000}"/>
    <cellStyle name="Currency 7 2" xfId="24484" xr:uid="{00000000-0005-0000-0000-0000774D0000}"/>
    <cellStyle name="Currency 7 2 2" xfId="24915" xr:uid="{00000000-0005-0000-0000-0000784D0000}"/>
    <cellStyle name="Currency 7 2 3" xfId="25275" xr:uid="{00000000-0005-0000-0000-0000794D0000}"/>
    <cellStyle name="Currency 7 3" xfId="24297" xr:uid="{00000000-0005-0000-0000-00007A4D0000}"/>
    <cellStyle name="Currency 7 4" xfId="24778" xr:uid="{00000000-0005-0000-0000-00007B4D0000}"/>
    <cellStyle name="Currency 7 5" xfId="25147" xr:uid="{00000000-0005-0000-0000-00007C4D0000}"/>
    <cellStyle name="Currency 8" xfId="13601" xr:uid="{00000000-0005-0000-0000-00007D4D0000}"/>
    <cellStyle name="Currency 8 2" xfId="23904" xr:uid="{00000000-0005-0000-0000-00007E4D0000}"/>
    <cellStyle name="Currency 9" xfId="23889" xr:uid="{00000000-0005-0000-0000-00007F4D0000}"/>
    <cellStyle name="Currency 9 2" xfId="24299" xr:uid="{00000000-0005-0000-0000-0000804D0000}"/>
    <cellStyle name="Currency No Comma" xfId="31" xr:uid="{00000000-0005-0000-0000-0000814D0000}"/>
    <cellStyle name="Currency(0)" xfId="32" xr:uid="{00000000-0005-0000-0000-0000824D0000}"/>
    <cellStyle name="Currency0" xfId="33" xr:uid="{00000000-0005-0000-0000-0000834D0000}"/>
    <cellStyle name="Currency0 2" xfId="403" xr:uid="{00000000-0005-0000-0000-0000844D0000}"/>
    <cellStyle name="Currency0 2 2" xfId="24082" xr:uid="{00000000-0005-0000-0000-0000854D0000}"/>
    <cellStyle name="Currency0 3" xfId="380" xr:uid="{00000000-0005-0000-0000-0000864D0000}"/>
    <cellStyle name="Currency0 4" xfId="23910" xr:uid="{00000000-0005-0000-0000-0000874D0000}"/>
    <cellStyle name="Currsmall" xfId="553" xr:uid="{00000000-0005-0000-0000-0000884D0000}"/>
    <cellStyle name="Data Link" xfId="554" xr:uid="{00000000-0005-0000-0000-0000894D0000}"/>
    <cellStyle name="Date" xfId="34" xr:uid="{00000000-0005-0000-0000-00008A4D0000}"/>
    <cellStyle name="Date - Style3" xfId="35" xr:uid="{00000000-0005-0000-0000-00008B4D0000}"/>
    <cellStyle name="Date (mm/dd/yy)" xfId="555" xr:uid="{00000000-0005-0000-0000-00008C4D0000}"/>
    <cellStyle name="Date (mm/yy)" xfId="556" xr:uid="{00000000-0005-0000-0000-00008D4D0000}"/>
    <cellStyle name="Date (mmm/yy)" xfId="557" xr:uid="{00000000-0005-0000-0000-00008E4D0000}"/>
    <cellStyle name="Date (Mon, Tues, etc)" xfId="558" xr:uid="{00000000-0005-0000-0000-00008F4D0000}"/>
    <cellStyle name="Date (Monday, Tuesday, etc)" xfId="559" xr:uid="{00000000-0005-0000-0000-0000904D0000}"/>
    <cellStyle name="Date 10" xfId="460" xr:uid="{00000000-0005-0000-0000-0000914D0000}"/>
    <cellStyle name="Date 11" xfId="24408" xr:uid="{00000000-0005-0000-0000-0000924D0000}"/>
    <cellStyle name="Date 12" xfId="24401" xr:uid="{00000000-0005-0000-0000-0000934D0000}"/>
    <cellStyle name="Date 13" xfId="24409" xr:uid="{00000000-0005-0000-0000-0000944D0000}"/>
    <cellStyle name="Date 14" xfId="24405" xr:uid="{00000000-0005-0000-0000-0000954D0000}"/>
    <cellStyle name="Date 15" xfId="24502" xr:uid="{00000000-0005-0000-0000-0000964D0000}"/>
    <cellStyle name="Date 16" xfId="24404" xr:uid="{00000000-0005-0000-0000-0000974D0000}"/>
    <cellStyle name="Date 17" xfId="24495" xr:uid="{00000000-0005-0000-0000-0000984D0000}"/>
    <cellStyle name="Date 18" xfId="24315" xr:uid="{00000000-0005-0000-0000-0000994D0000}"/>
    <cellStyle name="Date 19" xfId="24493" xr:uid="{00000000-0005-0000-0000-00009A4D0000}"/>
    <cellStyle name="Date 2" xfId="404" xr:uid="{00000000-0005-0000-0000-00009B4D0000}"/>
    <cellStyle name="Date 2 2" xfId="24083" xr:uid="{00000000-0005-0000-0000-00009C4D0000}"/>
    <cellStyle name="Date 20" xfId="24317" xr:uid="{00000000-0005-0000-0000-00009D4D0000}"/>
    <cellStyle name="Date 21" xfId="24489" xr:uid="{00000000-0005-0000-0000-00009E4D0000}"/>
    <cellStyle name="Date 22" xfId="24483" xr:uid="{00000000-0005-0000-0000-00009F4D0000}"/>
    <cellStyle name="Date 23" xfId="24491" xr:uid="{00000000-0005-0000-0000-0000A04D0000}"/>
    <cellStyle name="Date 24" xfId="24403" xr:uid="{00000000-0005-0000-0000-0000A14D0000}"/>
    <cellStyle name="Date 25" xfId="24488" xr:uid="{00000000-0005-0000-0000-0000A24D0000}"/>
    <cellStyle name="Date 26" xfId="24507" xr:uid="{00000000-0005-0000-0000-0000A34D0000}"/>
    <cellStyle name="Date 27" xfId="23911" xr:uid="{00000000-0005-0000-0000-0000A44D0000}"/>
    <cellStyle name="Date 28" xfId="23925" xr:uid="{00000000-0005-0000-0000-0000A54D0000}"/>
    <cellStyle name="Date 29" xfId="24530" xr:uid="{00000000-0005-0000-0000-0000A64D0000}"/>
    <cellStyle name="Date 3" xfId="381" xr:uid="{00000000-0005-0000-0000-0000A74D0000}"/>
    <cellStyle name="Date 30" xfId="24007" xr:uid="{00000000-0005-0000-0000-0000A84D0000}"/>
    <cellStyle name="Date 31" xfId="24539" xr:uid="{00000000-0005-0000-0000-0000A94D0000}"/>
    <cellStyle name="Date 32" xfId="24520" xr:uid="{00000000-0005-0000-0000-0000AA4D0000}"/>
    <cellStyle name="Date 33" xfId="24084" xr:uid="{00000000-0005-0000-0000-0000AB4D0000}"/>
    <cellStyle name="Date 34" xfId="24527" xr:uid="{00000000-0005-0000-0000-0000AC4D0000}"/>
    <cellStyle name="Date 35" xfId="24538" xr:uid="{00000000-0005-0000-0000-0000AD4D0000}"/>
    <cellStyle name="Date 36" xfId="24097" xr:uid="{00000000-0005-0000-0000-0000AE4D0000}"/>
    <cellStyle name="Date 37" xfId="24534" xr:uid="{00000000-0005-0000-0000-0000AF4D0000}"/>
    <cellStyle name="Date 38" xfId="24548" xr:uid="{00000000-0005-0000-0000-0000B04D0000}"/>
    <cellStyle name="Date 39" xfId="24772" xr:uid="{00000000-0005-0000-0000-0000B14D0000}"/>
    <cellStyle name="Date 4" xfId="434" xr:uid="{00000000-0005-0000-0000-0000B24D0000}"/>
    <cellStyle name="Date 40" xfId="24635" xr:uid="{00000000-0005-0000-0000-0000B34D0000}"/>
    <cellStyle name="Date 41" xfId="24916" xr:uid="{00000000-0005-0000-0000-0000B44D0000}"/>
    <cellStyle name="Date 42" xfId="24932" xr:uid="{00000000-0005-0000-0000-0000B54D0000}"/>
    <cellStyle name="Date 43" xfId="24856" xr:uid="{00000000-0005-0000-0000-0000B64D0000}"/>
    <cellStyle name="Date 44" xfId="24760" xr:uid="{00000000-0005-0000-0000-0000B74D0000}"/>
    <cellStyle name="Date 45" xfId="24930" xr:uid="{00000000-0005-0000-0000-0000B84D0000}"/>
    <cellStyle name="Date 46" xfId="24925" xr:uid="{00000000-0005-0000-0000-0000B94D0000}"/>
    <cellStyle name="Date 47" xfId="24939" xr:uid="{00000000-0005-0000-0000-0000BA4D0000}"/>
    <cellStyle name="Date 48" xfId="24921" xr:uid="{00000000-0005-0000-0000-0000BB4D0000}"/>
    <cellStyle name="Date 49" xfId="24928" xr:uid="{00000000-0005-0000-0000-0000BC4D0000}"/>
    <cellStyle name="Date 5" xfId="436" xr:uid="{00000000-0005-0000-0000-0000BD4D0000}"/>
    <cellStyle name="Date 50" xfId="24908" xr:uid="{00000000-0005-0000-0000-0000BE4D0000}"/>
    <cellStyle name="Date 51" xfId="24943" xr:uid="{00000000-0005-0000-0000-0000BF4D0000}"/>
    <cellStyle name="Date 6" xfId="389" xr:uid="{00000000-0005-0000-0000-0000C04D0000}"/>
    <cellStyle name="Date 7" xfId="457" xr:uid="{00000000-0005-0000-0000-0000C14D0000}"/>
    <cellStyle name="Date 8" xfId="462" xr:uid="{00000000-0005-0000-0000-0000C24D0000}"/>
    <cellStyle name="Date 9" xfId="458" xr:uid="{00000000-0005-0000-0000-0000C34D0000}"/>
    <cellStyle name="Date_2002SavingsIdeasSummary" xfId="560" xr:uid="{00000000-0005-0000-0000-0000C44D0000}"/>
    <cellStyle name="Emphasis 1" xfId="24085" xr:uid="{00000000-0005-0000-0000-0000C54D0000}"/>
    <cellStyle name="Emphasis 2" xfId="24086" xr:uid="{00000000-0005-0000-0000-0000C64D0000}"/>
    <cellStyle name="Emphasis 3" xfId="24087" xr:uid="{00000000-0005-0000-0000-0000C74D0000}"/>
    <cellStyle name="Explanatory Text 10" xfId="2591" xr:uid="{00000000-0005-0000-0000-0000C84D0000}"/>
    <cellStyle name="Explanatory Text 11" xfId="2592" xr:uid="{00000000-0005-0000-0000-0000C94D0000}"/>
    <cellStyle name="Explanatory Text 12" xfId="2593" xr:uid="{00000000-0005-0000-0000-0000CA4D0000}"/>
    <cellStyle name="Explanatory Text 13" xfId="2594" xr:uid="{00000000-0005-0000-0000-0000CB4D0000}"/>
    <cellStyle name="Explanatory Text 14" xfId="2595" xr:uid="{00000000-0005-0000-0000-0000CC4D0000}"/>
    <cellStyle name="Explanatory Text 15" xfId="2596" xr:uid="{00000000-0005-0000-0000-0000CD4D0000}"/>
    <cellStyle name="Explanatory Text 16" xfId="2597" xr:uid="{00000000-0005-0000-0000-0000CE4D0000}"/>
    <cellStyle name="Explanatory Text 17" xfId="2598" xr:uid="{00000000-0005-0000-0000-0000CF4D0000}"/>
    <cellStyle name="Explanatory Text 18" xfId="2599" xr:uid="{00000000-0005-0000-0000-0000D04D0000}"/>
    <cellStyle name="Explanatory Text 19" xfId="2600" xr:uid="{00000000-0005-0000-0000-0000D14D0000}"/>
    <cellStyle name="Explanatory Text 2" xfId="2601" xr:uid="{00000000-0005-0000-0000-0000D24D0000}"/>
    <cellStyle name="Explanatory Text 20" xfId="2602" xr:uid="{00000000-0005-0000-0000-0000D34D0000}"/>
    <cellStyle name="Explanatory Text 21" xfId="2603" xr:uid="{00000000-0005-0000-0000-0000D44D0000}"/>
    <cellStyle name="Explanatory Text 22" xfId="2604" xr:uid="{00000000-0005-0000-0000-0000D54D0000}"/>
    <cellStyle name="Explanatory Text 23" xfId="2605" xr:uid="{00000000-0005-0000-0000-0000D64D0000}"/>
    <cellStyle name="Explanatory Text 24" xfId="2606" xr:uid="{00000000-0005-0000-0000-0000D74D0000}"/>
    <cellStyle name="Explanatory Text 25" xfId="2607" xr:uid="{00000000-0005-0000-0000-0000D84D0000}"/>
    <cellStyle name="Explanatory Text 26" xfId="2608" xr:uid="{00000000-0005-0000-0000-0000D94D0000}"/>
    <cellStyle name="Explanatory Text 27" xfId="2609" xr:uid="{00000000-0005-0000-0000-0000DA4D0000}"/>
    <cellStyle name="Explanatory Text 28" xfId="2610" xr:uid="{00000000-0005-0000-0000-0000DB4D0000}"/>
    <cellStyle name="Explanatory Text 29" xfId="2611" xr:uid="{00000000-0005-0000-0000-0000DC4D0000}"/>
    <cellStyle name="Explanatory Text 3" xfId="2612" xr:uid="{00000000-0005-0000-0000-0000DD4D0000}"/>
    <cellStyle name="Explanatory Text 30" xfId="2613" xr:uid="{00000000-0005-0000-0000-0000DE4D0000}"/>
    <cellStyle name="Explanatory Text 31" xfId="2614" xr:uid="{00000000-0005-0000-0000-0000DF4D0000}"/>
    <cellStyle name="Explanatory Text 32" xfId="2615" xr:uid="{00000000-0005-0000-0000-0000E04D0000}"/>
    <cellStyle name="Explanatory Text 33" xfId="2616" xr:uid="{00000000-0005-0000-0000-0000E14D0000}"/>
    <cellStyle name="Explanatory Text 34" xfId="2617" xr:uid="{00000000-0005-0000-0000-0000E24D0000}"/>
    <cellStyle name="Explanatory Text 35" xfId="2618" xr:uid="{00000000-0005-0000-0000-0000E34D0000}"/>
    <cellStyle name="Explanatory Text 36" xfId="2619" xr:uid="{00000000-0005-0000-0000-0000E44D0000}"/>
    <cellStyle name="Explanatory Text 37" xfId="2620" xr:uid="{00000000-0005-0000-0000-0000E54D0000}"/>
    <cellStyle name="Explanatory Text 38" xfId="2621" xr:uid="{00000000-0005-0000-0000-0000E64D0000}"/>
    <cellStyle name="Explanatory Text 39" xfId="2622" xr:uid="{00000000-0005-0000-0000-0000E74D0000}"/>
    <cellStyle name="Explanatory Text 4" xfId="2623" xr:uid="{00000000-0005-0000-0000-0000E84D0000}"/>
    <cellStyle name="Explanatory Text 40" xfId="2624" xr:uid="{00000000-0005-0000-0000-0000E94D0000}"/>
    <cellStyle name="Explanatory Text 41" xfId="2625" xr:uid="{00000000-0005-0000-0000-0000EA4D0000}"/>
    <cellStyle name="Explanatory Text 42" xfId="2626" xr:uid="{00000000-0005-0000-0000-0000EB4D0000}"/>
    <cellStyle name="Explanatory Text 43" xfId="2627" xr:uid="{00000000-0005-0000-0000-0000EC4D0000}"/>
    <cellStyle name="Explanatory Text 44" xfId="2628" xr:uid="{00000000-0005-0000-0000-0000ED4D0000}"/>
    <cellStyle name="Explanatory Text 45" xfId="2629" xr:uid="{00000000-0005-0000-0000-0000EE4D0000}"/>
    <cellStyle name="Explanatory Text 46" xfId="2630" xr:uid="{00000000-0005-0000-0000-0000EF4D0000}"/>
    <cellStyle name="Explanatory Text 47" xfId="2631" xr:uid="{00000000-0005-0000-0000-0000F04D0000}"/>
    <cellStyle name="Explanatory Text 48" xfId="2632" xr:uid="{00000000-0005-0000-0000-0000F14D0000}"/>
    <cellStyle name="Explanatory Text 49" xfId="2633" xr:uid="{00000000-0005-0000-0000-0000F24D0000}"/>
    <cellStyle name="Explanatory Text 5" xfId="2634" xr:uid="{00000000-0005-0000-0000-0000F34D0000}"/>
    <cellStyle name="Explanatory Text 50" xfId="2635" xr:uid="{00000000-0005-0000-0000-0000F44D0000}"/>
    <cellStyle name="Explanatory Text 51" xfId="2636" xr:uid="{00000000-0005-0000-0000-0000F54D0000}"/>
    <cellStyle name="Explanatory Text 52" xfId="2637" xr:uid="{00000000-0005-0000-0000-0000F64D0000}"/>
    <cellStyle name="Explanatory Text 53" xfId="2638" xr:uid="{00000000-0005-0000-0000-0000F74D0000}"/>
    <cellStyle name="Explanatory Text 54" xfId="2639" xr:uid="{00000000-0005-0000-0000-0000F84D0000}"/>
    <cellStyle name="Explanatory Text 55" xfId="2640" xr:uid="{00000000-0005-0000-0000-0000F94D0000}"/>
    <cellStyle name="Explanatory Text 56" xfId="2641" xr:uid="{00000000-0005-0000-0000-0000FA4D0000}"/>
    <cellStyle name="Explanatory Text 57" xfId="2642" xr:uid="{00000000-0005-0000-0000-0000FB4D0000}"/>
    <cellStyle name="Explanatory Text 58" xfId="2643" xr:uid="{00000000-0005-0000-0000-0000FC4D0000}"/>
    <cellStyle name="Explanatory Text 59" xfId="2644" xr:uid="{00000000-0005-0000-0000-0000FD4D0000}"/>
    <cellStyle name="Explanatory Text 6" xfId="2645" xr:uid="{00000000-0005-0000-0000-0000FE4D0000}"/>
    <cellStyle name="Explanatory Text 60" xfId="2646" xr:uid="{00000000-0005-0000-0000-0000FF4D0000}"/>
    <cellStyle name="Explanatory Text 61" xfId="2647" xr:uid="{00000000-0005-0000-0000-0000004E0000}"/>
    <cellStyle name="Explanatory Text 62" xfId="2648" xr:uid="{00000000-0005-0000-0000-0000014E0000}"/>
    <cellStyle name="Explanatory Text 63" xfId="2649" xr:uid="{00000000-0005-0000-0000-0000024E0000}"/>
    <cellStyle name="Explanatory Text 64" xfId="2650" xr:uid="{00000000-0005-0000-0000-0000034E0000}"/>
    <cellStyle name="Explanatory Text 65" xfId="2651" xr:uid="{00000000-0005-0000-0000-0000044E0000}"/>
    <cellStyle name="Explanatory Text 66" xfId="2652" xr:uid="{00000000-0005-0000-0000-0000054E0000}"/>
    <cellStyle name="Explanatory Text 67" xfId="2653" xr:uid="{00000000-0005-0000-0000-0000064E0000}"/>
    <cellStyle name="Explanatory Text 68" xfId="2654" xr:uid="{00000000-0005-0000-0000-0000074E0000}"/>
    <cellStyle name="Explanatory Text 69" xfId="2655" xr:uid="{00000000-0005-0000-0000-0000084E0000}"/>
    <cellStyle name="Explanatory Text 7" xfId="2656" xr:uid="{00000000-0005-0000-0000-0000094E0000}"/>
    <cellStyle name="Explanatory Text 70" xfId="2657" xr:uid="{00000000-0005-0000-0000-00000A4E0000}"/>
    <cellStyle name="Explanatory Text 71" xfId="2658" xr:uid="{00000000-0005-0000-0000-00000B4E0000}"/>
    <cellStyle name="Explanatory Text 72" xfId="2659" xr:uid="{00000000-0005-0000-0000-00000C4E0000}"/>
    <cellStyle name="Explanatory Text 8" xfId="2660" xr:uid="{00000000-0005-0000-0000-00000D4E0000}"/>
    <cellStyle name="Explanatory Text 9" xfId="2661" xr:uid="{00000000-0005-0000-0000-00000E4E0000}"/>
    <cellStyle name="F2" xfId="561" xr:uid="{00000000-0005-0000-0000-00000F4E0000}"/>
    <cellStyle name="F2 2" xfId="24088" xr:uid="{00000000-0005-0000-0000-0000104E0000}"/>
    <cellStyle name="F2 3" xfId="23912" xr:uid="{00000000-0005-0000-0000-0000114E0000}"/>
    <cellStyle name="F3" xfId="562" xr:uid="{00000000-0005-0000-0000-0000124E0000}"/>
    <cellStyle name="F3 2" xfId="24089" xr:uid="{00000000-0005-0000-0000-0000134E0000}"/>
    <cellStyle name="F3 3" xfId="23913" xr:uid="{00000000-0005-0000-0000-0000144E0000}"/>
    <cellStyle name="F4" xfId="563" xr:uid="{00000000-0005-0000-0000-0000154E0000}"/>
    <cellStyle name="F4 2" xfId="24090" xr:uid="{00000000-0005-0000-0000-0000164E0000}"/>
    <cellStyle name="F4 3" xfId="23914" xr:uid="{00000000-0005-0000-0000-0000174E0000}"/>
    <cellStyle name="F5" xfId="564" xr:uid="{00000000-0005-0000-0000-0000184E0000}"/>
    <cellStyle name="F5 2" xfId="24091" xr:uid="{00000000-0005-0000-0000-0000194E0000}"/>
    <cellStyle name="F5 3" xfId="23915" xr:uid="{00000000-0005-0000-0000-00001A4E0000}"/>
    <cellStyle name="F6" xfId="565" xr:uid="{00000000-0005-0000-0000-00001B4E0000}"/>
    <cellStyle name="F6 2" xfId="24092" xr:uid="{00000000-0005-0000-0000-00001C4E0000}"/>
    <cellStyle name="F6 3" xfId="23916" xr:uid="{00000000-0005-0000-0000-00001D4E0000}"/>
    <cellStyle name="F7" xfId="566" xr:uid="{00000000-0005-0000-0000-00001E4E0000}"/>
    <cellStyle name="F7 2" xfId="24093" xr:uid="{00000000-0005-0000-0000-00001F4E0000}"/>
    <cellStyle name="F7 3" xfId="23917" xr:uid="{00000000-0005-0000-0000-0000204E0000}"/>
    <cellStyle name="F8" xfId="567" xr:uid="{00000000-0005-0000-0000-0000214E0000}"/>
    <cellStyle name="F8 2" xfId="24094" xr:uid="{00000000-0005-0000-0000-0000224E0000}"/>
    <cellStyle name="F8 3" xfId="23918" xr:uid="{00000000-0005-0000-0000-0000234E0000}"/>
    <cellStyle name="Fixed" xfId="36" xr:uid="{00000000-0005-0000-0000-0000244E0000}"/>
    <cellStyle name="Fixed 2" xfId="405" xr:uid="{00000000-0005-0000-0000-0000254E0000}"/>
    <cellStyle name="Fixed 2 2" xfId="24095" xr:uid="{00000000-0005-0000-0000-0000264E0000}"/>
    <cellStyle name="Fixed 3" xfId="382" xr:uid="{00000000-0005-0000-0000-0000274E0000}"/>
    <cellStyle name="Fixed 4" xfId="23919" xr:uid="{00000000-0005-0000-0000-0000284E0000}"/>
    <cellStyle name="Fixlong" xfId="568" xr:uid="{00000000-0005-0000-0000-0000294E0000}"/>
    <cellStyle name="Followed Hyperlink" xfId="4621" builtinId="9" customBuiltin="1"/>
    <cellStyle name="Followed Hyperlink 2" xfId="2662" xr:uid="{00000000-0005-0000-0000-00002B4E0000}"/>
    <cellStyle name="Followed Hyperlink 3" xfId="2663" xr:uid="{00000000-0005-0000-0000-00002C4E0000}"/>
    <cellStyle name="Formula" xfId="569" xr:uid="{00000000-0005-0000-0000-00002D4E0000}"/>
    <cellStyle name="Formula 2" xfId="24096" xr:uid="{00000000-0005-0000-0000-00002E4E0000}"/>
    <cellStyle name="Formula 2 2" xfId="24774" xr:uid="{00000000-0005-0000-0000-00002F4E0000}"/>
    <cellStyle name="Formula 3" xfId="24861" xr:uid="{00000000-0005-0000-0000-0000304E0000}"/>
    <cellStyle name="General" xfId="37" xr:uid="{00000000-0005-0000-0000-0000314E0000}"/>
    <cellStyle name="Good 10" xfId="2664" xr:uid="{00000000-0005-0000-0000-0000324E0000}"/>
    <cellStyle name="Good 11" xfId="2665" xr:uid="{00000000-0005-0000-0000-0000334E0000}"/>
    <cellStyle name="Good 12" xfId="2666" xr:uid="{00000000-0005-0000-0000-0000344E0000}"/>
    <cellStyle name="Good 13" xfId="2667" xr:uid="{00000000-0005-0000-0000-0000354E0000}"/>
    <cellStyle name="Good 14" xfId="2668" xr:uid="{00000000-0005-0000-0000-0000364E0000}"/>
    <cellStyle name="Good 15" xfId="2669" xr:uid="{00000000-0005-0000-0000-0000374E0000}"/>
    <cellStyle name="Good 16" xfId="2670" xr:uid="{00000000-0005-0000-0000-0000384E0000}"/>
    <cellStyle name="Good 17" xfId="2671" xr:uid="{00000000-0005-0000-0000-0000394E0000}"/>
    <cellStyle name="Good 18" xfId="2672" xr:uid="{00000000-0005-0000-0000-00003A4E0000}"/>
    <cellStyle name="Good 19" xfId="2673" xr:uid="{00000000-0005-0000-0000-00003B4E0000}"/>
    <cellStyle name="Good 2" xfId="2674" xr:uid="{00000000-0005-0000-0000-00003C4E0000}"/>
    <cellStyle name="Good 2 2" xfId="24099" xr:uid="{00000000-0005-0000-0000-00003D4E0000}"/>
    <cellStyle name="Good 2 3" xfId="24098" xr:uid="{00000000-0005-0000-0000-00003E4E0000}"/>
    <cellStyle name="Good 20" xfId="2675" xr:uid="{00000000-0005-0000-0000-00003F4E0000}"/>
    <cellStyle name="Good 21" xfId="2676" xr:uid="{00000000-0005-0000-0000-0000404E0000}"/>
    <cellStyle name="Good 22" xfId="2677" xr:uid="{00000000-0005-0000-0000-0000414E0000}"/>
    <cellStyle name="Good 23" xfId="2678" xr:uid="{00000000-0005-0000-0000-0000424E0000}"/>
    <cellStyle name="Good 24" xfId="2679" xr:uid="{00000000-0005-0000-0000-0000434E0000}"/>
    <cellStyle name="Good 25" xfId="2680" xr:uid="{00000000-0005-0000-0000-0000444E0000}"/>
    <cellStyle name="Good 26" xfId="2681" xr:uid="{00000000-0005-0000-0000-0000454E0000}"/>
    <cellStyle name="Good 27" xfId="2682" xr:uid="{00000000-0005-0000-0000-0000464E0000}"/>
    <cellStyle name="Good 28" xfId="2683" xr:uid="{00000000-0005-0000-0000-0000474E0000}"/>
    <cellStyle name="Good 29" xfId="2684" xr:uid="{00000000-0005-0000-0000-0000484E0000}"/>
    <cellStyle name="Good 3" xfId="2685" xr:uid="{00000000-0005-0000-0000-0000494E0000}"/>
    <cellStyle name="Good 3 2" xfId="24100" xr:uid="{00000000-0005-0000-0000-00004A4E0000}"/>
    <cellStyle name="Good 30" xfId="2686" xr:uid="{00000000-0005-0000-0000-00004B4E0000}"/>
    <cellStyle name="Good 31" xfId="2687" xr:uid="{00000000-0005-0000-0000-00004C4E0000}"/>
    <cellStyle name="Good 32" xfId="2688" xr:uid="{00000000-0005-0000-0000-00004D4E0000}"/>
    <cellStyle name="Good 33" xfId="2689" xr:uid="{00000000-0005-0000-0000-00004E4E0000}"/>
    <cellStyle name="Good 34" xfId="2690" xr:uid="{00000000-0005-0000-0000-00004F4E0000}"/>
    <cellStyle name="Good 35" xfId="2691" xr:uid="{00000000-0005-0000-0000-0000504E0000}"/>
    <cellStyle name="Good 36" xfId="2692" xr:uid="{00000000-0005-0000-0000-0000514E0000}"/>
    <cellStyle name="Good 37" xfId="2693" xr:uid="{00000000-0005-0000-0000-0000524E0000}"/>
    <cellStyle name="Good 38" xfId="2694" xr:uid="{00000000-0005-0000-0000-0000534E0000}"/>
    <cellStyle name="Good 39" xfId="2695" xr:uid="{00000000-0005-0000-0000-0000544E0000}"/>
    <cellStyle name="Good 4" xfId="2696" xr:uid="{00000000-0005-0000-0000-0000554E0000}"/>
    <cellStyle name="Good 4 2" xfId="24101" xr:uid="{00000000-0005-0000-0000-0000564E0000}"/>
    <cellStyle name="Good 40" xfId="2697" xr:uid="{00000000-0005-0000-0000-0000574E0000}"/>
    <cellStyle name="Good 41" xfId="2698" xr:uid="{00000000-0005-0000-0000-0000584E0000}"/>
    <cellStyle name="Good 42" xfId="2699" xr:uid="{00000000-0005-0000-0000-0000594E0000}"/>
    <cellStyle name="Good 43" xfId="2700" xr:uid="{00000000-0005-0000-0000-00005A4E0000}"/>
    <cellStyle name="Good 44" xfId="2701" xr:uid="{00000000-0005-0000-0000-00005B4E0000}"/>
    <cellStyle name="Good 45" xfId="2702" xr:uid="{00000000-0005-0000-0000-00005C4E0000}"/>
    <cellStyle name="Good 46" xfId="2703" xr:uid="{00000000-0005-0000-0000-00005D4E0000}"/>
    <cellStyle name="Good 47" xfId="2704" xr:uid="{00000000-0005-0000-0000-00005E4E0000}"/>
    <cellStyle name="Good 48" xfId="2705" xr:uid="{00000000-0005-0000-0000-00005F4E0000}"/>
    <cellStyle name="Good 49" xfId="2706" xr:uid="{00000000-0005-0000-0000-0000604E0000}"/>
    <cellStyle name="Good 5" xfId="2707" xr:uid="{00000000-0005-0000-0000-0000614E0000}"/>
    <cellStyle name="Good 50" xfId="2708" xr:uid="{00000000-0005-0000-0000-0000624E0000}"/>
    <cellStyle name="Good 51" xfId="2709" xr:uid="{00000000-0005-0000-0000-0000634E0000}"/>
    <cellStyle name="Good 52" xfId="2710" xr:uid="{00000000-0005-0000-0000-0000644E0000}"/>
    <cellStyle name="Good 53" xfId="2711" xr:uid="{00000000-0005-0000-0000-0000654E0000}"/>
    <cellStyle name="Good 54" xfId="2712" xr:uid="{00000000-0005-0000-0000-0000664E0000}"/>
    <cellStyle name="Good 55" xfId="2713" xr:uid="{00000000-0005-0000-0000-0000674E0000}"/>
    <cellStyle name="Good 56" xfId="2714" xr:uid="{00000000-0005-0000-0000-0000684E0000}"/>
    <cellStyle name="Good 57" xfId="2715" xr:uid="{00000000-0005-0000-0000-0000694E0000}"/>
    <cellStyle name="Good 58" xfId="2716" xr:uid="{00000000-0005-0000-0000-00006A4E0000}"/>
    <cellStyle name="Good 59" xfId="2717" xr:uid="{00000000-0005-0000-0000-00006B4E0000}"/>
    <cellStyle name="Good 6" xfId="2718" xr:uid="{00000000-0005-0000-0000-00006C4E0000}"/>
    <cellStyle name="Good 60" xfId="2719" xr:uid="{00000000-0005-0000-0000-00006D4E0000}"/>
    <cellStyle name="Good 61" xfId="2720" xr:uid="{00000000-0005-0000-0000-00006E4E0000}"/>
    <cellStyle name="Good 62" xfId="2721" xr:uid="{00000000-0005-0000-0000-00006F4E0000}"/>
    <cellStyle name="Good 63" xfId="2722" xr:uid="{00000000-0005-0000-0000-0000704E0000}"/>
    <cellStyle name="Good 64" xfId="2723" xr:uid="{00000000-0005-0000-0000-0000714E0000}"/>
    <cellStyle name="Good 65" xfId="2724" xr:uid="{00000000-0005-0000-0000-0000724E0000}"/>
    <cellStyle name="Good 66" xfId="2725" xr:uid="{00000000-0005-0000-0000-0000734E0000}"/>
    <cellStyle name="Good 67" xfId="2726" xr:uid="{00000000-0005-0000-0000-0000744E0000}"/>
    <cellStyle name="Good 68" xfId="2727" xr:uid="{00000000-0005-0000-0000-0000754E0000}"/>
    <cellStyle name="Good 69" xfId="2728" xr:uid="{00000000-0005-0000-0000-0000764E0000}"/>
    <cellStyle name="Good 7" xfId="2729" xr:uid="{00000000-0005-0000-0000-0000774E0000}"/>
    <cellStyle name="Good 70" xfId="2730" xr:uid="{00000000-0005-0000-0000-0000784E0000}"/>
    <cellStyle name="Good 71" xfId="2731" xr:uid="{00000000-0005-0000-0000-0000794E0000}"/>
    <cellStyle name="Good 72" xfId="2732" xr:uid="{00000000-0005-0000-0000-00007A4E0000}"/>
    <cellStyle name="Good 8" xfId="2733" xr:uid="{00000000-0005-0000-0000-00007B4E0000}"/>
    <cellStyle name="Good 9" xfId="2734" xr:uid="{00000000-0005-0000-0000-00007C4E0000}"/>
    <cellStyle name="Grey" xfId="38" xr:uid="{00000000-0005-0000-0000-00007D4E0000}"/>
    <cellStyle name="header" xfId="39" xr:uid="{00000000-0005-0000-0000-00007E4E0000}"/>
    <cellStyle name="Header1" xfId="40" xr:uid="{00000000-0005-0000-0000-00007F4E0000}"/>
    <cellStyle name="Header2" xfId="41" xr:uid="{00000000-0005-0000-0000-0000804E0000}"/>
    <cellStyle name="Header2 2" xfId="383" xr:uid="{00000000-0005-0000-0000-0000814E0000}"/>
    <cellStyle name="Header2 2 2" xfId="13782" xr:uid="{00000000-0005-0000-0000-0000824E0000}"/>
    <cellStyle name="Header2 2 2 2" xfId="25376" xr:uid="{00000000-0005-0000-0000-0000834E0000}"/>
    <cellStyle name="Header2 2 3" xfId="25280" xr:uid="{00000000-0005-0000-0000-0000844E0000}"/>
    <cellStyle name="Header2 3" xfId="13607" xr:uid="{00000000-0005-0000-0000-0000854E0000}"/>
    <cellStyle name="Header2 3 2" xfId="25374" xr:uid="{00000000-0005-0000-0000-0000864E0000}"/>
    <cellStyle name="Header2 4" xfId="24857" xr:uid="{00000000-0005-0000-0000-0000874E0000}"/>
    <cellStyle name="Heading 1 10" xfId="2735" xr:uid="{00000000-0005-0000-0000-0000884E0000}"/>
    <cellStyle name="Heading 1 11" xfId="2736" xr:uid="{00000000-0005-0000-0000-0000894E0000}"/>
    <cellStyle name="Heading 1 12" xfId="2737" xr:uid="{00000000-0005-0000-0000-00008A4E0000}"/>
    <cellStyle name="Heading 1 13" xfId="2738" xr:uid="{00000000-0005-0000-0000-00008B4E0000}"/>
    <cellStyle name="Heading 1 14" xfId="2739" xr:uid="{00000000-0005-0000-0000-00008C4E0000}"/>
    <cellStyle name="Heading 1 15" xfId="2740" xr:uid="{00000000-0005-0000-0000-00008D4E0000}"/>
    <cellStyle name="Heading 1 16" xfId="2741" xr:uid="{00000000-0005-0000-0000-00008E4E0000}"/>
    <cellStyle name="Heading 1 17" xfId="2742" xr:uid="{00000000-0005-0000-0000-00008F4E0000}"/>
    <cellStyle name="Heading 1 18" xfId="2743" xr:uid="{00000000-0005-0000-0000-0000904E0000}"/>
    <cellStyle name="Heading 1 19" xfId="2744" xr:uid="{00000000-0005-0000-0000-0000914E0000}"/>
    <cellStyle name="Heading 1 2" xfId="42" xr:uid="{00000000-0005-0000-0000-0000924E0000}"/>
    <cellStyle name="Heading 1 2 2" xfId="2745" xr:uid="{00000000-0005-0000-0000-0000934E0000}"/>
    <cellStyle name="Heading 1 2 2 2" xfId="24104" xr:uid="{00000000-0005-0000-0000-0000944E0000}"/>
    <cellStyle name="Heading 1 2 3" xfId="13608" xr:uid="{00000000-0005-0000-0000-0000954E0000}"/>
    <cellStyle name="Heading 1 2 4" xfId="24103" xr:uid="{00000000-0005-0000-0000-0000964E0000}"/>
    <cellStyle name="Heading 1 20" xfId="2746" xr:uid="{00000000-0005-0000-0000-0000974E0000}"/>
    <cellStyle name="Heading 1 21" xfId="2747" xr:uid="{00000000-0005-0000-0000-0000984E0000}"/>
    <cellStyle name="Heading 1 22" xfId="2748" xr:uid="{00000000-0005-0000-0000-0000994E0000}"/>
    <cellStyle name="Heading 1 23" xfId="2749" xr:uid="{00000000-0005-0000-0000-00009A4E0000}"/>
    <cellStyle name="Heading 1 24" xfId="2750" xr:uid="{00000000-0005-0000-0000-00009B4E0000}"/>
    <cellStyle name="Heading 1 25" xfId="2751" xr:uid="{00000000-0005-0000-0000-00009C4E0000}"/>
    <cellStyle name="Heading 1 26" xfId="2752" xr:uid="{00000000-0005-0000-0000-00009D4E0000}"/>
    <cellStyle name="Heading 1 27" xfId="2753" xr:uid="{00000000-0005-0000-0000-00009E4E0000}"/>
    <cellStyle name="Heading 1 28" xfId="2754" xr:uid="{00000000-0005-0000-0000-00009F4E0000}"/>
    <cellStyle name="Heading 1 29" xfId="2755" xr:uid="{00000000-0005-0000-0000-0000A04E0000}"/>
    <cellStyle name="Heading 1 3" xfId="2756" xr:uid="{00000000-0005-0000-0000-0000A14E0000}"/>
    <cellStyle name="Heading 1 3 2" xfId="24105" xr:uid="{00000000-0005-0000-0000-0000A24E0000}"/>
    <cellStyle name="Heading 1 30" xfId="2757" xr:uid="{00000000-0005-0000-0000-0000A34E0000}"/>
    <cellStyle name="Heading 1 31" xfId="2758" xr:uid="{00000000-0005-0000-0000-0000A44E0000}"/>
    <cellStyle name="Heading 1 32" xfId="2759" xr:uid="{00000000-0005-0000-0000-0000A54E0000}"/>
    <cellStyle name="Heading 1 33" xfId="2760" xr:uid="{00000000-0005-0000-0000-0000A64E0000}"/>
    <cellStyle name="Heading 1 34" xfId="2761" xr:uid="{00000000-0005-0000-0000-0000A74E0000}"/>
    <cellStyle name="Heading 1 35" xfId="2762" xr:uid="{00000000-0005-0000-0000-0000A84E0000}"/>
    <cellStyle name="Heading 1 36" xfId="2763" xr:uid="{00000000-0005-0000-0000-0000A94E0000}"/>
    <cellStyle name="Heading 1 37" xfId="2764" xr:uid="{00000000-0005-0000-0000-0000AA4E0000}"/>
    <cellStyle name="Heading 1 38" xfId="2765" xr:uid="{00000000-0005-0000-0000-0000AB4E0000}"/>
    <cellStyle name="Heading 1 39" xfId="2766" xr:uid="{00000000-0005-0000-0000-0000AC4E0000}"/>
    <cellStyle name="Heading 1 4" xfId="2767" xr:uid="{00000000-0005-0000-0000-0000AD4E0000}"/>
    <cellStyle name="Heading 1 4 2" xfId="24106" xr:uid="{00000000-0005-0000-0000-0000AE4E0000}"/>
    <cellStyle name="Heading 1 40" xfId="2768" xr:uid="{00000000-0005-0000-0000-0000AF4E0000}"/>
    <cellStyle name="Heading 1 41" xfId="2769" xr:uid="{00000000-0005-0000-0000-0000B04E0000}"/>
    <cellStyle name="Heading 1 42" xfId="2770" xr:uid="{00000000-0005-0000-0000-0000B14E0000}"/>
    <cellStyle name="Heading 1 43" xfId="2771" xr:uid="{00000000-0005-0000-0000-0000B24E0000}"/>
    <cellStyle name="Heading 1 44" xfId="2772" xr:uid="{00000000-0005-0000-0000-0000B34E0000}"/>
    <cellStyle name="Heading 1 45" xfId="2773" xr:uid="{00000000-0005-0000-0000-0000B44E0000}"/>
    <cellStyle name="Heading 1 46" xfId="2774" xr:uid="{00000000-0005-0000-0000-0000B54E0000}"/>
    <cellStyle name="Heading 1 47" xfId="2775" xr:uid="{00000000-0005-0000-0000-0000B64E0000}"/>
    <cellStyle name="Heading 1 48" xfId="2776" xr:uid="{00000000-0005-0000-0000-0000B74E0000}"/>
    <cellStyle name="Heading 1 49" xfId="2777" xr:uid="{00000000-0005-0000-0000-0000B84E0000}"/>
    <cellStyle name="Heading 1 5" xfId="2778" xr:uid="{00000000-0005-0000-0000-0000B94E0000}"/>
    <cellStyle name="Heading 1 50" xfId="2779" xr:uid="{00000000-0005-0000-0000-0000BA4E0000}"/>
    <cellStyle name="Heading 1 51" xfId="2780" xr:uid="{00000000-0005-0000-0000-0000BB4E0000}"/>
    <cellStyle name="Heading 1 52" xfId="2781" xr:uid="{00000000-0005-0000-0000-0000BC4E0000}"/>
    <cellStyle name="Heading 1 53" xfId="2782" xr:uid="{00000000-0005-0000-0000-0000BD4E0000}"/>
    <cellStyle name="Heading 1 54" xfId="2783" xr:uid="{00000000-0005-0000-0000-0000BE4E0000}"/>
    <cellStyle name="Heading 1 55" xfId="2784" xr:uid="{00000000-0005-0000-0000-0000BF4E0000}"/>
    <cellStyle name="Heading 1 56" xfId="2785" xr:uid="{00000000-0005-0000-0000-0000C04E0000}"/>
    <cellStyle name="Heading 1 57" xfId="2786" xr:uid="{00000000-0005-0000-0000-0000C14E0000}"/>
    <cellStyle name="Heading 1 58" xfId="2787" xr:uid="{00000000-0005-0000-0000-0000C24E0000}"/>
    <cellStyle name="Heading 1 59" xfId="2788" xr:uid="{00000000-0005-0000-0000-0000C34E0000}"/>
    <cellStyle name="Heading 1 6" xfId="2789" xr:uid="{00000000-0005-0000-0000-0000C44E0000}"/>
    <cellStyle name="Heading 1 60" xfId="2790" xr:uid="{00000000-0005-0000-0000-0000C54E0000}"/>
    <cellStyle name="Heading 1 61" xfId="2791" xr:uid="{00000000-0005-0000-0000-0000C64E0000}"/>
    <cellStyle name="Heading 1 62" xfId="2792" xr:uid="{00000000-0005-0000-0000-0000C74E0000}"/>
    <cellStyle name="Heading 1 63" xfId="2793" xr:uid="{00000000-0005-0000-0000-0000C84E0000}"/>
    <cellStyle name="Heading 1 64" xfId="2794" xr:uid="{00000000-0005-0000-0000-0000C94E0000}"/>
    <cellStyle name="Heading 1 65" xfId="2795" xr:uid="{00000000-0005-0000-0000-0000CA4E0000}"/>
    <cellStyle name="Heading 1 66" xfId="2796" xr:uid="{00000000-0005-0000-0000-0000CB4E0000}"/>
    <cellStyle name="Heading 1 67" xfId="2797" xr:uid="{00000000-0005-0000-0000-0000CC4E0000}"/>
    <cellStyle name="Heading 1 68" xfId="2798" xr:uid="{00000000-0005-0000-0000-0000CD4E0000}"/>
    <cellStyle name="Heading 1 69" xfId="2799" xr:uid="{00000000-0005-0000-0000-0000CE4E0000}"/>
    <cellStyle name="Heading 1 7" xfId="2800" xr:uid="{00000000-0005-0000-0000-0000CF4E0000}"/>
    <cellStyle name="Heading 1 70" xfId="2801" xr:uid="{00000000-0005-0000-0000-0000D04E0000}"/>
    <cellStyle name="Heading 1 71" xfId="2802" xr:uid="{00000000-0005-0000-0000-0000D14E0000}"/>
    <cellStyle name="Heading 1 72" xfId="2803" xr:uid="{00000000-0005-0000-0000-0000D24E0000}"/>
    <cellStyle name="Heading 1 73" xfId="23920" xr:uid="{00000000-0005-0000-0000-0000D34E0000}"/>
    <cellStyle name="Heading 1 8" xfId="2804" xr:uid="{00000000-0005-0000-0000-0000D44E0000}"/>
    <cellStyle name="Heading 1 9" xfId="2805" xr:uid="{00000000-0005-0000-0000-0000D54E0000}"/>
    <cellStyle name="Heading 2 10" xfId="2806" xr:uid="{00000000-0005-0000-0000-0000D64E0000}"/>
    <cellStyle name="Heading 2 11" xfId="2807" xr:uid="{00000000-0005-0000-0000-0000D74E0000}"/>
    <cellStyle name="Heading 2 12" xfId="2808" xr:uid="{00000000-0005-0000-0000-0000D84E0000}"/>
    <cellStyle name="Heading 2 13" xfId="2809" xr:uid="{00000000-0005-0000-0000-0000D94E0000}"/>
    <cellStyle name="Heading 2 14" xfId="2810" xr:uid="{00000000-0005-0000-0000-0000DA4E0000}"/>
    <cellStyle name="Heading 2 15" xfId="2811" xr:uid="{00000000-0005-0000-0000-0000DB4E0000}"/>
    <cellStyle name="Heading 2 16" xfId="2812" xr:uid="{00000000-0005-0000-0000-0000DC4E0000}"/>
    <cellStyle name="Heading 2 17" xfId="2813" xr:uid="{00000000-0005-0000-0000-0000DD4E0000}"/>
    <cellStyle name="Heading 2 18" xfId="2814" xr:uid="{00000000-0005-0000-0000-0000DE4E0000}"/>
    <cellStyle name="Heading 2 19" xfId="2815" xr:uid="{00000000-0005-0000-0000-0000DF4E0000}"/>
    <cellStyle name="Heading 2 2" xfId="43" xr:uid="{00000000-0005-0000-0000-0000E04E0000}"/>
    <cellStyle name="Heading 2 2 2" xfId="2816" xr:uid="{00000000-0005-0000-0000-0000E14E0000}"/>
    <cellStyle name="Heading 2 2 2 2" xfId="24108" xr:uid="{00000000-0005-0000-0000-0000E24E0000}"/>
    <cellStyle name="Heading 2 2 3" xfId="13609" xr:uid="{00000000-0005-0000-0000-0000E34E0000}"/>
    <cellStyle name="Heading 2 2 4" xfId="24107" xr:uid="{00000000-0005-0000-0000-0000E44E0000}"/>
    <cellStyle name="Heading 2 20" xfId="2817" xr:uid="{00000000-0005-0000-0000-0000E54E0000}"/>
    <cellStyle name="Heading 2 21" xfId="2818" xr:uid="{00000000-0005-0000-0000-0000E64E0000}"/>
    <cellStyle name="Heading 2 22" xfId="2819" xr:uid="{00000000-0005-0000-0000-0000E74E0000}"/>
    <cellStyle name="Heading 2 23" xfId="2820" xr:uid="{00000000-0005-0000-0000-0000E84E0000}"/>
    <cellStyle name="Heading 2 24" xfId="2821" xr:uid="{00000000-0005-0000-0000-0000E94E0000}"/>
    <cellStyle name="Heading 2 25" xfId="2822" xr:uid="{00000000-0005-0000-0000-0000EA4E0000}"/>
    <cellStyle name="Heading 2 26" xfId="2823" xr:uid="{00000000-0005-0000-0000-0000EB4E0000}"/>
    <cellStyle name="Heading 2 27" xfId="2824" xr:uid="{00000000-0005-0000-0000-0000EC4E0000}"/>
    <cellStyle name="Heading 2 28" xfId="2825" xr:uid="{00000000-0005-0000-0000-0000ED4E0000}"/>
    <cellStyle name="Heading 2 29" xfId="2826" xr:uid="{00000000-0005-0000-0000-0000EE4E0000}"/>
    <cellStyle name="Heading 2 3" xfId="2827" xr:uid="{00000000-0005-0000-0000-0000EF4E0000}"/>
    <cellStyle name="Heading 2 3 2" xfId="24109" xr:uid="{00000000-0005-0000-0000-0000F04E0000}"/>
    <cellStyle name="Heading 2 30" xfId="2828" xr:uid="{00000000-0005-0000-0000-0000F14E0000}"/>
    <cellStyle name="Heading 2 31" xfId="2829" xr:uid="{00000000-0005-0000-0000-0000F24E0000}"/>
    <cellStyle name="Heading 2 32" xfId="2830" xr:uid="{00000000-0005-0000-0000-0000F34E0000}"/>
    <cellStyle name="Heading 2 33" xfId="2831" xr:uid="{00000000-0005-0000-0000-0000F44E0000}"/>
    <cellStyle name="Heading 2 34" xfId="2832" xr:uid="{00000000-0005-0000-0000-0000F54E0000}"/>
    <cellStyle name="Heading 2 35" xfId="2833" xr:uid="{00000000-0005-0000-0000-0000F64E0000}"/>
    <cellStyle name="Heading 2 36" xfId="2834" xr:uid="{00000000-0005-0000-0000-0000F74E0000}"/>
    <cellStyle name="Heading 2 37" xfId="2835" xr:uid="{00000000-0005-0000-0000-0000F84E0000}"/>
    <cellStyle name="Heading 2 38" xfId="2836" xr:uid="{00000000-0005-0000-0000-0000F94E0000}"/>
    <cellStyle name="Heading 2 39" xfId="2837" xr:uid="{00000000-0005-0000-0000-0000FA4E0000}"/>
    <cellStyle name="Heading 2 4" xfId="2838" xr:uid="{00000000-0005-0000-0000-0000FB4E0000}"/>
    <cellStyle name="Heading 2 4 2" xfId="24110" xr:uid="{00000000-0005-0000-0000-0000FC4E0000}"/>
    <cellStyle name="Heading 2 40" xfId="2839" xr:uid="{00000000-0005-0000-0000-0000FD4E0000}"/>
    <cellStyle name="Heading 2 41" xfId="2840" xr:uid="{00000000-0005-0000-0000-0000FE4E0000}"/>
    <cellStyle name="Heading 2 42" xfId="2841" xr:uid="{00000000-0005-0000-0000-0000FF4E0000}"/>
    <cellStyle name="Heading 2 43" xfId="2842" xr:uid="{00000000-0005-0000-0000-0000004F0000}"/>
    <cellStyle name="Heading 2 44" xfId="2843" xr:uid="{00000000-0005-0000-0000-0000014F0000}"/>
    <cellStyle name="Heading 2 45" xfId="2844" xr:uid="{00000000-0005-0000-0000-0000024F0000}"/>
    <cellStyle name="Heading 2 46" xfId="2845" xr:uid="{00000000-0005-0000-0000-0000034F0000}"/>
    <cellStyle name="Heading 2 47" xfId="2846" xr:uid="{00000000-0005-0000-0000-0000044F0000}"/>
    <cellStyle name="Heading 2 48" xfId="2847" xr:uid="{00000000-0005-0000-0000-0000054F0000}"/>
    <cellStyle name="Heading 2 49" xfId="2848" xr:uid="{00000000-0005-0000-0000-0000064F0000}"/>
    <cellStyle name="Heading 2 5" xfId="2849" xr:uid="{00000000-0005-0000-0000-0000074F0000}"/>
    <cellStyle name="Heading 2 50" xfId="2850" xr:uid="{00000000-0005-0000-0000-0000084F0000}"/>
    <cellStyle name="Heading 2 51" xfId="2851" xr:uid="{00000000-0005-0000-0000-0000094F0000}"/>
    <cellStyle name="Heading 2 52" xfId="2852" xr:uid="{00000000-0005-0000-0000-00000A4F0000}"/>
    <cellStyle name="Heading 2 53" xfId="2853" xr:uid="{00000000-0005-0000-0000-00000B4F0000}"/>
    <cellStyle name="Heading 2 54" xfId="2854" xr:uid="{00000000-0005-0000-0000-00000C4F0000}"/>
    <cellStyle name="Heading 2 55" xfId="2855" xr:uid="{00000000-0005-0000-0000-00000D4F0000}"/>
    <cellStyle name="Heading 2 56" xfId="2856" xr:uid="{00000000-0005-0000-0000-00000E4F0000}"/>
    <cellStyle name="Heading 2 57" xfId="2857" xr:uid="{00000000-0005-0000-0000-00000F4F0000}"/>
    <cellStyle name="Heading 2 58" xfId="2858" xr:uid="{00000000-0005-0000-0000-0000104F0000}"/>
    <cellStyle name="Heading 2 59" xfId="2859" xr:uid="{00000000-0005-0000-0000-0000114F0000}"/>
    <cellStyle name="Heading 2 6" xfId="2860" xr:uid="{00000000-0005-0000-0000-0000124F0000}"/>
    <cellStyle name="Heading 2 60" xfId="2861" xr:uid="{00000000-0005-0000-0000-0000134F0000}"/>
    <cellStyle name="Heading 2 61" xfId="2862" xr:uid="{00000000-0005-0000-0000-0000144F0000}"/>
    <cellStyle name="Heading 2 62" xfId="2863" xr:uid="{00000000-0005-0000-0000-0000154F0000}"/>
    <cellStyle name="Heading 2 63" xfId="2864" xr:uid="{00000000-0005-0000-0000-0000164F0000}"/>
    <cellStyle name="Heading 2 64" xfId="2865" xr:uid="{00000000-0005-0000-0000-0000174F0000}"/>
    <cellStyle name="Heading 2 65" xfId="2866" xr:uid="{00000000-0005-0000-0000-0000184F0000}"/>
    <cellStyle name="Heading 2 66" xfId="2867" xr:uid="{00000000-0005-0000-0000-0000194F0000}"/>
    <cellStyle name="Heading 2 67" xfId="2868" xr:uid="{00000000-0005-0000-0000-00001A4F0000}"/>
    <cellStyle name="Heading 2 68" xfId="2869" xr:uid="{00000000-0005-0000-0000-00001B4F0000}"/>
    <cellStyle name="Heading 2 69" xfId="2870" xr:uid="{00000000-0005-0000-0000-00001C4F0000}"/>
    <cellStyle name="Heading 2 7" xfId="2871" xr:uid="{00000000-0005-0000-0000-00001D4F0000}"/>
    <cellStyle name="Heading 2 70" xfId="2872" xr:uid="{00000000-0005-0000-0000-00001E4F0000}"/>
    <cellStyle name="Heading 2 71" xfId="2873" xr:uid="{00000000-0005-0000-0000-00001F4F0000}"/>
    <cellStyle name="Heading 2 72" xfId="2874" xr:uid="{00000000-0005-0000-0000-0000204F0000}"/>
    <cellStyle name="Heading 2 73" xfId="23921" xr:uid="{00000000-0005-0000-0000-0000214F0000}"/>
    <cellStyle name="Heading 2 8" xfId="2875" xr:uid="{00000000-0005-0000-0000-0000224F0000}"/>
    <cellStyle name="Heading 2 9" xfId="2876" xr:uid="{00000000-0005-0000-0000-0000234F0000}"/>
    <cellStyle name="Heading 3 10" xfId="2877" xr:uid="{00000000-0005-0000-0000-0000244F0000}"/>
    <cellStyle name="Heading 3 11" xfId="2878" xr:uid="{00000000-0005-0000-0000-0000254F0000}"/>
    <cellStyle name="Heading 3 12" xfId="2879" xr:uid="{00000000-0005-0000-0000-0000264F0000}"/>
    <cellStyle name="Heading 3 13" xfId="2880" xr:uid="{00000000-0005-0000-0000-0000274F0000}"/>
    <cellStyle name="Heading 3 14" xfId="2881" xr:uid="{00000000-0005-0000-0000-0000284F0000}"/>
    <cellStyle name="Heading 3 15" xfId="2882" xr:uid="{00000000-0005-0000-0000-0000294F0000}"/>
    <cellStyle name="Heading 3 16" xfId="2883" xr:uid="{00000000-0005-0000-0000-00002A4F0000}"/>
    <cellStyle name="Heading 3 17" xfId="2884" xr:uid="{00000000-0005-0000-0000-00002B4F0000}"/>
    <cellStyle name="Heading 3 18" xfId="2885" xr:uid="{00000000-0005-0000-0000-00002C4F0000}"/>
    <cellStyle name="Heading 3 19" xfId="2886" xr:uid="{00000000-0005-0000-0000-00002D4F0000}"/>
    <cellStyle name="Heading 3 2" xfId="2887" xr:uid="{00000000-0005-0000-0000-00002E4F0000}"/>
    <cellStyle name="Heading 3 2 2" xfId="24112" xr:uid="{00000000-0005-0000-0000-00002F4F0000}"/>
    <cellStyle name="Heading 3 2 3" xfId="24111" xr:uid="{00000000-0005-0000-0000-0000304F0000}"/>
    <cellStyle name="Heading 3 20" xfId="2888" xr:uid="{00000000-0005-0000-0000-0000314F0000}"/>
    <cellStyle name="Heading 3 21" xfId="2889" xr:uid="{00000000-0005-0000-0000-0000324F0000}"/>
    <cellStyle name="Heading 3 22" xfId="2890" xr:uid="{00000000-0005-0000-0000-0000334F0000}"/>
    <cellStyle name="Heading 3 23" xfId="2891" xr:uid="{00000000-0005-0000-0000-0000344F0000}"/>
    <cellStyle name="Heading 3 24" xfId="2892" xr:uid="{00000000-0005-0000-0000-0000354F0000}"/>
    <cellStyle name="Heading 3 25" xfId="2893" xr:uid="{00000000-0005-0000-0000-0000364F0000}"/>
    <cellStyle name="Heading 3 26" xfId="2894" xr:uid="{00000000-0005-0000-0000-0000374F0000}"/>
    <cellStyle name="Heading 3 27" xfId="2895" xr:uid="{00000000-0005-0000-0000-0000384F0000}"/>
    <cellStyle name="Heading 3 28" xfId="2896" xr:uid="{00000000-0005-0000-0000-0000394F0000}"/>
    <cellStyle name="Heading 3 29" xfId="2897" xr:uid="{00000000-0005-0000-0000-00003A4F0000}"/>
    <cellStyle name="Heading 3 3" xfId="2898" xr:uid="{00000000-0005-0000-0000-00003B4F0000}"/>
    <cellStyle name="Heading 3 3 2" xfId="24113" xr:uid="{00000000-0005-0000-0000-00003C4F0000}"/>
    <cellStyle name="Heading 3 30" xfId="2899" xr:uid="{00000000-0005-0000-0000-00003D4F0000}"/>
    <cellStyle name="Heading 3 31" xfId="2900" xr:uid="{00000000-0005-0000-0000-00003E4F0000}"/>
    <cellStyle name="Heading 3 32" xfId="2901" xr:uid="{00000000-0005-0000-0000-00003F4F0000}"/>
    <cellStyle name="Heading 3 33" xfId="2902" xr:uid="{00000000-0005-0000-0000-0000404F0000}"/>
    <cellStyle name="Heading 3 34" xfId="2903" xr:uid="{00000000-0005-0000-0000-0000414F0000}"/>
    <cellStyle name="Heading 3 35" xfId="2904" xr:uid="{00000000-0005-0000-0000-0000424F0000}"/>
    <cellStyle name="Heading 3 36" xfId="2905" xr:uid="{00000000-0005-0000-0000-0000434F0000}"/>
    <cellStyle name="Heading 3 37" xfId="2906" xr:uid="{00000000-0005-0000-0000-0000444F0000}"/>
    <cellStyle name="Heading 3 38" xfId="2907" xr:uid="{00000000-0005-0000-0000-0000454F0000}"/>
    <cellStyle name="Heading 3 39" xfId="2908" xr:uid="{00000000-0005-0000-0000-0000464F0000}"/>
    <cellStyle name="Heading 3 4" xfId="2909" xr:uid="{00000000-0005-0000-0000-0000474F0000}"/>
    <cellStyle name="Heading 3 4 2" xfId="24114" xr:uid="{00000000-0005-0000-0000-0000484F0000}"/>
    <cellStyle name="Heading 3 40" xfId="2910" xr:uid="{00000000-0005-0000-0000-0000494F0000}"/>
    <cellStyle name="Heading 3 41" xfId="2911" xr:uid="{00000000-0005-0000-0000-00004A4F0000}"/>
    <cellStyle name="Heading 3 42" xfId="2912" xr:uid="{00000000-0005-0000-0000-00004B4F0000}"/>
    <cellStyle name="Heading 3 43" xfId="2913" xr:uid="{00000000-0005-0000-0000-00004C4F0000}"/>
    <cellStyle name="Heading 3 44" xfId="2914" xr:uid="{00000000-0005-0000-0000-00004D4F0000}"/>
    <cellStyle name="Heading 3 45" xfId="2915" xr:uid="{00000000-0005-0000-0000-00004E4F0000}"/>
    <cellStyle name="Heading 3 46" xfId="2916" xr:uid="{00000000-0005-0000-0000-00004F4F0000}"/>
    <cellStyle name="Heading 3 47" xfId="2917" xr:uid="{00000000-0005-0000-0000-0000504F0000}"/>
    <cellStyle name="Heading 3 48" xfId="2918" xr:uid="{00000000-0005-0000-0000-0000514F0000}"/>
    <cellStyle name="Heading 3 49" xfId="2919" xr:uid="{00000000-0005-0000-0000-0000524F0000}"/>
    <cellStyle name="Heading 3 5" xfId="2920" xr:uid="{00000000-0005-0000-0000-0000534F0000}"/>
    <cellStyle name="Heading 3 50" xfId="2921" xr:uid="{00000000-0005-0000-0000-0000544F0000}"/>
    <cellStyle name="Heading 3 51" xfId="2922" xr:uid="{00000000-0005-0000-0000-0000554F0000}"/>
    <cellStyle name="Heading 3 52" xfId="2923" xr:uid="{00000000-0005-0000-0000-0000564F0000}"/>
    <cellStyle name="Heading 3 53" xfId="2924" xr:uid="{00000000-0005-0000-0000-0000574F0000}"/>
    <cellStyle name="Heading 3 54" xfId="2925" xr:uid="{00000000-0005-0000-0000-0000584F0000}"/>
    <cellStyle name="Heading 3 55" xfId="2926" xr:uid="{00000000-0005-0000-0000-0000594F0000}"/>
    <cellStyle name="Heading 3 56" xfId="2927" xr:uid="{00000000-0005-0000-0000-00005A4F0000}"/>
    <cellStyle name="Heading 3 57" xfId="2928" xr:uid="{00000000-0005-0000-0000-00005B4F0000}"/>
    <cellStyle name="Heading 3 58" xfId="2929" xr:uid="{00000000-0005-0000-0000-00005C4F0000}"/>
    <cellStyle name="Heading 3 59" xfId="2930" xr:uid="{00000000-0005-0000-0000-00005D4F0000}"/>
    <cellStyle name="Heading 3 6" xfId="2931" xr:uid="{00000000-0005-0000-0000-00005E4F0000}"/>
    <cellStyle name="Heading 3 60" xfId="2932" xr:uid="{00000000-0005-0000-0000-00005F4F0000}"/>
    <cellStyle name="Heading 3 61" xfId="2933" xr:uid="{00000000-0005-0000-0000-0000604F0000}"/>
    <cellStyle name="Heading 3 62" xfId="2934" xr:uid="{00000000-0005-0000-0000-0000614F0000}"/>
    <cellStyle name="Heading 3 63" xfId="2935" xr:uid="{00000000-0005-0000-0000-0000624F0000}"/>
    <cellStyle name="Heading 3 64" xfId="2936" xr:uid="{00000000-0005-0000-0000-0000634F0000}"/>
    <cellStyle name="Heading 3 65" xfId="2937" xr:uid="{00000000-0005-0000-0000-0000644F0000}"/>
    <cellStyle name="Heading 3 66" xfId="2938" xr:uid="{00000000-0005-0000-0000-0000654F0000}"/>
    <cellStyle name="Heading 3 67" xfId="2939" xr:uid="{00000000-0005-0000-0000-0000664F0000}"/>
    <cellStyle name="Heading 3 68" xfId="2940" xr:uid="{00000000-0005-0000-0000-0000674F0000}"/>
    <cellStyle name="Heading 3 69" xfId="2941" xr:uid="{00000000-0005-0000-0000-0000684F0000}"/>
    <cellStyle name="Heading 3 7" xfId="2942" xr:uid="{00000000-0005-0000-0000-0000694F0000}"/>
    <cellStyle name="Heading 3 70" xfId="2943" xr:uid="{00000000-0005-0000-0000-00006A4F0000}"/>
    <cellStyle name="Heading 3 71" xfId="2944" xr:uid="{00000000-0005-0000-0000-00006B4F0000}"/>
    <cellStyle name="Heading 3 72" xfId="2945" xr:uid="{00000000-0005-0000-0000-00006C4F0000}"/>
    <cellStyle name="Heading 3 8" xfId="2946" xr:uid="{00000000-0005-0000-0000-00006D4F0000}"/>
    <cellStyle name="Heading 3 9" xfId="2947" xr:uid="{00000000-0005-0000-0000-00006E4F0000}"/>
    <cellStyle name="Heading 4 10" xfId="2948" xr:uid="{00000000-0005-0000-0000-00006F4F0000}"/>
    <cellStyle name="Heading 4 11" xfId="2949" xr:uid="{00000000-0005-0000-0000-0000704F0000}"/>
    <cellStyle name="Heading 4 12" xfId="2950" xr:uid="{00000000-0005-0000-0000-0000714F0000}"/>
    <cellStyle name="Heading 4 13" xfId="2951" xr:uid="{00000000-0005-0000-0000-0000724F0000}"/>
    <cellStyle name="Heading 4 14" xfId="2952" xr:uid="{00000000-0005-0000-0000-0000734F0000}"/>
    <cellStyle name="Heading 4 15" xfId="2953" xr:uid="{00000000-0005-0000-0000-0000744F0000}"/>
    <cellStyle name="Heading 4 16" xfId="2954" xr:uid="{00000000-0005-0000-0000-0000754F0000}"/>
    <cellStyle name="Heading 4 17" xfId="2955" xr:uid="{00000000-0005-0000-0000-0000764F0000}"/>
    <cellStyle name="Heading 4 18" xfId="2956" xr:uid="{00000000-0005-0000-0000-0000774F0000}"/>
    <cellStyle name="Heading 4 19" xfId="2957" xr:uid="{00000000-0005-0000-0000-0000784F0000}"/>
    <cellStyle name="Heading 4 2" xfId="2958" xr:uid="{00000000-0005-0000-0000-0000794F0000}"/>
    <cellStyle name="Heading 4 2 2" xfId="24116" xr:uid="{00000000-0005-0000-0000-00007A4F0000}"/>
    <cellStyle name="Heading 4 2 3" xfId="24115" xr:uid="{00000000-0005-0000-0000-00007B4F0000}"/>
    <cellStyle name="Heading 4 20" xfId="2959" xr:uid="{00000000-0005-0000-0000-00007C4F0000}"/>
    <cellStyle name="Heading 4 21" xfId="2960" xr:uid="{00000000-0005-0000-0000-00007D4F0000}"/>
    <cellStyle name="Heading 4 22" xfId="2961" xr:uid="{00000000-0005-0000-0000-00007E4F0000}"/>
    <cellStyle name="Heading 4 23" xfId="2962" xr:uid="{00000000-0005-0000-0000-00007F4F0000}"/>
    <cellStyle name="Heading 4 24" xfId="2963" xr:uid="{00000000-0005-0000-0000-0000804F0000}"/>
    <cellStyle name="Heading 4 25" xfId="2964" xr:uid="{00000000-0005-0000-0000-0000814F0000}"/>
    <cellStyle name="Heading 4 26" xfId="2965" xr:uid="{00000000-0005-0000-0000-0000824F0000}"/>
    <cellStyle name="Heading 4 27" xfId="2966" xr:uid="{00000000-0005-0000-0000-0000834F0000}"/>
    <cellStyle name="Heading 4 28" xfId="2967" xr:uid="{00000000-0005-0000-0000-0000844F0000}"/>
    <cellStyle name="Heading 4 29" xfId="2968" xr:uid="{00000000-0005-0000-0000-0000854F0000}"/>
    <cellStyle name="Heading 4 3" xfId="2969" xr:uid="{00000000-0005-0000-0000-0000864F0000}"/>
    <cellStyle name="Heading 4 3 2" xfId="24117" xr:uid="{00000000-0005-0000-0000-0000874F0000}"/>
    <cellStyle name="Heading 4 30" xfId="2970" xr:uid="{00000000-0005-0000-0000-0000884F0000}"/>
    <cellStyle name="Heading 4 31" xfId="2971" xr:uid="{00000000-0005-0000-0000-0000894F0000}"/>
    <cellStyle name="Heading 4 32" xfId="2972" xr:uid="{00000000-0005-0000-0000-00008A4F0000}"/>
    <cellStyle name="Heading 4 33" xfId="2973" xr:uid="{00000000-0005-0000-0000-00008B4F0000}"/>
    <cellStyle name="Heading 4 34" xfId="2974" xr:uid="{00000000-0005-0000-0000-00008C4F0000}"/>
    <cellStyle name="Heading 4 35" xfId="2975" xr:uid="{00000000-0005-0000-0000-00008D4F0000}"/>
    <cellStyle name="Heading 4 36" xfId="2976" xr:uid="{00000000-0005-0000-0000-00008E4F0000}"/>
    <cellStyle name="Heading 4 37" xfId="2977" xr:uid="{00000000-0005-0000-0000-00008F4F0000}"/>
    <cellStyle name="Heading 4 38" xfId="2978" xr:uid="{00000000-0005-0000-0000-0000904F0000}"/>
    <cellStyle name="Heading 4 39" xfId="2979" xr:uid="{00000000-0005-0000-0000-0000914F0000}"/>
    <cellStyle name="Heading 4 4" xfId="2980" xr:uid="{00000000-0005-0000-0000-0000924F0000}"/>
    <cellStyle name="Heading 4 4 2" xfId="24118" xr:uid="{00000000-0005-0000-0000-0000934F0000}"/>
    <cellStyle name="Heading 4 40" xfId="2981" xr:uid="{00000000-0005-0000-0000-0000944F0000}"/>
    <cellStyle name="Heading 4 41" xfId="2982" xr:uid="{00000000-0005-0000-0000-0000954F0000}"/>
    <cellStyle name="Heading 4 42" xfId="2983" xr:uid="{00000000-0005-0000-0000-0000964F0000}"/>
    <cellStyle name="Heading 4 43" xfId="2984" xr:uid="{00000000-0005-0000-0000-0000974F0000}"/>
    <cellStyle name="Heading 4 44" xfId="2985" xr:uid="{00000000-0005-0000-0000-0000984F0000}"/>
    <cellStyle name="Heading 4 45" xfId="2986" xr:uid="{00000000-0005-0000-0000-0000994F0000}"/>
    <cellStyle name="Heading 4 46" xfId="2987" xr:uid="{00000000-0005-0000-0000-00009A4F0000}"/>
    <cellStyle name="Heading 4 47" xfId="2988" xr:uid="{00000000-0005-0000-0000-00009B4F0000}"/>
    <cellStyle name="Heading 4 48" xfId="2989" xr:uid="{00000000-0005-0000-0000-00009C4F0000}"/>
    <cellStyle name="Heading 4 49" xfId="2990" xr:uid="{00000000-0005-0000-0000-00009D4F0000}"/>
    <cellStyle name="Heading 4 5" xfId="2991" xr:uid="{00000000-0005-0000-0000-00009E4F0000}"/>
    <cellStyle name="Heading 4 50" xfId="2992" xr:uid="{00000000-0005-0000-0000-00009F4F0000}"/>
    <cellStyle name="Heading 4 51" xfId="2993" xr:uid="{00000000-0005-0000-0000-0000A04F0000}"/>
    <cellStyle name="Heading 4 52" xfId="2994" xr:uid="{00000000-0005-0000-0000-0000A14F0000}"/>
    <cellStyle name="Heading 4 53" xfId="2995" xr:uid="{00000000-0005-0000-0000-0000A24F0000}"/>
    <cellStyle name="Heading 4 54" xfId="2996" xr:uid="{00000000-0005-0000-0000-0000A34F0000}"/>
    <cellStyle name="Heading 4 55" xfId="2997" xr:uid="{00000000-0005-0000-0000-0000A44F0000}"/>
    <cellStyle name="Heading 4 56" xfId="2998" xr:uid="{00000000-0005-0000-0000-0000A54F0000}"/>
    <cellStyle name="Heading 4 57" xfId="2999" xr:uid="{00000000-0005-0000-0000-0000A64F0000}"/>
    <cellStyle name="Heading 4 58" xfId="3000" xr:uid="{00000000-0005-0000-0000-0000A74F0000}"/>
    <cellStyle name="Heading 4 59" xfId="3001" xr:uid="{00000000-0005-0000-0000-0000A84F0000}"/>
    <cellStyle name="Heading 4 6" xfId="3002" xr:uid="{00000000-0005-0000-0000-0000A94F0000}"/>
    <cellStyle name="Heading 4 60" xfId="3003" xr:uid="{00000000-0005-0000-0000-0000AA4F0000}"/>
    <cellStyle name="Heading 4 61" xfId="3004" xr:uid="{00000000-0005-0000-0000-0000AB4F0000}"/>
    <cellStyle name="Heading 4 62" xfId="3005" xr:uid="{00000000-0005-0000-0000-0000AC4F0000}"/>
    <cellStyle name="Heading 4 63" xfId="3006" xr:uid="{00000000-0005-0000-0000-0000AD4F0000}"/>
    <cellStyle name="Heading 4 64" xfId="3007" xr:uid="{00000000-0005-0000-0000-0000AE4F0000}"/>
    <cellStyle name="Heading 4 65" xfId="3008" xr:uid="{00000000-0005-0000-0000-0000AF4F0000}"/>
    <cellStyle name="Heading 4 66" xfId="3009" xr:uid="{00000000-0005-0000-0000-0000B04F0000}"/>
    <cellStyle name="Heading 4 67" xfId="3010" xr:uid="{00000000-0005-0000-0000-0000B14F0000}"/>
    <cellStyle name="Heading 4 68" xfId="3011" xr:uid="{00000000-0005-0000-0000-0000B24F0000}"/>
    <cellStyle name="Heading 4 69" xfId="3012" xr:uid="{00000000-0005-0000-0000-0000B34F0000}"/>
    <cellStyle name="Heading 4 7" xfId="3013" xr:uid="{00000000-0005-0000-0000-0000B44F0000}"/>
    <cellStyle name="Heading 4 70" xfId="3014" xr:uid="{00000000-0005-0000-0000-0000B54F0000}"/>
    <cellStyle name="Heading 4 71" xfId="3015" xr:uid="{00000000-0005-0000-0000-0000B64F0000}"/>
    <cellStyle name="Heading 4 72" xfId="3016" xr:uid="{00000000-0005-0000-0000-0000B74F0000}"/>
    <cellStyle name="Heading 4 8" xfId="3017" xr:uid="{00000000-0005-0000-0000-0000B84F0000}"/>
    <cellStyle name="Heading 4 9" xfId="3018" xr:uid="{00000000-0005-0000-0000-0000B94F0000}"/>
    <cellStyle name="HEADING1" xfId="570" xr:uid="{00000000-0005-0000-0000-0000BA4F0000}"/>
    <cellStyle name="HEADING2" xfId="571" xr:uid="{00000000-0005-0000-0000-0000BB4F0000}"/>
    <cellStyle name="HEADING2 2" xfId="24119" xr:uid="{00000000-0005-0000-0000-0000BC4F0000}"/>
    <cellStyle name="Hyperlink" xfId="4620" builtinId="8" customBuiltin="1"/>
    <cellStyle name="Hyperlink 2" xfId="645" xr:uid="{00000000-0005-0000-0000-0000BE4F0000}"/>
    <cellStyle name="Hyperlink 2 2" xfId="3019" xr:uid="{00000000-0005-0000-0000-0000BF4F0000}"/>
    <cellStyle name="Hyperlink 3" xfId="3020" xr:uid="{00000000-0005-0000-0000-0000C04F0000}"/>
    <cellStyle name="Hyperlink 4" xfId="23892" xr:uid="{00000000-0005-0000-0000-0000C14F0000}"/>
    <cellStyle name="Input [yellow]" xfId="44" xr:uid="{00000000-0005-0000-0000-0000C24F0000}"/>
    <cellStyle name="Input [yellow] 2" xfId="24553" xr:uid="{00000000-0005-0000-0000-0000C34F0000}"/>
    <cellStyle name="Input 10" xfId="189" xr:uid="{00000000-0005-0000-0000-0000C44F0000}"/>
    <cellStyle name="Input 10 2" xfId="3021" xr:uid="{00000000-0005-0000-0000-0000C54F0000}"/>
    <cellStyle name="Input 10 3" xfId="13690" xr:uid="{00000000-0005-0000-0000-0000C64F0000}"/>
    <cellStyle name="Input 11" xfId="190" xr:uid="{00000000-0005-0000-0000-0000C74F0000}"/>
    <cellStyle name="Input 11 2" xfId="3022" xr:uid="{00000000-0005-0000-0000-0000C84F0000}"/>
    <cellStyle name="Input 11 3" xfId="13691" xr:uid="{00000000-0005-0000-0000-0000C94F0000}"/>
    <cellStyle name="Input 12" xfId="191" xr:uid="{00000000-0005-0000-0000-0000CA4F0000}"/>
    <cellStyle name="Input 12 2" xfId="3023" xr:uid="{00000000-0005-0000-0000-0000CB4F0000}"/>
    <cellStyle name="Input 12 3" xfId="13692" xr:uid="{00000000-0005-0000-0000-0000CC4F0000}"/>
    <cellStyle name="Input 13" xfId="192" xr:uid="{00000000-0005-0000-0000-0000CD4F0000}"/>
    <cellStyle name="Input 13 2" xfId="3024" xr:uid="{00000000-0005-0000-0000-0000CE4F0000}"/>
    <cellStyle name="Input 13 3" xfId="13693" xr:uid="{00000000-0005-0000-0000-0000CF4F0000}"/>
    <cellStyle name="Input 14" xfId="193" xr:uid="{00000000-0005-0000-0000-0000D04F0000}"/>
    <cellStyle name="Input 14 2" xfId="3025" xr:uid="{00000000-0005-0000-0000-0000D14F0000}"/>
    <cellStyle name="Input 14 3" xfId="13694" xr:uid="{00000000-0005-0000-0000-0000D24F0000}"/>
    <cellStyle name="Input 15" xfId="284" xr:uid="{00000000-0005-0000-0000-0000D34F0000}"/>
    <cellStyle name="Input 15 2" xfId="3026" xr:uid="{00000000-0005-0000-0000-0000D44F0000}"/>
    <cellStyle name="Input 15 3" xfId="13737" xr:uid="{00000000-0005-0000-0000-0000D54F0000}"/>
    <cellStyle name="Input 16" xfId="285" xr:uid="{00000000-0005-0000-0000-0000D64F0000}"/>
    <cellStyle name="Input 16 2" xfId="3027" xr:uid="{00000000-0005-0000-0000-0000D74F0000}"/>
    <cellStyle name="Input 16 3" xfId="13738" xr:uid="{00000000-0005-0000-0000-0000D84F0000}"/>
    <cellStyle name="Input 17" xfId="292" xr:uid="{00000000-0005-0000-0000-0000D94F0000}"/>
    <cellStyle name="Input 17 2" xfId="3028" xr:uid="{00000000-0005-0000-0000-0000DA4F0000}"/>
    <cellStyle name="Input 17 3" xfId="13739" xr:uid="{00000000-0005-0000-0000-0000DB4F0000}"/>
    <cellStyle name="Input 18" xfId="293" xr:uid="{00000000-0005-0000-0000-0000DC4F0000}"/>
    <cellStyle name="Input 18 2" xfId="3029" xr:uid="{00000000-0005-0000-0000-0000DD4F0000}"/>
    <cellStyle name="Input 18 3" xfId="13740" xr:uid="{00000000-0005-0000-0000-0000DE4F0000}"/>
    <cellStyle name="Input 19" xfId="294" xr:uid="{00000000-0005-0000-0000-0000DF4F0000}"/>
    <cellStyle name="Input 19 2" xfId="3030" xr:uid="{00000000-0005-0000-0000-0000E04F0000}"/>
    <cellStyle name="Input 19 3" xfId="13741" xr:uid="{00000000-0005-0000-0000-0000E14F0000}"/>
    <cellStyle name="Input 2" xfId="45" xr:uid="{00000000-0005-0000-0000-0000E24F0000}"/>
    <cellStyle name="Input 2 2" xfId="3031" xr:uid="{00000000-0005-0000-0000-0000E34F0000}"/>
    <cellStyle name="Input 2 2 2" xfId="24121" xr:uid="{00000000-0005-0000-0000-0000E44F0000}"/>
    <cellStyle name="Input 2 2 2 2" xfId="25560" xr:uid="{00000000-0005-0000-0000-0000E54F0000}"/>
    <cellStyle name="Input 2 2 3" xfId="24710" xr:uid="{00000000-0005-0000-0000-0000E64F0000}"/>
    <cellStyle name="Input 2 2 3 2" xfId="25356" xr:uid="{00000000-0005-0000-0000-0000E74F0000}"/>
    <cellStyle name="Input 2 2 3 3" xfId="25662" xr:uid="{00000000-0005-0000-0000-0000E84F0000}"/>
    <cellStyle name="Input 2 2 4" xfId="25028" xr:uid="{00000000-0005-0000-0000-0000E94F0000}"/>
    <cellStyle name="Input 2 2 4 2" xfId="25368" xr:uid="{00000000-0005-0000-0000-0000EA4F0000}"/>
    <cellStyle name="Input 2 2 4 3" xfId="25673" xr:uid="{00000000-0005-0000-0000-0000EB4F0000}"/>
    <cellStyle name="Input 2 3" xfId="13610" xr:uid="{00000000-0005-0000-0000-0000EC4F0000}"/>
    <cellStyle name="Input 2 4" xfId="24120" xr:uid="{00000000-0005-0000-0000-0000ED4F0000}"/>
    <cellStyle name="Input 2 4 2" xfId="25559" xr:uid="{00000000-0005-0000-0000-0000EE4F0000}"/>
    <cellStyle name="Input 2 5" xfId="24709" xr:uid="{00000000-0005-0000-0000-0000EF4F0000}"/>
    <cellStyle name="Input 2 5 2" xfId="25439" xr:uid="{00000000-0005-0000-0000-0000F04F0000}"/>
    <cellStyle name="Input 2 5 3" xfId="25661" xr:uid="{00000000-0005-0000-0000-0000F14F0000}"/>
    <cellStyle name="Input 2 6" xfId="25027" xr:uid="{00000000-0005-0000-0000-0000F24F0000}"/>
    <cellStyle name="Input 2 6 2" xfId="25285" xr:uid="{00000000-0005-0000-0000-0000F34F0000}"/>
    <cellStyle name="Input 2 6 3" xfId="25672" xr:uid="{00000000-0005-0000-0000-0000F44F0000}"/>
    <cellStyle name="Input 20" xfId="295" xr:uid="{00000000-0005-0000-0000-0000F54F0000}"/>
    <cellStyle name="Input 20 2" xfId="3032" xr:uid="{00000000-0005-0000-0000-0000F64F0000}"/>
    <cellStyle name="Input 20 3" xfId="13742" xr:uid="{00000000-0005-0000-0000-0000F74F0000}"/>
    <cellStyle name="Input 21" xfId="302" xr:uid="{00000000-0005-0000-0000-0000F84F0000}"/>
    <cellStyle name="Input 21 2" xfId="3033" xr:uid="{00000000-0005-0000-0000-0000F94F0000}"/>
    <cellStyle name="Input 21 3" xfId="13743" xr:uid="{00000000-0005-0000-0000-0000FA4F0000}"/>
    <cellStyle name="Input 22" xfId="303" xr:uid="{00000000-0005-0000-0000-0000FB4F0000}"/>
    <cellStyle name="Input 22 2" xfId="3034" xr:uid="{00000000-0005-0000-0000-0000FC4F0000}"/>
    <cellStyle name="Input 22 3" xfId="13744" xr:uid="{00000000-0005-0000-0000-0000FD4F0000}"/>
    <cellStyle name="Input 23" xfId="316" xr:uid="{00000000-0005-0000-0000-0000FE4F0000}"/>
    <cellStyle name="Input 23 2" xfId="3035" xr:uid="{00000000-0005-0000-0000-0000FF4F0000}"/>
    <cellStyle name="Input 23 3" xfId="13747" xr:uid="{00000000-0005-0000-0000-000000500000}"/>
    <cellStyle name="Input 24" xfId="317" xr:uid="{00000000-0005-0000-0000-000001500000}"/>
    <cellStyle name="Input 24 2" xfId="3036" xr:uid="{00000000-0005-0000-0000-000002500000}"/>
    <cellStyle name="Input 24 3" xfId="13748" xr:uid="{00000000-0005-0000-0000-000003500000}"/>
    <cellStyle name="Input 25" xfId="318" xr:uid="{00000000-0005-0000-0000-000004500000}"/>
    <cellStyle name="Input 25 2" xfId="3037" xr:uid="{00000000-0005-0000-0000-000005500000}"/>
    <cellStyle name="Input 25 3" xfId="13749" xr:uid="{00000000-0005-0000-0000-000006500000}"/>
    <cellStyle name="Input 26" xfId="319" xr:uid="{00000000-0005-0000-0000-000007500000}"/>
    <cellStyle name="Input 26 2" xfId="3038" xr:uid="{00000000-0005-0000-0000-000008500000}"/>
    <cellStyle name="Input 26 3" xfId="13750" xr:uid="{00000000-0005-0000-0000-000009500000}"/>
    <cellStyle name="Input 27" xfId="320" xr:uid="{00000000-0005-0000-0000-00000A500000}"/>
    <cellStyle name="Input 27 2" xfId="3039" xr:uid="{00000000-0005-0000-0000-00000B500000}"/>
    <cellStyle name="Input 27 3" xfId="13751" xr:uid="{00000000-0005-0000-0000-00000C500000}"/>
    <cellStyle name="Input 28" xfId="321" xr:uid="{00000000-0005-0000-0000-00000D500000}"/>
    <cellStyle name="Input 28 2" xfId="3040" xr:uid="{00000000-0005-0000-0000-00000E500000}"/>
    <cellStyle name="Input 28 3" xfId="13752" xr:uid="{00000000-0005-0000-0000-00000F500000}"/>
    <cellStyle name="Input 29" xfId="322" xr:uid="{00000000-0005-0000-0000-000010500000}"/>
    <cellStyle name="Input 29 2" xfId="3041" xr:uid="{00000000-0005-0000-0000-000011500000}"/>
    <cellStyle name="Input 29 3" xfId="13753" xr:uid="{00000000-0005-0000-0000-000012500000}"/>
    <cellStyle name="Input 3" xfId="194" xr:uid="{00000000-0005-0000-0000-000013500000}"/>
    <cellStyle name="Input 3 2" xfId="3042" xr:uid="{00000000-0005-0000-0000-000014500000}"/>
    <cellStyle name="Input 3 3" xfId="13695" xr:uid="{00000000-0005-0000-0000-000015500000}"/>
    <cellStyle name="Input 3 4" xfId="24122" xr:uid="{00000000-0005-0000-0000-000016500000}"/>
    <cellStyle name="Input 3 4 2" xfId="25561" xr:uid="{00000000-0005-0000-0000-000017500000}"/>
    <cellStyle name="Input 3 5" xfId="24711" xr:uid="{00000000-0005-0000-0000-000018500000}"/>
    <cellStyle name="Input 3 5 2" xfId="25390" xr:uid="{00000000-0005-0000-0000-000019500000}"/>
    <cellStyle name="Input 3 5 3" xfId="25663" xr:uid="{00000000-0005-0000-0000-00001A500000}"/>
    <cellStyle name="Input 3 6" xfId="25029" xr:uid="{00000000-0005-0000-0000-00001B500000}"/>
    <cellStyle name="Input 3 6 2" xfId="25382" xr:uid="{00000000-0005-0000-0000-00001C500000}"/>
    <cellStyle name="Input 3 6 3" xfId="25674" xr:uid="{00000000-0005-0000-0000-00001D500000}"/>
    <cellStyle name="Input 30" xfId="323" xr:uid="{00000000-0005-0000-0000-00001E500000}"/>
    <cellStyle name="Input 30 2" xfId="3043" xr:uid="{00000000-0005-0000-0000-00001F500000}"/>
    <cellStyle name="Input 30 3" xfId="13754" xr:uid="{00000000-0005-0000-0000-000020500000}"/>
    <cellStyle name="Input 31" xfId="339" xr:uid="{00000000-0005-0000-0000-000021500000}"/>
    <cellStyle name="Input 31 2" xfId="3044" xr:uid="{00000000-0005-0000-0000-000022500000}"/>
    <cellStyle name="Input 31 3" xfId="13758" xr:uid="{00000000-0005-0000-0000-000023500000}"/>
    <cellStyle name="Input 32" xfId="340" xr:uid="{00000000-0005-0000-0000-000024500000}"/>
    <cellStyle name="Input 32 2" xfId="3045" xr:uid="{00000000-0005-0000-0000-000025500000}"/>
    <cellStyle name="Input 32 3" xfId="13759" xr:uid="{00000000-0005-0000-0000-000026500000}"/>
    <cellStyle name="Input 33" xfId="341" xr:uid="{00000000-0005-0000-0000-000027500000}"/>
    <cellStyle name="Input 33 2" xfId="3046" xr:uid="{00000000-0005-0000-0000-000028500000}"/>
    <cellStyle name="Input 33 3" xfId="13760" xr:uid="{00000000-0005-0000-0000-000029500000}"/>
    <cellStyle name="Input 34" xfId="342" xr:uid="{00000000-0005-0000-0000-00002A500000}"/>
    <cellStyle name="Input 34 2" xfId="3047" xr:uid="{00000000-0005-0000-0000-00002B500000}"/>
    <cellStyle name="Input 34 3" xfId="13761" xr:uid="{00000000-0005-0000-0000-00002C500000}"/>
    <cellStyle name="Input 35" xfId="3048" xr:uid="{00000000-0005-0000-0000-00002D500000}"/>
    <cellStyle name="Input 36" xfId="3049" xr:uid="{00000000-0005-0000-0000-00002E500000}"/>
    <cellStyle name="Input 37" xfId="3050" xr:uid="{00000000-0005-0000-0000-00002F500000}"/>
    <cellStyle name="Input 38" xfId="3051" xr:uid="{00000000-0005-0000-0000-000030500000}"/>
    <cellStyle name="Input 39" xfId="3052" xr:uid="{00000000-0005-0000-0000-000031500000}"/>
    <cellStyle name="Input 4" xfId="195" xr:uid="{00000000-0005-0000-0000-000032500000}"/>
    <cellStyle name="Input 4 2" xfId="3053" xr:uid="{00000000-0005-0000-0000-000033500000}"/>
    <cellStyle name="Input 4 3" xfId="13696" xr:uid="{00000000-0005-0000-0000-000034500000}"/>
    <cellStyle name="Input 4 4" xfId="24123" xr:uid="{00000000-0005-0000-0000-000035500000}"/>
    <cellStyle name="Input 4 4 2" xfId="25562" xr:uid="{00000000-0005-0000-0000-000036500000}"/>
    <cellStyle name="Input 4 5" xfId="24712" xr:uid="{00000000-0005-0000-0000-000037500000}"/>
    <cellStyle name="Input 4 5 2" xfId="25404" xr:uid="{00000000-0005-0000-0000-000038500000}"/>
    <cellStyle name="Input 4 5 3" xfId="25664" xr:uid="{00000000-0005-0000-0000-000039500000}"/>
    <cellStyle name="Input 4 6" xfId="25030" xr:uid="{00000000-0005-0000-0000-00003A500000}"/>
    <cellStyle name="Input 4 6 2" xfId="25397" xr:uid="{00000000-0005-0000-0000-00003B500000}"/>
    <cellStyle name="Input 4 6 3" xfId="25675" xr:uid="{00000000-0005-0000-0000-00003C500000}"/>
    <cellStyle name="Input 40" xfId="3054" xr:uid="{00000000-0005-0000-0000-00003D500000}"/>
    <cellStyle name="Input 41" xfId="3055" xr:uid="{00000000-0005-0000-0000-00003E500000}"/>
    <cellStyle name="Input 42" xfId="3056" xr:uid="{00000000-0005-0000-0000-00003F500000}"/>
    <cellStyle name="Input 43" xfId="3057" xr:uid="{00000000-0005-0000-0000-000040500000}"/>
    <cellStyle name="Input 44" xfId="3058" xr:uid="{00000000-0005-0000-0000-000041500000}"/>
    <cellStyle name="Input 45" xfId="3059" xr:uid="{00000000-0005-0000-0000-000042500000}"/>
    <cellStyle name="Input 46" xfId="3060" xr:uid="{00000000-0005-0000-0000-000043500000}"/>
    <cellStyle name="Input 47" xfId="3061" xr:uid="{00000000-0005-0000-0000-000044500000}"/>
    <cellStyle name="Input 48" xfId="3062" xr:uid="{00000000-0005-0000-0000-000045500000}"/>
    <cellStyle name="Input 49" xfId="3063" xr:uid="{00000000-0005-0000-0000-000046500000}"/>
    <cellStyle name="Input 5" xfId="196" xr:uid="{00000000-0005-0000-0000-000047500000}"/>
    <cellStyle name="Input 5 2" xfId="3064" xr:uid="{00000000-0005-0000-0000-000048500000}"/>
    <cellStyle name="Input 5 3" xfId="13697" xr:uid="{00000000-0005-0000-0000-000049500000}"/>
    <cellStyle name="Input 50" xfId="3065" xr:uid="{00000000-0005-0000-0000-00004A500000}"/>
    <cellStyle name="Input 51" xfId="3066" xr:uid="{00000000-0005-0000-0000-00004B500000}"/>
    <cellStyle name="Input 52" xfId="3067" xr:uid="{00000000-0005-0000-0000-00004C500000}"/>
    <cellStyle name="Input 53" xfId="3068" xr:uid="{00000000-0005-0000-0000-00004D500000}"/>
    <cellStyle name="Input 54" xfId="3069" xr:uid="{00000000-0005-0000-0000-00004E500000}"/>
    <cellStyle name="Input 55" xfId="3070" xr:uid="{00000000-0005-0000-0000-00004F500000}"/>
    <cellStyle name="Input 56" xfId="3071" xr:uid="{00000000-0005-0000-0000-000050500000}"/>
    <cellStyle name="Input 57" xfId="3072" xr:uid="{00000000-0005-0000-0000-000051500000}"/>
    <cellStyle name="Input 58" xfId="3073" xr:uid="{00000000-0005-0000-0000-000052500000}"/>
    <cellStyle name="Input 59" xfId="3074" xr:uid="{00000000-0005-0000-0000-000053500000}"/>
    <cellStyle name="Input 6" xfId="197" xr:uid="{00000000-0005-0000-0000-000054500000}"/>
    <cellStyle name="Input 6 2" xfId="3075" xr:uid="{00000000-0005-0000-0000-000055500000}"/>
    <cellStyle name="Input 6 3" xfId="13698" xr:uid="{00000000-0005-0000-0000-000056500000}"/>
    <cellStyle name="Input 60" xfId="3076" xr:uid="{00000000-0005-0000-0000-000057500000}"/>
    <cellStyle name="Input 61" xfId="3077" xr:uid="{00000000-0005-0000-0000-000058500000}"/>
    <cellStyle name="Input 62" xfId="3078" xr:uid="{00000000-0005-0000-0000-000059500000}"/>
    <cellStyle name="Input 63" xfId="3079" xr:uid="{00000000-0005-0000-0000-00005A500000}"/>
    <cellStyle name="Input 64" xfId="3080" xr:uid="{00000000-0005-0000-0000-00005B500000}"/>
    <cellStyle name="Input 65" xfId="3081" xr:uid="{00000000-0005-0000-0000-00005C500000}"/>
    <cellStyle name="Input 66" xfId="3082" xr:uid="{00000000-0005-0000-0000-00005D500000}"/>
    <cellStyle name="Input 67" xfId="3083" xr:uid="{00000000-0005-0000-0000-00005E500000}"/>
    <cellStyle name="Input 68" xfId="3084" xr:uid="{00000000-0005-0000-0000-00005F500000}"/>
    <cellStyle name="Input 69" xfId="3085" xr:uid="{00000000-0005-0000-0000-000060500000}"/>
    <cellStyle name="Input 7" xfId="198" xr:uid="{00000000-0005-0000-0000-000061500000}"/>
    <cellStyle name="Input 7 2" xfId="3086" xr:uid="{00000000-0005-0000-0000-000062500000}"/>
    <cellStyle name="Input 7 3" xfId="13699" xr:uid="{00000000-0005-0000-0000-000063500000}"/>
    <cellStyle name="Input 70" xfId="3087" xr:uid="{00000000-0005-0000-0000-000064500000}"/>
    <cellStyle name="Input 71" xfId="3088" xr:uid="{00000000-0005-0000-0000-000065500000}"/>
    <cellStyle name="Input 72" xfId="3089" xr:uid="{00000000-0005-0000-0000-000066500000}"/>
    <cellStyle name="Input 73" xfId="23922" xr:uid="{00000000-0005-0000-0000-000067500000}"/>
    <cellStyle name="Input 74" xfId="24261" xr:uid="{00000000-0005-0000-0000-000068500000}"/>
    <cellStyle name="Input 75" xfId="23924" xr:uid="{00000000-0005-0000-0000-000069500000}"/>
    <cellStyle name="Input 76" xfId="24209" xr:uid="{00000000-0005-0000-0000-00006A500000}"/>
    <cellStyle name="Input 77" xfId="24519" xr:uid="{00000000-0005-0000-0000-00006B500000}"/>
    <cellStyle name="Input 78" xfId="24020" xr:uid="{00000000-0005-0000-0000-00006C500000}"/>
    <cellStyle name="Input 79" xfId="24536" xr:uid="{00000000-0005-0000-0000-00006D500000}"/>
    <cellStyle name="Input 8" xfId="199" xr:uid="{00000000-0005-0000-0000-00006E500000}"/>
    <cellStyle name="Input 8 2" xfId="3090" xr:uid="{00000000-0005-0000-0000-00006F500000}"/>
    <cellStyle name="Input 8 3" xfId="13700" xr:uid="{00000000-0005-0000-0000-000070500000}"/>
    <cellStyle name="Input 80" xfId="24541" xr:uid="{00000000-0005-0000-0000-000071500000}"/>
    <cellStyle name="Input 81" xfId="24245" xr:uid="{00000000-0005-0000-0000-000072500000}"/>
    <cellStyle name="Input 82" xfId="24537" xr:uid="{00000000-0005-0000-0000-000073500000}"/>
    <cellStyle name="Input 83" xfId="24031" xr:uid="{00000000-0005-0000-0000-000074500000}"/>
    <cellStyle name="Input 84" xfId="24550" xr:uid="{00000000-0005-0000-0000-000075500000}"/>
    <cellStyle name="Input 85" xfId="24552" xr:uid="{00000000-0005-0000-0000-000076500000}"/>
    <cellStyle name="Input 86" xfId="24636" xr:uid="{00000000-0005-0000-0000-000077500000}"/>
    <cellStyle name="Input 87" xfId="24715" xr:uid="{00000000-0005-0000-0000-000078500000}"/>
    <cellStyle name="Input 88" xfId="24708" xr:uid="{00000000-0005-0000-0000-000079500000}"/>
    <cellStyle name="Input 89" xfId="24918" xr:uid="{00000000-0005-0000-0000-00007A500000}"/>
    <cellStyle name="Input 9" xfId="200" xr:uid="{00000000-0005-0000-0000-00007B500000}"/>
    <cellStyle name="Input 9 2" xfId="3091" xr:uid="{00000000-0005-0000-0000-00007C500000}"/>
    <cellStyle name="Input 9 3" xfId="13701" xr:uid="{00000000-0005-0000-0000-00007D500000}"/>
    <cellStyle name="Input 90" xfId="24937" xr:uid="{00000000-0005-0000-0000-00007E500000}"/>
    <cellStyle name="Input 91" xfId="24911" xr:uid="{00000000-0005-0000-0000-00007F500000}"/>
    <cellStyle name="Input 92" xfId="24672" xr:uid="{00000000-0005-0000-0000-000080500000}"/>
    <cellStyle name="Input 93" xfId="24713" xr:uid="{00000000-0005-0000-0000-000081500000}"/>
    <cellStyle name="Input 94" xfId="24544" xr:uid="{00000000-0005-0000-0000-000082500000}"/>
    <cellStyle name="Input 95" xfId="24691" xr:uid="{00000000-0005-0000-0000-000083500000}"/>
    <cellStyle name="Input 96" xfId="24549" xr:uid="{00000000-0005-0000-0000-000084500000}"/>
    <cellStyle name="Input 97" xfId="24944" xr:uid="{00000000-0005-0000-0000-000085500000}"/>
    <cellStyle name="Input1" xfId="572" xr:uid="{00000000-0005-0000-0000-000086500000}"/>
    <cellStyle name="Input1 2" xfId="24124" xr:uid="{00000000-0005-0000-0000-000087500000}"/>
    <cellStyle name="Input2" xfId="573" xr:uid="{00000000-0005-0000-0000-000088500000}"/>
    <cellStyle name="Input2 2" xfId="24125" xr:uid="{00000000-0005-0000-0000-000089500000}"/>
    <cellStyle name="Input2 2 2" xfId="25312" xr:uid="{00000000-0005-0000-0000-00008A500000}"/>
    <cellStyle name="Input2 3" xfId="25454" xr:uid="{00000000-0005-0000-0000-00008B500000}"/>
    <cellStyle name="LineItemPrompt" xfId="3092" xr:uid="{00000000-0005-0000-0000-00008C500000}"/>
    <cellStyle name="LineItemValue" xfId="3093" xr:uid="{00000000-0005-0000-0000-00008D500000}"/>
    <cellStyle name="Linked Cell 10" xfId="3094" xr:uid="{00000000-0005-0000-0000-00008E500000}"/>
    <cellStyle name="Linked Cell 11" xfId="3095" xr:uid="{00000000-0005-0000-0000-00008F500000}"/>
    <cellStyle name="Linked Cell 12" xfId="3096" xr:uid="{00000000-0005-0000-0000-000090500000}"/>
    <cellStyle name="Linked Cell 13" xfId="3097" xr:uid="{00000000-0005-0000-0000-000091500000}"/>
    <cellStyle name="Linked Cell 14" xfId="3098" xr:uid="{00000000-0005-0000-0000-000092500000}"/>
    <cellStyle name="Linked Cell 15" xfId="3099" xr:uid="{00000000-0005-0000-0000-000093500000}"/>
    <cellStyle name="Linked Cell 16" xfId="3100" xr:uid="{00000000-0005-0000-0000-000094500000}"/>
    <cellStyle name="Linked Cell 17" xfId="3101" xr:uid="{00000000-0005-0000-0000-000095500000}"/>
    <cellStyle name="Linked Cell 18" xfId="3102" xr:uid="{00000000-0005-0000-0000-000096500000}"/>
    <cellStyle name="Linked Cell 19" xfId="3103" xr:uid="{00000000-0005-0000-0000-000097500000}"/>
    <cellStyle name="Linked Cell 2" xfId="3104" xr:uid="{00000000-0005-0000-0000-000098500000}"/>
    <cellStyle name="Linked Cell 2 2" xfId="24127" xr:uid="{00000000-0005-0000-0000-000099500000}"/>
    <cellStyle name="Linked Cell 2 3" xfId="24126" xr:uid="{00000000-0005-0000-0000-00009A500000}"/>
    <cellStyle name="Linked Cell 20" xfId="3105" xr:uid="{00000000-0005-0000-0000-00009B500000}"/>
    <cellStyle name="Linked Cell 21" xfId="3106" xr:uid="{00000000-0005-0000-0000-00009C500000}"/>
    <cellStyle name="Linked Cell 22" xfId="3107" xr:uid="{00000000-0005-0000-0000-00009D500000}"/>
    <cellStyle name="Linked Cell 23" xfId="3108" xr:uid="{00000000-0005-0000-0000-00009E500000}"/>
    <cellStyle name="Linked Cell 24" xfId="3109" xr:uid="{00000000-0005-0000-0000-00009F500000}"/>
    <cellStyle name="Linked Cell 25" xfId="3110" xr:uid="{00000000-0005-0000-0000-0000A0500000}"/>
    <cellStyle name="Linked Cell 26" xfId="3111" xr:uid="{00000000-0005-0000-0000-0000A1500000}"/>
    <cellStyle name="Linked Cell 27" xfId="3112" xr:uid="{00000000-0005-0000-0000-0000A2500000}"/>
    <cellStyle name="Linked Cell 28" xfId="3113" xr:uid="{00000000-0005-0000-0000-0000A3500000}"/>
    <cellStyle name="Linked Cell 29" xfId="3114" xr:uid="{00000000-0005-0000-0000-0000A4500000}"/>
    <cellStyle name="Linked Cell 3" xfId="3115" xr:uid="{00000000-0005-0000-0000-0000A5500000}"/>
    <cellStyle name="Linked Cell 3 2" xfId="24128" xr:uid="{00000000-0005-0000-0000-0000A6500000}"/>
    <cellStyle name="Linked Cell 30" xfId="3116" xr:uid="{00000000-0005-0000-0000-0000A7500000}"/>
    <cellStyle name="Linked Cell 31" xfId="3117" xr:uid="{00000000-0005-0000-0000-0000A8500000}"/>
    <cellStyle name="Linked Cell 32" xfId="3118" xr:uid="{00000000-0005-0000-0000-0000A9500000}"/>
    <cellStyle name="Linked Cell 33" xfId="3119" xr:uid="{00000000-0005-0000-0000-0000AA500000}"/>
    <cellStyle name="Linked Cell 34" xfId="3120" xr:uid="{00000000-0005-0000-0000-0000AB500000}"/>
    <cellStyle name="Linked Cell 35" xfId="3121" xr:uid="{00000000-0005-0000-0000-0000AC500000}"/>
    <cellStyle name="Linked Cell 36" xfId="3122" xr:uid="{00000000-0005-0000-0000-0000AD500000}"/>
    <cellStyle name="Linked Cell 37" xfId="3123" xr:uid="{00000000-0005-0000-0000-0000AE500000}"/>
    <cellStyle name="Linked Cell 38" xfId="3124" xr:uid="{00000000-0005-0000-0000-0000AF500000}"/>
    <cellStyle name="Linked Cell 39" xfId="3125" xr:uid="{00000000-0005-0000-0000-0000B0500000}"/>
    <cellStyle name="Linked Cell 4" xfId="3126" xr:uid="{00000000-0005-0000-0000-0000B1500000}"/>
    <cellStyle name="Linked Cell 4 2" xfId="24129" xr:uid="{00000000-0005-0000-0000-0000B2500000}"/>
    <cellStyle name="Linked Cell 40" xfId="3127" xr:uid="{00000000-0005-0000-0000-0000B3500000}"/>
    <cellStyle name="Linked Cell 41" xfId="3128" xr:uid="{00000000-0005-0000-0000-0000B4500000}"/>
    <cellStyle name="Linked Cell 42" xfId="3129" xr:uid="{00000000-0005-0000-0000-0000B5500000}"/>
    <cellStyle name="Linked Cell 43" xfId="3130" xr:uid="{00000000-0005-0000-0000-0000B6500000}"/>
    <cellStyle name="Linked Cell 44" xfId="3131" xr:uid="{00000000-0005-0000-0000-0000B7500000}"/>
    <cellStyle name="Linked Cell 45" xfId="3132" xr:uid="{00000000-0005-0000-0000-0000B8500000}"/>
    <cellStyle name="Linked Cell 46" xfId="3133" xr:uid="{00000000-0005-0000-0000-0000B9500000}"/>
    <cellStyle name="Linked Cell 47" xfId="3134" xr:uid="{00000000-0005-0000-0000-0000BA500000}"/>
    <cellStyle name="Linked Cell 48" xfId="3135" xr:uid="{00000000-0005-0000-0000-0000BB500000}"/>
    <cellStyle name="Linked Cell 49" xfId="3136" xr:uid="{00000000-0005-0000-0000-0000BC500000}"/>
    <cellStyle name="Linked Cell 5" xfId="3137" xr:uid="{00000000-0005-0000-0000-0000BD500000}"/>
    <cellStyle name="Linked Cell 50" xfId="3138" xr:uid="{00000000-0005-0000-0000-0000BE500000}"/>
    <cellStyle name="Linked Cell 51" xfId="3139" xr:uid="{00000000-0005-0000-0000-0000BF500000}"/>
    <cellStyle name="Linked Cell 52" xfId="3140" xr:uid="{00000000-0005-0000-0000-0000C0500000}"/>
    <cellStyle name="Linked Cell 53" xfId="3141" xr:uid="{00000000-0005-0000-0000-0000C1500000}"/>
    <cellStyle name="Linked Cell 54" xfId="3142" xr:uid="{00000000-0005-0000-0000-0000C2500000}"/>
    <cellStyle name="Linked Cell 55" xfId="3143" xr:uid="{00000000-0005-0000-0000-0000C3500000}"/>
    <cellStyle name="Linked Cell 56" xfId="3144" xr:uid="{00000000-0005-0000-0000-0000C4500000}"/>
    <cellStyle name="Linked Cell 57" xfId="3145" xr:uid="{00000000-0005-0000-0000-0000C5500000}"/>
    <cellStyle name="Linked Cell 58" xfId="3146" xr:uid="{00000000-0005-0000-0000-0000C6500000}"/>
    <cellStyle name="Linked Cell 59" xfId="3147" xr:uid="{00000000-0005-0000-0000-0000C7500000}"/>
    <cellStyle name="Linked Cell 6" xfId="3148" xr:uid="{00000000-0005-0000-0000-0000C8500000}"/>
    <cellStyle name="Linked Cell 60" xfId="3149" xr:uid="{00000000-0005-0000-0000-0000C9500000}"/>
    <cellStyle name="Linked Cell 61" xfId="3150" xr:uid="{00000000-0005-0000-0000-0000CA500000}"/>
    <cellStyle name="Linked Cell 62" xfId="3151" xr:uid="{00000000-0005-0000-0000-0000CB500000}"/>
    <cellStyle name="Linked Cell 63" xfId="3152" xr:uid="{00000000-0005-0000-0000-0000CC500000}"/>
    <cellStyle name="Linked Cell 64" xfId="3153" xr:uid="{00000000-0005-0000-0000-0000CD500000}"/>
    <cellStyle name="Linked Cell 65" xfId="3154" xr:uid="{00000000-0005-0000-0000-0000CE500000}"/>
    <cellStyle name="Linked Cell 66" xfId="3155" xr:uid="{00000000-0005-0000-0000-0000CF500000}"/>
    <cellStyle name="Linked Cell 67" xfId="3156" xr:uid="{00000000-0005-0000-0000-0000D0500000}"/>
    <cellStyle name="Linked Cell 68" xfId="3157" xr:uid="{00000000-0005-0000-0000-0000D1500000}"/>
    <cellStyle name="Linked Cell 69" xfId="3158" xr:uid="{00000000-0005-0000-0000-0000D2500000}"/>
    <cellStyle name="Linked Cell 7" xfId="3159" xr:uid="{00000000-0005-0000-0000-0000D3500000}"/>
    <cellStyle name="Linked Cell 70" xfId="3160" xr:uid="{00000000-0005-0000-0000-0000D4500000}"/>
    <cellStyle name="Linked Cell 71" xfId="3161" xr:uid="{00000000-0005-0000-0000-0000D5500000}"/>
    <cellStyle name="Linked Cell 72" xfId="3162" xr:uid="{00000000-0005-0000-0000-0000D6500000}"/>
    <cellStyle name="Linked Cell 8" xfId="3163" xr:uid="{00000000-0005-0000-0000-0000D7500000}"/>
    <cellStyle name="Linked Cell 9" xfId="3164" xr:uid="{00000000-0005-0000-0000-0000D8500000}"/>
    <cellStyle name="Manual-Input" xfId="3165" xr:uid="{00000000-0005-0000-0000-0000D9500000}"/>
    <cellStyle name="Marathon" xfId="46" xr:uid="{00000000-0005-0000-0000-0000DA500000}"/>
    <cellStyle name="MCP" xfId="47" xr:uid="{00000000-0005-0000-0000-0000DB500000}"/>
    <cellStyle name="Multiple" xfId="574" xr:uid="{00000000-0005-0000-0000-0000DC500000}"/>
    <cellStyle name="Multiple [1]" xfId="575" xr:uid="{00000000-0005-0000-0000-0000DD500000}"/>
    <cellStyle name="Multiple_10_21 A&amp;G Review" xfId="576" xr:uid="{00000000-0005-0000-0000-0000DE500000}"/>
    <cellStyle name="Neutral 10" xfId="3166" xr:uid="{00000000-0005-0000-0000-0000DF500000}"/>
    <cellStyle name="Neutral 11" xfId="3167" xr:uid="{00000000-0005-0000-0000-0000E0500000}"/>
    <cellStyle name="Neutral 12" xfId="3168" xr:uid="{00000000-0005-0000-0000-0000E1500000}"/>
    <cellStyle name="Neutral 13" xfId="3169" xr:uid="{00000000-0005-0000-0000-0000E2500000}"/>
    <cellStyle name="Neutral 14" xfId="3170" xr:uid="{00000000-0005-0000-0000-0000E3500000}"/>
    <cellStyle name="Neutral 15" xfId="3171" xr:uid="{00000000-0005-0000-0000-0000E4500000}"/>
    <cellStyle name="Neutral 16" xfId="3172" xr:uid="{00000000-0005-0000-0000-0000E5500000}"/>
    <cellStyle name="Neutral 17" xfId="3173" xr:uid="{00000000-0005-0000-0000-0000E6500000}"/>
    <cellStyle name="Neutral 18" xfId="3174" xr:uid="{00000000-0005-0000-0000-0000E7500000}"/>
    <cellStyle name="Neutral 19" xfId="3175" xr:uid="{00000000-0005-0000-0000-0000E8500000}"/>
    <cellStyle name="Neutral 2" xfId="3176" xr:uid="{00000000-0005-0000-0000-0000E9500000}"/>
    <cellStyle name="Neutral 2 2" xfId="24132" xr:uid="{00000000-0005-0000-0000-0000EA500000}"/>
    <cellStyle name="Neutral 2 3" xfId="24131" xr:uid="{00000000-0005-0000-0000-0000EB500000}"/>
    <cellStyle name="Neutral 20" xfId="3177" xr:uid="{00000000-0005-0000-0000-0000EC500000}"/>
    <cellStyle name="Neutral 21" xfId="3178" xr:uid="{00000000-0005-0000-0000-0000ED500000}"/>
    <cellStyle name="Neutral 22" xfId="3179" xr:uid="{00000000-0005-0000-0000-0000EE500000}"/>
    <cellStyle name="Neutral 23" xfId="3180" xr:uid="{00000000-0005-0000-0000-0000EF500000}"/>
    <cellStyle name="Neutral 24" xfId="3181" xr:uid="{00000000-0005-0000-0000-0000F0500000}"/>
    <cellStyle name="Neutral 25" xfId="3182" xr:uid="{00000000-0005-0000-0000-0000F1500000}"/>
    <cellStyle name="Neutral 26" xfId="3183" xr:uid="{00000000-0005-0000-0000-0000F2500000}"/>
    <cellStyle name="Neutral 27" xfId="3184" xr:uid="{00000000-0005-0000-0000-0000F3500000}"/>
    <cellStyle name="Neutral 28" xfId="3185" xr:uid="{00000000-0005-0000-0000-0000F4500000}"/>
    <cellStyle name="Neutral 29" xfId="3186" xr:uid="{00000000-0005-0000-0000-0000F5500000}"/>
    <cellStyle name="Neutral 3" xfId="3187" xr:uid="{00000000-0005-0000-0000-0000F6500000}"/>
    <cellStyle name="Neutral 3 2" xfId="24133" xr:uid="{00000000-0005-0000-0000-0000F7500000}"/>
    <cellStyle name="Neutral 30" xfId="3188" xr:uid="{00000000-0005-0000-0000-0000F8500000}"/>
    <cellStyle name="Neutral 31" xfId="3189" xr:uid="{00000000-0005-0000-0000-0000F9500000}"/>
    <cellStyle name="Neutral 32" xfId="3190" xr:uid="{00000000-0005-0000-0000-0000FA500000}"/>
    <cellStyle name="Neutral 33" xfId="3191" xr:uid="{00000000-0005-0000-0000-0000FB500000}"/>
    <cellStyle name="Neutral 34" xfId="3192" xr:uid="{00000000-0005-0000-0000-0000FC500000}"/>
    <cellStyle name="Neutral 35" xfId="3193" xr:uid="{00000000-0005-0000-0000-0000FD500000}"/>
    <cellStyle name="Neutral 36" xfId="3194" xr:uid="{00000000-0005-0000-0000-0000FE500000}"/>
    <cellStyle name="Neutral 37" xfId="3195" xr:uid="{00000000-0005-0000-0000-0000FF500000}"/>
    <cellStyle name="Neutral 38" xfId="3196" xr:uid="{00000000-0005-0000-0000-000000510000}"/>
    <cellStyle name="Neutral 39" xfId="3197" xr:uid="{00000000-0005-0000-0000-000001510000}"/>
    <cellStyle name="Neutral 4" xfId="3198" xr:uid="{00000000-0005-0000-0000-000002510000}"/>
    <cellStyle name="Neutral 4 2" xfId="24134" xr:uid="{00000000-0005-0000-0000-000003510000}"/>
    <cellStyle name="Neutral 40" xfId="3199" xr:uid="{00000000-0005-0000-0000-000004510000}"/>
    <cellStyle name="Neutral 41" xfId="3200" xr:uid="{00000000-0005-0000-0000-000005510000}"/>
    <cellStyle name="Neutral 42" xfId="3201" xr:uid="{00000000-0005-0000-0000-000006510000}"/>
    <cellStyle name="Neutral 43" xfId="3202" xr:uid="{00000000-0005-0000-0000-000007510000}"/>
    <cellStyle name="Neutral 44" xfId="3203" xr:uid="{00000000-0005-0000-0000-000008510000}"/>
    <cellStyle name="Neutral 45" xfId="3204" xr:uid="{00000000-0005-0000-0000-000009510000}"/>
    <cellStyle name="Neutral 46" xfId="3205" xr:uid="{00000000-0005-0000-0000-00000A510000}"/>
    <cellStyle name="Neutral 47" xfId="3206" xr:uid="{00000000-0005-0000-0000-00000B510000}"/>
    <cellStyle name="Neutral 48" xfId="3207" xr:uid="{00000000-0005-0000-0000-00000C510000}"/>
    <cellStyle name="Neutral 49" xfId="3208" xr:uid="{00000000-0005-0000-0000-00000D510000}"/>
    <cellStyle name="Neutral 5" xfId="3209" xr:uid="{00000000-0005-0000-0000-00000E510000}"/>
    <cellStyle name="Neutral 50" xfId="3210" xr:uid="{00000000-0005-0000-0000-00000F510000}"/>
    <cellStyle name="Neutral 51" xfId="3211" xr:uid="{00000000-0005-0000-0000-000010510000}"/>
    <cellStyle name="Neutral 52" xfId="3212" xr:uid="{00000000-0005-0000-0000-000011510000}"/>
    <cellStyle name="Neutral 53" xfId="3213" xr:uid="{00000000-0005-0000-0000-000012510000}"/>
    <cellStyle name="Neutral 54" xfId="3214" xr:uid="{00000000-0005-0000-0000-000013510000}"/>
    <cellStyle name="Neutral 55" xfId="3215" xr:uid="{00000000-0005-0000-0000-000014510000}"/>
    <cellStyle name="Neutral 56" xfId="3216" xr:uid="{00000000-0005-0000-0000-000015510000}"/>
    <cellStyle name="Neutral 57" xfId="3217" xr:uid="{00000000-0005-0000-0000-000016510000}"/>
    <cellStyle name="Neutral 58" xfId="3218" xr:uid="{00000000-0005-0000-0000-000017510000}"/>
    <cellStyle name="Neutral 59" xfId="3219" xr:uid="{00000000-0005-0000-0000-000018510000}"/>
    <cellStyle name="Neutral 6" xfId="3220" xr:uid="{00000000-0005-0000-0000-000019510000}"/>
    <cellStyle name="Neutral 60" xfId="3221" xr:uid="{00000000-0005-0000-0000-00001A510000}"/>
    <cellStyle name="Neutral 61" xfId="3222" xr:uid="{00000000-0005-0000-0000-00001B510000}"/>
    <cellStyle name="Neutral 62" xfId="3223" xr:uid="{00000000-0005-0000-0000-00001C510000}"/>
    <cellStyle name="Neutral 63" xfId="3224" xr:uid="{00000000-0005-0000-0000-00001D510000}"/>
    <cellStyle name="Neutral 64" xfId="3225" xr:uid="{00000000-0005-0000-0000-00001E510000}"/>
    <cellStyle name="Neutral 65" xfId="3226" xr:uid="{00000000-0005-0000-0000-00001F510000}"/>
    <cellStyle name="Neutral 66" xfId="3227" xr:uid="{00000000-0005-0000-0000-000020510000}"/>
    <cellStyle name="Neutral 67" xfId="3228" xr:uid="{00000000-0005-0000-0000-000021510000}"/>
    <cellStyle name="Neutral 68" xfId="3229" xr:uid="{00000000-0005-0000-0000-000022510000}"/>
    <cellStyle name="Neutral 69" xfId="3230" xr:uid="{00000000-0005-0000-0000-000023510000}"/>
    <cellStyle name="Neutral 7" xfId="3231" xr:uid="{00000000-0005-0000-0000-000024510000}"/>
    <cellStyle name="Neutral 70" xfId="3232" xr:uid="{00000000-0005-0000-0000-000025510000}"/>
    <cellStyle name="Neutral 71" xfId="3233" xr:uid="{00000000-0005-0000-0000-000026510000}"/>
    <cellStyle name="Neutral 72" xfId="3234" xr:uid="{00000000-0005-0000-0000-000027510000}"/>
    <cellStyle name="Neutral 8" xfId="3235" xr:uid="{00000000-0005-0000-0000-000028510000}"/>
    <cellStyle name="Neutral 9" xfId="3236" xr:uid="{00000000-0005-0000-0000-000029510000}"/>
    <cellStyle name="nONE" xfId="48" xr:uid="{00000000-0005-0000-0000-00002A510000}"/>
    <cellStyle name="nONE 2" xfId="201" xr:uid="{00000000-0005-0000-0000-00002B510000}"/>
    <cellStyle name="noninput" xfId="49" xr:uid="{00000000-0005-0000-0000-00002C510000}"/>
    <cellStyle name="Normal" xfId="0" builtinId="0"/>
    <cellStyle name="Normal - Style1" xfId="50" xr:uid="{00000000-0005-0000-0000-00002E510000}"/>
    <cellStyle name="Normal 10" xfId="309" xr:uid="{00000000-0005-0000-0000-00002F510000}"/>
    <cellStyle name="Normal 10 10" xfId="25766" xr:uid="{00000000-0005-0000-0000-000030510000}"/>
    <cellStyle name="Normal 10 11" xfId="25791" xr:uid="{00000000-0005-0000-0000-000031510000}"/>
    <cellStyle name="Normal 10 2" xfId="646" xr:uid="{00000000-0005-0000-0000-000032510000}"/>
    <cellStyle name="Normal 10 2 2" xfId="12453" xr:uid="{00000000-0005-0000-0000-000033510000}"/>
    <cellStyle name="Normal 10 2 2 2" xfId="23741" xr:uid="{00000000-0005-0000-0000-000034510000}"/>
    <cellStyle name="Normal 10 2 3" xfId="10459" xr:uid="{00000000-0005-0000-0000-000035510000}"/>
    <cellStyle name="Normal 10 2 3 2" xfId="21747" xr:uid="{00000000-0005-0000-0000-000036510000}"/>
    <cellStyle name="Normal 10 2 4" xfId="8465" xr:uid="{00000000-0005-0000-0000-000037510000}"/>
    <cellStyle name="Normal 10 2 4 2" xfId="19753" xr:uid="{00000000-0005-0000-0000-000038510000}"/>
    <cellStyle name="Normal 10 2 5" xfId="6471" xr:uid="{00000000-0005-0000-0000-000039510000}"/>
    <cellStyle name="Normal 10 2 5 2" xfId="17759" xr:uid="{00000000-0005-0000-0000-00003A510000}"/>
    <cellStyle name="Normal 10 2 6" xfId="4474" xr:uid="{00000000-0005-0000-0000-00003B510000}"/>
    <cellStyle name="Normal 10 2 6 2" xfId="15765" xr:uid="{00000000-0005-0000-0000-00003C510000}"/>
    <cellStyle name="Normal 10 2 7" xfId="24135" xr:uid="{00000000-0005-0000-0000-00003D510000}"/>
    <cellStyle name="Normal 10 3" xfId="11456" xr:uid="{00000000-0005-0000-0000-00003E510000}"/>
    <cellStyle name="Normal 10 3 2" xfId="22744" xr:uid="{00000000-0005-0000-0000-00003F510000}"/>
    <cellStyle name="Normal 10 4" xfId="9462" xr:uid="{00000000-0005-0000-0000-000040510000}"/>
    <cellStyle name="Normal 10 4 2" xfId="20750" xr:uid="{00000000-0005-0000-0000-000041510000}"/>
    <cellStyle name="Normal 10 5" xfId="7468" xr:uid="{00000000-0005-0000-0000-000042510000}"/>
    <cellStyle name="Normal 10 5 2" xfId="18756" xr:uid="{00000000-0005-0000-0000-000043510000}"/>
    <cellStyle name="Normal 10 6" xfId="5474" xr:uid="{00000000-0005-0000-0000-000044510000}"/>
    <cellStyle name="Normal 10 6 2" xfId="16762" xr:uid="{00000000-0005-0000-0000-000045510000}"/>
    <cellStyle name="Normal 10 7" xfId="3237" xr:uid="{00000000-0005-0000-0000-000046510000}"/>
    <cellStyle name="Normal 10 7 2" xfId="14768" xr:uid="{00000000-0005-0000-0000-000047510000}"/>
    <cellStyle name="Normal 10 8" xfId="13746" xr:uid="{00000000-0005-0000-0000-000048510000}"/>
    <cellStyle name="Normal 10 9" xfId="13454" xr:uid="{00000000-0005-0000-0000-000049510000}"/>
    <cellStyle name="Normal 100" xfId="25763" xr:uid="{00000000-0005-0000-0000-00004A510000}"/>
    <cellStyle name="Normal 101" xfId="25797" xr:uid="{01A8A0DD-09A5-4FF8-A0A6-3A0AF218B033}"/>
    <cellStyle name="Normal 11" xfId="167" xr:uid="{00000000-0005-0000-0000-00004B510000}"/>
    <cellStyle name="Normal 11 2" xfId="647" xr:uid="{00000000-0005-0000-0000-00004C510000}"/>
    <cellStyle name="Normal 11 2 2" xfId="12454" xr:uid="{00000000-0005-0000-0000-00004D510000}"/>
    <cellStyle name="Normal 11 2 2 2" xfId="23742" xr:uid="{00000000-0005-0000-0000-00004E510000}"/>
    <cellStyle name="Normal 11 2 3" xfId="10460" xr:uid="{00000000-0005-0000-0000-00004F510000}"/>
    <cellStyle name="Normal 11 2 3 2" xfId="21748" xr:uid="{00000000-0005-0000-0000-000050510000}"/>
    <cellStyle name="Normal 11 2 4" xfId="8466" xr:uid="{00000000-0005-0000-0000-000051510000}"/>
    <cellStyle name="Normal 11 2 4 2" xfId="19754" xr:uid="{00000000-0005-0000-0000-000052510000}"/>
    <cellStyle name="Normal 11 2 5" xfId="6472" xr:uid="{00000000-0005-0000-0000-000053510000}"/>
    <cellStyle name="Normal 11 2 5 2" xfId="17760" xr:uid="{00000000-0005-0000-0000-000054510000}"/>
    <cellStyle name="Normal 11 2 6" xfId="4475" xr:uid="{00000000-0005-0000-0000-000055510000}"/>
    <cellStyle name="Normal 11 2 6 2" xfId="15766" xr:uid="{00000000-0005-0000-0000-000056510000}"/>
    <cellStyle name="Normal 11 3" xfId="11457" xr:uid="{00000000-0005-0000-0000-000057510000}"/>
    <cellStyle name="Normal 11 3 2" xfId="22745" xr:uid="{00000000-0005-0000-0000-000058510000}"/>
    <cellStyle name="Normal 11 4" xfId="9463" xr:uid="{00000000-0005-0000-0000-000059510000}"/>
    <cellStyle name="Normal 11 4 2" xfId="20751" xr:uid="{00000000-0005-0000-0000-00005A510000}"/>
    <cellStyle name="Normal 11 5" xfId="7469" xr:uid="{00000000-0005-0000-0000-00005B510000}"/>
    <cellStyle name="Normal 11 5 2" xfId="18757" xr:uid="{00000000-0005-0000-0000-00005C510000}"/>
    <cellStyle name="Normal 11 6" xfId="5475" xr:uid="{00000000-0005-0000-0000-00005D510000}"/>
    <cellStyle name="Normal 11 6 2" xfId="16763" xr:uid="{00000000-0005-0000-0000-00005E510000}"/>
    <cellStyle name="Normal 11 7" xfId="3238" xr:uid="{00000000-0005-0000-0000-00005F510000}"/>
    <cellStyle name="Normal 11 7 2" xfId="14769" xr:uid="{00000000-0005-0000-0000-000060510000}"/>
    <cellStyle name="Normal 11 8" xfId="13683" xr:uid="{00000000-0005-0000-0000-000061510000}"/>
    <cellStyle name="Normal 11 9" xfId="13455" xr:uid="{00000000-0005-0000-0000-000062510000}"/>
    <cellStyle name="Normal 12" xfId="307" xr:uid="{00000000-0005-0000-0000-000063510000}"/>
    <cellStyle name="Normal 12 10" xfId="24136" xr:uid="{00000000-0005-0000-0000-000064510000}"/>
    <cellStyle name="Normal 12 2" xfId="648" xr:uid="{00000000-0005-0000-0000-000065510000}"/>
    <cellStyle name="Normal 12 2 2" xfId="12455" xr:uid="{00000000-0005-0000-0000-000066510000}"/>
    <cellStyle name="Normal 12 2 2 2" xfId="23743" xr:uid="{00000000-0005-0000-0000-000067510000}"/>
    <cellStyle name="Normal 12 2 3" xfId="10461" xr:uid="{00000000-0005-0000-0000-000068510000}"/>
    <cellStyle name="Normal 12 2 3 2" xfId="21749" xr:uid="{00000000-0005-0000-0000-000069510000}"/>
    <cellStyle name="Normal 12 2 4" xfId="8467" xr:uid="{00000000-0005-0000-0000-00006A510000}"/>
    <cellStyle name="Normal 12 2 4 2" xfId="19755" xr:uid="{00000000-0005-0000-0000-00006B510000}"/>
    <cellStyle name="Normal 12 2 5" xfId="6473" xr:uid="{00000000-0005-0000-0000-00006C510000}"/>
    <cellStyle name="Normal 12 2 5 2" xfId="17761" xr:uid="{00000000-0005-0000-0000-00006D510000}"/>
    <cellStyle name="Normal 12 2 6" xfId="4476" xr:uid="{00000000-0005-0000-0000-00006E510000}"/>
    <cellStyle name="Normal 12 2 6 2" xfId="15767" xr:uid="{00000000-0005-0000-0000-00006F510000}"/>
    <cellStyle name="Normal 12 2 7" xfId="24137" xr:uid="{00000000-0005-0000-0000-000070510000}"/>
    <cellStyle name="Normal 12 3" xfId="11458" xr:uid="{00000000-0005-0000-0000-000071510000}"/>
    <cellStyle name="Normal 12 3 2" xfId="22746" xr:uid="{00000000-0005-0000-0000-000072510000}"/>
    <cellStyle name="Normal 12 3 3" xfId="24301" xr:uid="{00000000-0005-0000-0000-000073510000}"/>
    <cellStyle name="Normal 12 4" xfId="9464" xr:uid="{00000000-0005-0000-0000-000074510000}"/>
    <cellStyle name="Normal 12 4 2" xfId="20752" xr:uid="{00000000-0005-0000-0000-000075510000}"/>
    <cellStyle name="Normal 12 5" xfId="7470" xr:uid="{00000000-0005-0000-0000-000076510000}"/>
    <cellStyle name="Normal 12 5 2" xfId="18758" xr:uid="{00000000-0005-0000-0000-000077510000}"/>
    <cellStyle name="Normal 12 6" xfId="5476" xr:uid="{00000000-0005-0000-0000-000078510000}"/>
    <cellStyle name="Normal 12 6 2" xfId="16764" xr:uid="{00000000-0005-0000-0000-000079510000}"/>
    <cellStyle name="Normal 12 7" xfId="3239" xr:uid="{00000000-0005-0000-0000-00007A510000}"/>
    <cellStyle name="Normal 12 7 2" xfId="14770" xr:uid="{00000000-0005-0000-0000-00007B510000}"/>
    <cellStyle name="Normal 12 8" xfId="13745" xr:uid="{00000000-0005-0000-0000-00007C510000}"/>
    <cellStyle name="Normal 12 9" xfId="13456" xr:uid="{00000000-0005-0000-0000-00007D510000}"/>
    <cellStyle name="Normal 13" xfId="324" xr:uid="{00000000-0005-0000-0000-00007E510000}"/>
    <cellStyle name="Normal 13 10" xfId="23930" xr:uid="{00000000-0005-0000-0000-00007F510000}"/>
    <cellStyle name="Normal 13 11" xfId="24557" xr:uid="{00000000-0005-0000-0000-000080510000}"/>
    <cellStyle name="Normal 13 12" xfId="24947" xr:uid="{00000000-0005-0000-0000-000081510000}"/>
    <cellStyle name="Normal 13 2" xfId="649" xr:uid="{00000000-0005-0000-0000-000082510000}"/>
    <cellStyle name="Normal 13 2 2" xfId="12456" xr:uid="{00000000-0005-0000-0000-000083510000}"/>
    <cellStyle name="Normal 13 2 2 2" xfId="23744" xr:uid="{00000000-0005-0000-0000-000084510000}"/>
    <cellStyle name="Normal 13 2 3" xfId="10462" xr:uid="{00000000-0005-0000-0000-000085510000}"/>
    <cellStyle name="Normal 13 2 3 2" xfId="21750" xr:uid="{00000000-0005-0000-0000-000086510000}"/>
    <cellStyle name="Normal 13 2 4" xfId="8468" xr:uid="{00000000-0005-0000-0000-000087510000}"/>
    <cellStyle name="Normal 13 2 4 2" xfId="19756" xr:uid="{00000000-0005-0000-0000-000088510000}"/>
    <cellStyle name="Normal 13 2 5" xfId="6474" xr:uid="{00000000-0005-0000-0000-000089510000}"/>
    <cellStyle name="Normal 13 2 5 2" xfId="17762" xr:uid="{00000000-0005-0000-0000-00008A510000}"/>
    <cellStyle name="Normal 13 2 6" xfId="4477" xr:uid="{00000000-0005-0000-0000-00008B510000}"/>
    <cellStyle name="Normal 13 2 6 2" xfId="15768" xr:uid="{00000000-0005-0000-0000-00008C510000}"/>
    <cellStyle name="Normal 13 2 7" xfId="24318" xr:uid="{00000000-0005-0000-0000-00008D510000}"/>
    <cellStyle name="Normal 13 2 8" xfId="24782" xr:uid="{00000000-0005-0000-0000-00008E510000}"/>
    <cellStyle name="Normal 13 2 9" xfId="25149" xr:uid="{00000000-0005-0000-0000-00008F510000}"/>
    <cellStyle name="Normal 13 3" xfId="11459" xr:uid="{00000000-0005-0000-0000-000090510000}"/>
    <cellStyle name="Normal 13 3 2" xfId="22747" xr:uid="{00000000-0005-0000-0000-000091510000}"/>
    <cellStyle name="Normal 13 4" xfId="9465" xr:uid="{00000000-0005-0000-0000-000092510000}"/>
    <cellStyle name="Normal 13 4 2" xfId="20753" xr:uid="{00000000-0005-0000-0000-000093510000}"/>
    <cellStyle name="Normal 13 5" xfId="7471" xr:uid="{00000000-0005-0000-0000-000094510000}"/>
    <cellStyle name="Normal 13 5 2" xfId="18759" xr:uid="{00000000-0005-0000-0000-000095510000}"/>
    <cellStyle name="Normal 13 6" xfId="5477" xr:uid="{00000000-0005-0000-0000-000096510000}"/>
    <cellStyle name="Normal 13 6 2" xfId="16765" xr:uid="{00000000-0005-0000-0000-000097510000}"/>
    <cellStyle name="Normal 13 7" xfId="3240" xr:uid="{00000000-0005-0000-0000-000098510000}"/>
    <cellStyle name="Normal 13 7 2" xfId="14771" xr:uid="{00000000-0005-0000-0000-000099510000}"/>
    <cellStyle name="Normal 13 8" xfId="13755" xr:uid="{00000000-0005-0000-0000-00009A510000}"/>
    <cellStyle name="Normal 13 9" xfId="13457" xr:uid="{00000000-0005-0000-0000-00009B510000}"/>
    <cellStyle name="Normal 14" xfId="333" xr:uid="{00000000-0005-0000-0000-00009C510000}"/>
    <cellStyle name="Normal 14 10" xfId="24138" xr:uid="{00000000-0005-0000-0000-00009D510000}"/>
    <cellStyle name="Normal 14 11" xfId="24714" xr:uid="{00000000-0005-0000-0000-00009E510000}"/>
    <cellStyle name="Normal 14 12" xfId="25031" xr:uid="{00000000-0005-0000-0000-00009F510000}"/>
    <cellStyle name="Normal 14 2" xfId="650" xr:uid="{00000000-0005-0000-0000-0000A0510000}"/>
    <cellStyle name="Normal 14 2 2" xfId="12457" xr:uid="{00000000-0005-0000-0000-0000A1510000}"/>
    <cellStyle name="Normal 14 2 2 2" xfId="23745" xr:uid="{00000000-0005-0000-0000-0000A2510000}"/>
    <cellStyle name="Normal 14 2 3" xfId="10463" xr:uid="{00000000-0005-0000-0000-0000A3510000}"/>
    <cellStyle name="Normal 14 2 3 2" xfId="21751" xr:uid="{00000000-0005-0000-0000-0000A4510000}"/>
    <cellStyle name="Normal 14 2 4" xfId="8469" xr:uid="{00000000-0005-0000-0000-0000A5510000}"/>
    <cellStyle name="Normal 14 2 4 2" xfId="19757" xr:uid="{00000000-0005-0000-0000-0000A6510000}"/>
    <cellStyle name="Normal 14 2 5" xfId="6475" xr:uid="{00000000-0005-0000-0000-0000A7510000}"/>
    <cellStyle name="Normal 14 2 5 2" xfId="17763" xr:uid="{00000000-0005-0000-0000-0000A8510000}"/>
    <cellStyle name="Normal 14 2 6" xfId="4478" xr:uid="{00000000-0005-0000-0000-0000A9510000}"/>
    <cellStyle name="Normal 14 2 6 2" xfId="15769" xr:uid="{00000000-0005-0000-0000-0000AA510000}"/>
    <cellStyle name="Normal 14 2 7" xfId="24417" xr:uid="{00000000-0005-0000-0000-0000AB510000}"/>
    <cellStyle name="Normal 14 2 8" xfId="24862" xr:uid="{00000000-0005-0000-0000-0000AC510000}"/>
    <cellStyle name="Normal 14 2 9" xfId="25225" xr:uid="{00000000-0005-0000-0000-0000AD510000}"/>
    <cellStyle name="Normal 14 3" xfId="11460" xr:uid="{00000000-0005-0000-0000-0000AE510000}"/>
    <cellStyle name="Normal 14 3 2" xfId="22748" xr:uid="{00000000-0005-0000-0000-0000AF510000}"/>
    <cellStyle name="Normal 14 4" xfId="9466" xr:uid="{00000000-0005-0000-0000-0000B0510000}"/>
    <cellStyle name="Normal 14 4 2" xfId="20754" xr:uid="{00000000-0005-0000-0000-0000B1510000}"/>
    <cellStyle name="Normal 14 5" xfId="7472" xr:uid="{00000000-0005-0000-0000-0000B2510000}"/>
    <cellStyle name="Normal 14 5 2" xfId="18760" xr:uid="{00000000-0005-0000-0000-0000B3510000}"/>
    <cellStyle name="Normal 14 6" xfId="5478" xr:uid="{00000000-0005-0000-0000-0000B4510000}"/>
    <cellStyle name="Normal 14 6 2" xfId="16766" xr:uid="{00000000-0005-0000-0000-0000B5510000}"/>
    <cellStyle name="Normal 14 7" xfId="3241" xr:uid="{00000000-0005-0000-0000-0000B6510000}"/>
    <cellStyle name="Normal 14 7 2" xfId="14772" xr:uid="{00000000-0005-0000-0000-0000B7510000}"/>
    <cellStyle name="Normal 14 8" xfId="13756" xr:uid="{00000000-0005-0000-0000-0000B8510000}"/>
    <cellStyle name="Normal 14 9" xfId="13458" xr:uid="{00000000-0005-0000-0000-0000B9510000}"/>
    <cellStyle name="Normal 15" xfId="166" xr:uid="{00000000-0005-0000-0000-0000BA510000}"/>
    <cellStyle name="Normal 15 2" xfId="651" xr:uid="{00000000-0005-0000-0000-0000BB510000}"/>
    <cellStyle name="Normal 15 2 2" xfId="12458" xr:uid="{00000000-0005-0000-0000-0000BC510000}"/>
    <cellStyle name="Normal 15 2 2 2" xfId="23746" xr:uid="{00000000-0005-0000-0000-0000BD510000}"/>
    <cellStyle name="Normal 15 2 3" xfId="10464" xr:uid="{00000000-0005-0000-0000-0000BE510000}"/>
    <cellStyle name="Normal 15 2 3 2" xfId="21752" xr:uid="{00000000-0005-0000-0000-0000BF510000}"/>
    <cellStyle name="Normal 15 2 4" xfId="8470" xr:uid="{00000000-0005-0000-0000-0000C0510000}"/>
    <cellStyle name="Normal 15 2 4 2" xfId="19758" xr:uid="{00000000-0005-0000-0000-0000C1510000}"/>
    <cellStyle name="Normal 15 2 5" xfId="6476" xr:uid="{00000000-0005-0000-0000-0000C2510000}"/>
    <cellStyle name="Normal 15 2 5 2" xfId="17764" xr:uid="{00000000-0005-0000-0000-0000C3510000}"/>
    <cellStyle name="Normal 15 2 6" xfId="4479" xr:uid="{00000000-0005-0000-0000-0000C4510000}"/>
    <cellStyle name="Normal 15 2 6 2" xfId="15770" xr:uid="{00000000-0005-0000-0000-0000C5510000}"/>
    <cellStyle name="Normal 15 3" xfId="11461" xr:uid="{00000000-0005-0000-0000-0000C6510000}"/>
    <cellStyle name="Normal 15 3 2" xfId="22749" xr:uid="{00000000-0005-0000-0000-0000C7510000}"/>
    <cellStyle name="Normal 15 4" xfId="9467" xr:uid="{00000000-0005-0000-0000-0000C8510000}"/>
    <cellStyle name="Normal 15 4 2" xfId="20755" xr:uid="{00000000-0005-0000-0000-0000C9510000}"/>
    <cellStyle name="Normal 15 5" xfId="7473" xr:uid="{00000000-0005-0000-0000-0000CA510000}"/>
    <cellStyle name="Normal 15 5 2" xfId="18761" xr:uid="{00000000-0005-0000-0000-0000CB510000}"/>
    <cellStyle name="Normal 15 6" xfId="5479" xr:uid="{00000000-0005-0000-0000-0000CC510000}"/>
    <cellStyle name="Normal 15 6 2" xfId="16767" xr:uid="{00000000-0005-0000-0000-0000CD510000}"/>
    <cellStyle name="Normal 15 7" xfId="3242" xr:uid="{00000000-0005-0000-0000-0000CE510000}"/>
    <cellStyle name="Normal 15 7 2" xfId="14773" xr:uid="{00000000-0005-0000-0000-0000CF510000}"/>
    <cellStyle name="Normal 15 8" xfId="13682" xr:uid="{00000000-0005-0000-0000-0000D0510000}"/>
    <cellStyle name="Normal 15 9" xfId="13459" xr:uid="{00000000-0005-0000-0000-0000D1510000}"/>
    <cellStyle name="Normal 16" xfId="335" xr:uid="{00000000-0005-0000-0000-0000D2510000}"/>
    <cellStyle name="Normal 16 10" xfId="24298" xr:uid="{00000000-0005-0000-0000-0000D3510000}"/>
    <cellStyle name="Normal 16 2" xfId="4480" xr:uid="{00000000-0005-0000-0000-0000D4510000}"/>
    <cellStyle name="Normal 16 2 2" xfId="12459" xr:uid="{00000000-0005-0000-0000-0000D5510000}"/>
    <cellStyle name="Normal 16 2 2 2" xfId="23747" xr:uid="{00000000-0005-0000-0000-0000D6510000}"/>
    <cellStyle name="Normal 16 2 3" xfId="10465" xr:uid="{00000000-0005-0000-0000-0000D7510000}"/>
    <cellStyle name="Normal 16 2 3 2" xfId="21753" xr:uid="{00000000-0005-0000-0000-0000D8510000}"/>
    <cellStyle name="Normal 16 2 4" xfId="8471" xr:uid="{00000000-0005-0000-0000-0000D9510000}"/>
    <cellStyle name="Normal 16 2 4 2" xfId="19759" xr:uid="{00000000-0005-0000-0000-0000DA510000}"/>
    <cellStyle name="Normal 16 2 5" xfId="6477" xr:uid="{00000000-0005-0000-0000-0000DB510000}"/>
    <cellStyle name="Normal 16 2 5 2" xfId="17765" xr:uid="{00000000-0005-0000-0000-0000DC510000}"/>
    <cellStyle name="Normal 16 2 6" xfId="15771" xr:uid="{00000000-0005-0000-0000-0000DD510000}"/>
    <cellStyle name="Normal 16 3" xfId="11462" xr:uid="{00000000-0005-0000-0000-0000DE510000}"/>
    <cellStyle name="Normal 16 3 2" xfId="22750" xr:uid="{00000000-0005-0000-0000-0000DF510000}"/>
    <cellStyle name="Normal 16 4" xfId="9468" xr:uid="{00000000-0005-0000-0000-0000E0510000}"/>
    <cellStyle name="Normal 16 4 2" xfId="20756" xr:uid="{00000000-0005-0000-0000-0000E1510000}"/>
    <cellStyle name="Normal 16 5" xfId="7474" xr:uid="{00000000-0005-0000-0000-0000E2510000}"/>
    <cellStyle name="Normal 16 5 2" xfId="18762" xr:uid="{00000000-0005-0000-0000-0000E3510000}"/>
    <cellStyle name="Normal 16 6" xfId="5480" xr:uid="{00000000-0005-0000-0000-0000E4510000}"/>
    <cellStyle name="Normal 16 6 2" xfId="16768" xr:uid="{00000000-0005-0000-0000-0000E5510000}"/>
    <cellStyle name="Normal 16 7" xfId="3243" xr:uid="{00000000-0005-0000-0000-0000E6510000}"/>
    <cellStyle name="Normal 16 7 2" xfId="14774" xr:uid="{00000000-0005-0000-0000-0000E7510000}"/>
    <cellStyle name="Normal 16 8" xfId="13757" xr:uid="{00000000-0005-0000-0000-0000E8510000}"/>
    <cellStyle name="Normal 16 9" xfId="13460" xr:uid="{00000000-0005-0000-0000-0000E9510000}"/>
    <cellStyle name="Normal 17" xfId="343" xr:uid="{00000000-0005-0000-0000-0000EA510000}"/>
    <cellStyle name="Normal 17 10" xfId="23928" xr:uid="{00000000-0005-0000-0000-0000EB510000}"/>
    <cellStyle name="Normal 17 11" xfId="24556" xr:uid="{00000000-0005-0000-0000-0000EC510000}"/>
    <cellStyle name="Normal 17 12" xfId="24946" xr:uid="{00000000-0005-0000-0000-0000ED510000}"/>
    <cellStyle name="Normal 17 2" xfId="4481" xr:uid="{00000000-0005-0000-0000-0000EE510000}"/>
    <cellStyle name="Normal 17 2 2" xfId="12460" xr:uid="{00000000-0005-0000-0000-0000EF510000}"/>
    <cellStyle name="Normal 17 2 2 2" xfId="23748" xr:uid="{00000000-0005-0000-0000-0000F0510000}"/>
    <cellStyle name="Normal 17 2 3" xfId="10466" xr:uid="{00000000-0005-0000-0000-0000F1510000}"/>
    <cellStyle name="Normal 17 2 3 2" xfId="21754" xr:uid="{00000000-0005-0000-0000-0000F2510000}"/>
    <cellStyle name="Normal 17 2 4" xfId="8472" xr:uid="{00000000-0005-0000-0000-0000F3510000}"/>
    <cellStyle name="Normal 17 2 4 2" xfId="19760" xr:uid="{00000000-0005-0000-0000-0000F4510000}"/>
    <cellStyle name="Normal 17 2 5" xfId="6478" xr:uid="{00000000-0005-0000-0000-0000F5510000}"/>
    <cellStyle name="Normal 17 2 5 2" xfId="17766" xr:uid="{00000000-0005-0000-0000-0000F6510000}"/>
    <cellStyle name="Normal 17 2 6" xfId="15772" xr:uid="{00000000-0005-0000-0000-0000F7510000}"/>
    <cellStyle name="Normal 17 2 7" xfId="24316" xr:uid="{00000000-0005-0000-0000-0000F8510000}"/>
    <cellStyle name="Normal 17 2 8" xfId="24781" xr:uid="{00000000-0005-0000-0000-0000F9510000}"/>
    <cellStyle name="Normal 17 2 9" xfId="25148" xr:uid="{00000000-0005-0000-0000-0000FA510000}"/>
    <cellStyle name="Normal 17 3" xfId="11463" xr:uid="{00000000-0005-0000-0000-0000FB510000}"/>
    <cellStyle name="Normal 17 3 2" xfId="22751" xr:uid="{00000000-0005-0000-0000-0000FC510000}"/>
    <cellStyle name="Normal 17 4" xfId="9469" xr:uid="{00000000-0005-0000-0000-0000FD510000}"/>
    <cellStyle name="Normal 17 4 2" xfId="20757" xr:uid="{00000000-0005-0000-0000-0000FE510000}"/>
    <cellStyle name="Normal 17 5" xfId="7475" xr:uid="{00000000-0005-0000-0000-0000FF510000}"/>
    <cellStyle name="Normal 17 5 2" xfId="18763" xr:uid="{00000000-0005-0000-0000-000000520000}"/>
    <cellStyle name="Normal 17 6" xfId="5481" xr:uid="{00000000-0005-0000-0000-000001520000}"/>
    <cellStyle name="Normal 17 6 2" xfId="16769" xr:uid="{00000000-0005-0000-0000-000002520000}"/>
    <cellStyle name="Normal 17 7" xfId="3244" xr:uid="{00000000-0005-0000-0000-000003520000}"/>
    <cellStyle name="Normal 17 7 2" xfId="14775" xr:uid="{00000000-0005-0000-0000-000004520000}"/>
    <cellStyle name="Normal 17 8" xfId="13762" xr:uid="{00000000-0005-0000-0000-000005520000}"/>
    <cellStyle name="Normal 17 9" xfId="13461" xr:uid="{00000000-0005-0000-0000-000006520000}"/>
    <cellStyle name="Normal 18" xfId="350" xr:uid="{00000000-0005-0000-0000-000007520000}"/>
    <cellStyle name="Normal 18 2" xfId="4482" xr:uid="{00000000-0005-0000-0000-000008520000}"/>
    <cellStyle name="Normal 18 2 2" xfId="12461" xr:uid="{00000000-0005-0000-0000-000009520000}"/>
    <cellStyle name="Normal 18 2 2 2" xfId="23749" xr:uid="{00000000-0005-0000-0000-00000A520000}"/>
    <cellStyle name="Normal 18 2 3" xfId="10467" xr:uid="{00000000-0005-0000-0000-00000B520000}"/>
    <cellStyle name="Normal 18 2 3 2" xfId="21755" xr:uid="{00000000-0005-0000-0000-00000C520000}"/>
    <cellStyle name="Normal 18 2 4" xfId="8473" xr:uid="{00000000-0005-0000-0000-00000D520000}"/>
    <cellStyle name="Normal 18 2 4 2" xfId="19761" xr:uid="{00000000-0005-0000-0000-00000E520000}"/>
    <cellStyle name="Normal 18 2 5" xfId="6479" xr:uid="{00000000-0005-0000-0000-00000F520000}"/>
    <cellStyle name="Normal 18 2 5 2" xfId="17767" xr:uid="{00000000-0005-0000-0000-000010520000}"/>
    <cellStyle name="Normal 18 2 6" xfId="15773" xr:uid="{00000000-0005-0000-0000-000011520000}"/>
    <cellStyle name="Normal 18 3" xfId="11464" xr:uid="{00000000-0005-0000-0000-000012520000}"/>
    <cellStyle name="Normal 18 3 2" xfId="22752" xr:uid="{00000000-0005-0000-0000-000013520000}"/>
    <cellStyle name="Normal 18 4" xfId="9470" xr:uid="{00000000-0005-0000-0000-000014520000}"/>
    <cellStyle name="Normal 18 4 2" xfId="20758" xr:uid="{00000000-0005-0000-0000-000015520000}"/>
    <cellStyle name="Normal 18 5" xfId="7476" xr:uid="{00000000-0005-0000-0000-000016520000}"/>
    <cellStyle name="Normal 18 5 2" xfId="18764" xr:uid="{00000000-0005-0000-0000-000017520000}"/>
    <cellStyle name="Normal 18 6" xfId="5482" xr:uid="{00000000-0005-0000-0000-000018520000}"/>
    <cellStyle name="Normal 18 6 2" xfId="16770" xr:uid="{00000000-0005-0000-0000-000019520000}"/>
    <cellStyle name="Normal 18 7" xfId="3245" xr:uid="{00000000-0005-0000-0000-00001A520000}"/>
    <cellStyle name="Normal 18 7 2" xfId="14776" xr:uid="{00000000-0005-0000-0000-00001B520000}"/>
    <cellStyle name="Normal 18 8" xfId="13763" xr:uid="{00000000-0005-0000-0000-00001C520000}"/>
    <cellStyle name="Normal 18 9" xfId="13462" xr:uid="{00000000-0005-0000-0000-00001D520000}"/>
    <cellStyle name="Normal 19" xfId="359" xr:uid="{00000000-0005-0000-0000-00001E520000}"/>
    <cellStyle name="Normal 19 2" xfId="4483" xr:uid="{00000000-0005-0000-0000-00001F520000}"/>
    <cellStyle name="Normal 19 2 2" xfId="12462" xr:uid="{00000000-0005-0000-0000-000020520000}"/>
    <cellStyle name="Normal 19 2 2 2" xfId="23750" xr:uid="{00000000-0005-0000-0000-000021520000}"/>
    <cellStyle name="Normal 19 2 3" xfId="10468" xr:uid="{00000000-0005-0000-0000-000022520000}"/>
    <cellStyle name="Normal 19 2 3 2" xfId="21756" xr:uid="{00000000-0005-0000-0000-000023520000}"/>
    <cellStyle name="Normal 19 2 4" xfId="8474" xr:uid="{00000000-0005-0000-0000-000024520000}"/>
    <cellStyle name="Normal 19 2 4 2" xfId="19762" xr:uid="{00000000-0005-0000-0000-000025520000}"/>
    <cellStyle name="Normal 19 2 5" xfId="6480" xr:uid="{00000000-0005-0000-0000-000026520000}"/>
    <cellStyle name="Normal 19 2 5 2" xfId="17768" xr:uid="{00000000-0005-0000-0000-000027520000}"/>
    <cellStyle name="Normal 19 2 6" xfId="15774" xr:uid="{00000000-0005-0000-0000-000028520000}"/>
    <cellStyle name="Normal 19 3" xfId="11465" xr:uid="{00000000-0005-0000-0000-000029520000}"/>
    <cellStyle name="Normal 19 3 2" xfId="22753" xr:uid="{00000000-0005-0000-0000-00002A520000}"/>
    <cellStyle name="Normal 19 4" xfId="9471" xr:uid="{00000000-0005-0000-0000-00002B520000}"/>
    <cellStyle name="Normal 19 4 2" xfId="20759" xr:uid="{00000000-0005-0000-0000-00002C520000}"/>
    <cellStyle name="Normal 19 5" xfId="7477" xr:uid="{00000000-0005-0000-0000-00002D520000}"/>
    <cellStyle name="Normal 19 5 2" xfId="18765" xr:uid="{00000000-0005-0000-0000-00002E520000}"/>
    <cellStyle name="Normal 19 6" xfId="5483" xr:uid="{00000000-0005-0000-0000-00002F520000}"/>
    <cellStyle name="Normal 19 6 2" xfId="16771" xr:uid="{00000000-0005-0000-0000-000030520000}"/>
    <cellStyle name="Normal 19 7" xfId="3246" xr:uid="{00000000-0005-0000-0000-000031520000}"/>
    <cellStyle name="Normal 19 7 2" xfId="14777" xr:uid="{00000000-0005-0000-0000-000032520000}"/>
    <cellStyle name="Normal 19 8" xfId="13769" xr:uid="{00000000-0005-0000-0000-000033520000}"/>
    <cellStyle name="Normal 19 9" xfId="13463" xr:uid="{00000000-0005-0000-0000-000034520000}"/>
    <cellStyle name="Normal 2" xfId="9" xr:uid="{00000000-0005-0000-0000-000035520000}"/>
    <cellStyle name="Normal 2 10" xfId="24139" xr:uid="{00000000-0005-0000-0000-000036520000}"/>
    <cellStyle name="Normal 2 11" xfId="25752" xr:uid="{00000000-0005-0000-0000-000037520000}"/>
    <cellStyle name="Normal 2 2" xfId="51" xr:uid="{00000000-0005-0000-0000-000038520000}"/>
    <cellStyle name="Normal 2 2 2" xfId="202" xr:uid="{00000000-0005-0000-0000-000039520000}"/>
    <cellStyle name="Normal 2 2 2 2" xfId="348" xr:uid="{00000000-0005-0000-0000-00003A520000}"/>
    <cellStyle name="Normal 2 2 2 2 2" xfId="654" xr:uid="{00000000-0005-0000-0000-00003B520000}"/>
    <cellStyle name="Normal 2 2 2 2 3" xfId="653" xr:uid="{00000000-0005-0000-0000-00003C520000}"/>
    <cellStyle name="Normal 2 2 2 3" xfId="366" xr:uid="{00000000-0005-0000-0000-00003D520000}"/>
    <cellStyle name="Normal 2 2 2 3 2" xfId="448" xr:uid="{00000000-0005-0000-0000-00003E520000}"/>
    <cellStyle name="Normal 2 2 2 3 2 2" xfId="534" xr:uid="{00000000-0005-0000-0000-00003F520000}"/>
    <cellStyle name="Normal 2 2 2 3 2 2 2" xfId="13897" xr:uid="{00000000-0005-0000-0000-000040520000}"/>
    <cellStyle name="Normal 2 2 2 3 2 3" xfId="13820" xr:uid="{00000000-0005-0000-0000-000041520000}"/>
    <cellStyle name="Normal 2 2 2 3 3" xfId="497" xr:uid="{00000000-0005-0000-0000-000042520000}"/>
    <cellStyle name="Normal 2 2 2 3 3 2" xfId="13860" xr:uid="{00000000-0005-0000-0000-000043520000}"/>
    <cellStyle name="Normal 2 2 2 3 4" xfId="13776" xr:uid="{00000000-0005-0000-0000-000044520000}"/>
    <cellStyle name="Normal 2 2 2 4" xfId="428" xr:uid="{00000000-0005-0000-0000-000045520000}"/>
    <cellStyle name="Normal 2 2 2 4 2" xfId="519" xr:uid="{00000000-0005-0000-0000-000046520000}"/>
    <cellStyle name="Normal 2 2 2 4 2 2" xfId="13882" xr:uid="{00000000-0005-0000-0000-000047520000}"/>
    <cellStyle name="Normal 2 2 2 4 3" xfId="13805" xr:uid="{00000000-0005-0000-0000-000048520000}"/>
    <cellStyle name="Normal 2 2 2 5" xfId="482" xr:uid="{00000000-0005-0000-0000-000049520000}"/>
    <cellStyle name="Normal 2 2 2 5 2" xfId="13845" xr:uid="{00000000-0005-0000-0000-00004A520000}"/>
    <cellStyle name="Normal 2 2 2 6" xfId="652" xr:uid="{00000000-0005-0000-0000-00004B520000}"/>
    <cellStyle name="Normal 2 2 2 7" xfId="13702" xr:uid="{00000000-0005-0000-0000-00004C520000}"/>
    <cellStyle name="Normal 2 2 3" xfId="406" xr:uid="{00000000-0005-0000-0000-00004D520000}"/>
    <cellStyle name="Normal 2 2 4" xfId="384" xr:uid="{00000000-0005-0000-0000-00004E520000}"/>
    <cellStyle name="Normal 2 3" xfId="165" xr:uid="{00000000-0005-0000-0000-00004F520000}"/>
    <cellStyle name="Normal 2 3 2" xfId="421" xr:uid="{00000000-0005-0000-0000-000050520000}"/>
    <cellStyle name="Normal 2 3 2 2" xfId="25785" xr:uid="{00000000-0005-0000-0000-000051520000}"/>
    <cellStyle name="Normal 2 3 3" xfId="385" xr:uid="{00000000-0005-0000-0000-000052520000}"/>
    <cellStyle name="Normal 2 3 4" xfId="655" xr:uid="{00000000-0005-0000-0000-000053520000}"/>
    <cellStyle name="Normal 2 3 4 2" xfId="13910" xr:uid="{00000000-0005-0000-0000-000054520000}"/>
    <cellStyle name="Normal 2 4" xfId="656" xr:uid="{00000000-0005-0000-0000-000055520000}"/>
    <cellStyle name="Normal 2 4 2" xfId="3248" xr:uid="{00000000-0005-0000-0000-000056520000}"/>
    <cellStyle name="Normal 2 4 2 2" xfId="25786" xr:uid="{00000000-0005-0000-0000-000057520000}"/>
    <cellStyle name="Normal 2 4 3" xfId="25772" xr:uid="{00000000-0005-0000-0000-000058520000}"/>
    <cellStyle name="Normal 2 5" xfId="657" xr:uid="{00000000-0005-0000-0000-000059520000}"/>
    <cellStyle name="Normal 2 5 2" xfId="11466" xr:uid="{00000000-0005-0000-0000-00005A520000}"/>
    <cellStyle name="Normal 2 5 2 2" xfId="22754" xr:uid="{00000000-0005-0000-0000-00005B520000}"/>
    <cellStyle name="Normal 2 5 3" xfId="9472" xr:uid="{00000000-0005-0000-0000-00005C520000}"/>
    <cellStyle name="Normal 2 5 3 2" xfId="20760" xr:uid="{00000000-0005-0000-0000-00005D520000}"/>
    <cellStyle name="Normal 2 5 4" xfId="7478" xr:uid="{00000000-0005-0000-0000-00005E520000}"/>
    <cellStyle name="Normal 2 5 4 2" xfId="18766" xr:uid="{00000000-0005-0000-0000-00005F520000}"/>
    <cellStyle name="Normal 2 5 5" xfId="5484" xr:uid="{00000000-0005-0000-0000-000060520000}"/>
    <cellStyle name="Normal 2 5 5 2" xfId="16772" xr:uid="{00000000-0005-0000-0000-000061520000}"/>
    <cellStyle name="Normal 2 5 6" xfId="3249" xr:uid="{00000000-0005-0000-0000-000062520000}"/>
    <cellStyle name="Normal 2 5 6 2" xfId="14778" xr:uid="{00000000-0005-0000-0000-000063520000}"/>
    <cellStyle name="Normal 2 5 7" xfId="24140" xr:uid="{00000000-0005-0000-0000-000064520000}"/>
    <cellStyle name="Normal 2 6" xfId="4484" xr:uid="{00000000-0005-0000-0000-000065520000}"/>
    <cellStyle name="Normal 2 6 2" xfId="12463" xr:uid="{00000000-0005-0000-0000-000066520000}"/>
    <cellStyle name="Normal 2 6 2 2" xfId="23751" xr:uid="{00000000-0005-0000-0000-000067520000}"/>
    <cellStyle name="Normal 2 6 3" xfId="10469" xr:uid="{00000000-0005-0000-0000-000068520000}"/>
    <cellStyle name="Normal 2 6 3 2" xfId="21757" xr:uid="{00000000-0005-0000-0000-000069520000}"/>
    <cellStyle name="Normal 2 6 4" xfId="8475" xr:uid="{00000000-0005-0000-0000-00006A520000}"/>
    <cellStyle name="Normal 2 6 4 2" xfId="19763" xr:uid="{00000000-0005-0000-0000-00006B520000}"/>
    <cellStyle name="Normal 2 6 5" xfId="6481" xr:uid="{00000000-0005-0000-0000-00006C520000}"/>
    <cellStyle name="Normal 2 6 5 2" xfId="17769" xr:uid="{00000000-0005-0000-0000-00006D520000}"/>
    <cellStyle name="Normal 2 6 6" xfId="15775" xr:uid="{00000000-0005-0000-0000-00006E520000}"/>
    <cellStyle name="Normal 2 6 7" xfId="24141" xr:uid="{00000000-0005-0000-0000-00006F520000}"/>
    <cellStyle name="Normal 2 6 8" xfId="25780" xr:uid="{00000000-0005-0000-0000-000070520000}"/>
    <cellStyle name="Normal 2 7" xfId="3247" xr:uid="{00000000-0005-0000-0000-000071520000}"/>
    <cellStyle name="Normal 2 7 2" xfId="24142" xr:uid="{00000000-0005-0000-0000-000072520000}"/>
    <cellStyle name="Normal 2 8" xfId="13604" xr:uid="{00000000-0005-0000-0000-000073520000}"/>
    <cellStyle name="Normal 2 9" xfId="23906" xr:uid="{00000000-0005-0000-0000-000074520000}"/>
    <cellStyle name="Normal 20" xfId="393" xr:uid="{00000000-0005-0000-0000-000075520000}"/>
    <cellStyle name="Normal 20 2" xfId="4485" xr:uid="{00000000-0005-0000-0000-000076520000}"/>
    <cellStyle name="Normal 20 2 2" xfId="12464" xr:uid="{00000000-0005-0000-0000-000077520000}"/>
    <cellStyle name="Normal 20 2 2 2" xfId="23752" xr:uid="{00000000-0005-0000-0000-000078520000}"/>
    <cellStyle name="Normal 20 2 3" xfId="10470" xr:uid="{00000000-0005-0000-0000-000079520000}"/>
    <cellStyle name="Normal 20 2 3 2" xfId="21758" xr:uid="{00000000-0005-0000-0000-00007A520000}"/>
    <cellStyle name="Normal 20 2 4" xfId="8476" xr:uid="{00000000-0005-0000-0000-00007B520000}"/>
    <cellStyle name="Normal 20 2 4 2" xfId="19764" xr:uid="{00000000-0005-0000-0000-00007C520000}"/>
    <cellStyle name="Normal 20 2 5" xfId="6482" xr:uid="{00000000-0005-0000-0000-00007D520000}"/>
    <cellStyle name="Normal 20 2 5 2" xfId="17770" xr:uid="{00000000-0005-0000-0000-00007E520000}"/>
    <cellStyle name="Normal 20 2 6" xfId="15776" xr:uid="{00000000-0005-0000-0000-00007F520000}"/>
    <cellStyle name="Normal 20 3" xfId="11467" xr:uid="{00000000-0005-0000-0000-000080520000}"/>
    <cellStyle name="Normal 20 3 2" xfId="22755" xr:uid="{00000000-0005-0000-0000-000081520000}"/>
    <cellStyle name="Normal 20 4" xfId="9473" xr:uid="{00000000-0005-0000-0000-000082520000}"/>
    <cellStyle name="Normal 20 4 2" xfId="20761" xr:uid="{00000000-0005-0000-0000-000083520000}"/>
    <cellStyle name="Normal 20 5" xfId="7479" xr:uid="{00000000-0005-0000-0000-000084520000}"/>
    <cellStyle name="Normal 20 5 2" xfId="18767" xr:uid="{00000000-0005-0000-0000-000085520000}"/>
    <cellStyle name="Normal 20 6" xfId="5485" xr:uid="{00000000-0005-0000-0000-000086520000}"/>
    <cellStyle name="Normal 20 6 2" xfId="16773" xr:uid="{00000000-0005-0000-0000-000087520000}"/>
    <cellStyle name="Normal 20 7" xfId="3250" xr:uid="{00000000-0005-0000-0000-000088520000}"/>
    <cellStyle name="Normal 20 7 2" xfId="14779" xr:uid="{00000000-0005-0000-0000-000089520000}"/>
    <cellStyle name="Normal 20 8" xfId="13787" xr:uid="{00000000-0005-0000-0000-00008A520000}"/>
    <cellStyle name="Normal 20 9" xfId="13464" xr:uid="{00000000-0005-0000-0000-00008B520000}"/>
    <cellStyle name="Normal 21" xfId="370" xr:uid="{00000000-0005-0000-0000-00008C520000}"/>
    <cellStyle name="Normal 21 10" xfId="24130" xr:uid="{00000000-0005-0000-0000-00008D520000}"/>
    <cellStyle name="Normal 21 2" xfId="500" xr:uid="{00000000-0005-0000-0000-00008E520000}"/>
    <cellStyle name="Normal 21 2 2" xfId="12465" xr:uid="{00000000-0005-0000-0000-00008F520000}"/>
    <cellStyle name="Normal 21 2 2 2" xfId="23753" xr:uid="{00000000-0005-0000-0000-000090520000}"/>
    <cellStyle name="Normal 21 2 3" xfId="10471" xr:uid="{00000000-0005-0000-0000-000091520000}"/>
    <cellStyle name="Normal 21 2 3 2" xfId="21759" xr:uid="{00000000-0005-0000-0000-000092520000}"/>
    <cellStyle name="Normal 21 2 4" xfId="8477" xr:uid="{00000000-0005-0000-0000-000093520000}"/>
    <cellStyle name="Normal 21 2 4 2" xfId="19765" xr:uid="{00000000-0005-0000-0000-000094520000}"/>
    <cellStyle name="Normal 21 2 5" xfId="6483" xr:uid="{00000000-0005-0000-0000-000095520000}"/>
    <cellStyle name="Normal 21 2 5 2" xfId="17771" xr:uid="{00000000-0005-0000-0000-000096520000}"/>
    <cellStyle name="Normal 21 2 6" xfId="4486" xr:uid="{00000000-0005-0000-0000-000097520000}"/>
    <cellStyle name="Normal 21 2 6 2" xfId="15777" xr:uid="{00000000-0005-0000-0000-000098520000}"/>
    <cellStyle name="Normal 21 2 7" xfId="13863" xr:uid="{00000000-0005-0000-0000-000099520000}"/>
    <cellStyle name="Normal 21 3" xfId="11468" xr:uid="{00000000-0005-0000-0000-00009A520000}"/>
    <cellStyle name="Normal 21 3 2" xfId="22756" xr:uid="{00000000-0005-0000-0000-00009B520000}"/>
    <cellStyle name="Normal 21 4" xfId="9474" xr:uid="{00000000-0005-0000-0000-00009C520000}"/>
    <cellStyle name="Normal 21 4 2" xfId="20762" xr:uid="{00000000-0005-0000-0000-00009D520000}"/>
    <cellStyle name="Normal 21 5" xfId="7480" xr:uid="{00000000-0005-0000-0000-00009E520000}"/>
    <cellStyle name="Normal 21 5 2" xfId="18768" xr:uid="{00000000-0005-0000-0000-00009F520000}"/>
    <cellStyle name="Normal 21 6" xfId="5486" xr:uid="{00000000-0005-0000-0000-0000A0520000}"/>
    <cellStyle name="Normal 21 6 2" xfId="16774" xr:uid="{00000000-0005-0000-0000-0000A1520000}"/>
    <cellStyle name="Normal 21 7" xfId="3251" xr:uid="{00000000-0005-0000-0000-0000A2520000}"/>
    <cellStyle name="Normal 21 7 2" xfId="14780" xr:uid="{00000000-0005-0000-0000-0000A3520000}"/>
    <cellStyle name="Normal 21 8" xfId="13779" xr:uid="{00000000-0005-0000-0000-0000A4520000}"/>
    <cellStyle name="Normal 21 9" xfId="13465" xr:uid="{00000000-0005-0000-0000-0000A5520000}"/>
    <cellStyle name="Normal 22" xfId="419" xr:uid="{00000000-0005-0000-0000-0000A6520000}"/>
    <cellStyle name="Normal 22 10" xfId="24314" xr:uid="{00000000-0005-0000-0000-0000A7520000}"/>
    <cellStyle name="Normal 22 2" xfId="512" xr:uid="{00000000-0005-0000-0000-0000A8520000}"/>
    <cellStyle name="Normal 22 2 2" xfId="12466" xr:uid="{00000000-0005-0000-0000-0000A9520000}"/>
    <cellStyle name="Normal 22 2 2 2" xfId="23754" xr:uid="{00000000-0005-0000-0000-0000AA520000}"/>
    <cellStyle name="Normal 22 2 3" xfId="10472" xr:uid="{00000000-0005-0000-0000-0000AB520000}"/>
    <cellStyle name="Normal 22 2 3 2" xfId="21760" xr:uid="{00000000-0005-0000-0000-0000AC520000}"/>
    <cellStyle name="Normal 22 2 4" xfId="8478" xr:uid="{00000000-0005-0000-0000-0000AD520000}"/>
    <cellStyle name="Normal 22 2 4 2" xfId="19766" xr:uid="{00000000-0005-0000-0000-0000AE520000}"/>
    <cellStyle name="Normal 22 2 5" xfId="6484" xr:uid="{00000000-0005-0000-0000-0000AF520000}"/>
    <cellStyle name="Normal 22 2 5 2" xfId="17772" xr:uid="{00000000-0005-0000-0000-0000B0520000}"/>
    <cellStyle name="Normal 22 2 6" xfId="4487" xr:uid="{00000000-0005-0000-0000-0000B1520000}"/>
    <cellStyle name="Normal 22 2 6 2" xfId="15778" xr:uid="{00000000-0005-0000-0000-0000B2520000}"/>
    <cellStyle name="Normal 22 2 7" xfId="13875" xr:uid="{00000000-0005-0000-0000-0000B3520000}"/>
    <cellStyle name="Normal 22 3" xfId="11469" xr:uid="{00000000-0005-0000-0000-0000B4520000}"/>
    <cellStyle name="Normal 22 3 2" xfId="22757" xr:uid="{00000000-0005-0000-0000-0000B5520000}"/>
    <cellStyle name="Normal 22 4" xfId="9475" xr:uid="{00000000-0005-0000-0000-0000B6520000}"/>
    <cellStyle name="Normal 22 4 2" xfId="20763" xr:uid="{00000000-0005-0000-0000-0000B7520000}"/>
    <cellStyle name="Normal 22 5" xfId="7481" xr:uid="{00000000-0005-0000-0000-0000B8520000}"/>
    <cellStyle name="Normal 22 5 2" xfId="18769" xr:uid="{00000000-0005-0000-0000-0000B9520000}"/>
    <cellStyle name="Normal 22 6" xfId="5487" xr:uid="{00000000-0005-0000-0000-0000BA520000}"/>
    <cellStyle name="Normal 22 6 2" xfId="16775" xr:uid="{00000000-0005-0000-0000-0000BB520000}"/>
    <cellStyle name="Normal 22 7" xfId="3252" xr:uid="{00000000-0005-0000-0000-0000BC520000}"/>
    <cellStyle name="Normal 22 7 2" xfId="14781" xr:uid="{00000000-0005-0000-0000-0000BD520000}"/>
    <cellStyle name="Normal 22 8" xfId="13798" xr:uid="{00000000-0005-0000-0000-0000BE520000}"/>
    <cellStyle name="Normal 22 9" xfId="13466" xr:uid="{00000000-0005-0000-0000-0000BF520000}"/>
    <cellStyle name="Normal 23" xfId="52" xr:uid="{00000000-0005-0000-0000-0000C0520000}"/>
    <cellStyle name="Normal 23 10" xfId="24478" xr:uid="{00000000-0005-0000-0000-0000C1520000}"/>
    <cellStyle name="Normal 23 2" xfId="4488" xr:uid="{00000000-0005-0000-0000-0000C2520000}"/>
    <cellStyle name="Normal 23 2 2" xfId="12467" xr:uid="{00000000-0005-0000-0000-0000C3520000}"/>
    <cellStyle name="Normal 23 2 2 2" xfId="23755" xr:uid="{00000000-0005-0000-0000-0000C4520000}"/>
    <cellStyle name="Normal 23 2 3" xfId="10473" xr:uid="{00000000-0005-0000-0000-0000C5520000}"/>
    <cellStyle name="Normal 23 2 3 2" xfId="21761" xr:uid="{00000000-0005-0000-0000-0000C6520000}"/>
    <cellStyle name="Normal 23 2 4" xfId="8479" xr:uid="{00000000-0005-0000-0000-0000C7520000}"/>
    <cellStyle name="Normal 23 2 4 2" xfId="19767" xr:uid="{00000000-0005-0000-0000-0000C8520000}"/>
    <cellStyle name="Normal 23 2 5" xfId="6485" xr:uid="{00000000-0005-0000-0000-0000C9520000}"/>
    <cellStyle name="Normal 23 2 5 2" xfId="17773" xr:uid="{00000000-0005-0000-0000-0000CA520000}"/>
    <cellStyle name="Normal 23 2 6" xfId="15779" xr:uid="{00000000-0005-0000-0000-0000CB520000}"/>
    <cellStyle name="Normal 23 3" xfId="4619" xr:uid="{00000000-0005-0000-0000-0000CC520000}"/>
    <cellStyle name="Normal 23 3 2" xfId="11470" xr:uid="{00000000-0005-0000-0000-0000CD520000}"/>
    <cellStyle name="Normal 23 3 2 2" xfId="22758" xr:uid="{00000000-0005-0000-0000-0000CE520000}"/>
    <cellStyle name="Normal 23 4" xfId="9476" xr:uid="{00000000-0005-0000-0000-0000CF520000}"/>
    <cellStyle name="Normal 23 4 2" xfId="20764" xr:uid="{00000000-0005-0000-0000-0000D0520000}"/>
    <cellStyle name="Normal 23 5" xfId="7482" xr:uid="{00000000-0005-0000-0000-0000D1520000}"/>
    <cellStyle name="Normal 23 5 2" xfId="18770" xr:uid="{00000000-0005-0000-0000-0000D2520000}"/>
    <cellStyle name="Normal 23 6" xfId="5488" xr:uid="{00000000-0005-0000-0000-0000D3520000}"/>
    <cellStyle name="Normal 23 6 2" xfId="16776" xr:uid="{00000000-0005-0000-0000-0000D4520000}"/>
    <cellStyle name="Normal 23 7" xfId="3253" xr:uid="{00000000-0005-0000-0000-0000D5520000}"/>
    <cellStyle name="Normal 23 7 2" xfId="14782" xr:uid="{00000000-0005-0000-0000-0000D6520000}"/>
    <cellStyle name="Normal 23 8" xfId="13611" xr:uid="{00000000-0005-0000-0000-0000D7520000}"/>
    <cellStyle name="Normal 23 9" xfId="13467" xr:uid="{00000000-0005-0000-0000-0000D8520000}"/>
    <cellStyle name="Normal 24" xfId="409" xr:uid="{00000000-0005-0000-0000-0000D9520000}"/>
    <cellStyle name="Normal 24 10" xfId="24500" xr:uid="{00000000-0005-0000-0000-0000DA520000}"/>
    <cellStyle name="Normal 24 2" xfId="509" xr:uid="{00000000-0005-0000-0000-0000DB520000}"/>
    <cellStyle name="Normal 24 2 2" xfId="12468" xr:uid="{00000000-0005-0000-0000-0000DC520000}"/>
    <cellStyle name="Normal 24 2 2 2" xfId="23756" xr:uid="{00000000-0005-0000-0000-0000DD520000}"/>
    <cellStyle name="Normal 24 2 3" xfId="10474" xr:uid="{00000000-0005-0000-0000-0000DE520000}"/>
    <cellStyle name="Normal 24 2 3 2" xfId="21762" xr:uid="{00000000-0005-0000-0000-0000DF520000}"/>
    <cellStyle name="Normal 24 2 4" xfId="8480" xr:uid="{00000000-0005-0000-0000-0000E0520000}"/>
    <cellStyle name="Normal 24 2 4 2" xfId="19768" xr:uid="{00000000-0005-0000-0000-0000E1520000}"/>
    <cellStyle name="Normal 24 2 5" xfId="6486" xr:uid="{00000000-0005-0000-0000-0000E2520000}"/>
    <cellStyle name="Normal 24 2 5 2" xfId="17774" xr:uid="{00000000-0005-0000-0000-0000E3520000}"/>
    <cellStyle name="Normal 24 2 6" xfId="4489" xr:uid="{00000000-0005-0000-0000-0000E4520000}"/>
    <cellStyle name="Normal 24 2 6 2" xfId="15780" xr:uid="{00000000-0005-0000-0000-0000E5520000}"/>
    <cellStyle name="Normal 24 2 7" xfId="13872" xr:uid="{00000000-0005-0000-0000-0000E6520000}"/>
    <cellStyle name="Normal 24 3" xfId="11471" xr:uid="{00000000-0005-0000-0000-0000E7520000}"/>
    <cellStyle name="Normal 24 3 2" xfId="22759" xr:uid="{00000000-0005-0000-0000-0000E8520000}"/>
    <cellStyle name="Normal 24 4" xfId="9477" xr:uid="{00000000-0005-0000-0000-0000E9520000}"/>
    <cellStyle name="Normal 24 4 2" xfId="20765" xr:uid="{00000000-0005-0000-0000-0000EA520000}"/>
    <cellStyle name="Normal 24 5" xfId="7483" xr:uid="{00000000-0005-0000-0000-0000EB520000}"/>
    <cellStyle name="Normal 24 5 2" xfId="18771" xr:uid="{00000000-0005-0000-0000-0000EC520000}"/>
    <cellStyle name="Normal 24 6" xfId="5489" xr:uid="{00000000-0005-0000-0000-0000ED520000}"/>
    <cellStyle name="Normal 24 6 2" xfId="16777" xr:uid="{00000000-0005-0000-0000-0000EE520000}"/>
    <cellStyle name="Normal 24 7" xfId="3254" xr:uid="{00000000-0005-0000-0000-0000EF520000}"/>
    <cellStyle name="Normal 24 7 2" xfId="14783" xr:uid="{00000000-0005-0000-0000-0000F0520000}"/>
    <cellStyle name="Normal 24 8" xfId="13791" xr:uid="{00000000-0005-0000-0000-0000F1520000}"/>
    <cellStyle name="Normal 24 9" xfId="13468" xr:uid="{00000000-0005-0000-0000-0000F2520000}"/>
    <cellStyle name="Normal 25" xfId="451" xr:uid="{00000000-0005-0000-0000-0000F3520000}"/>
    <cellStyle name="Normal 25 10" xfId="24476" xr:uid="{00000000-0005-0000-0000-0000F4520000}"/>
    <cellStyle name="Normal 25 2" xfId="537" xr:uid="{00000000-0005-0000-0000-0000F5520000}"/>
    <cellStyle name="Normal 25 2 2" xfId="12469" xr:uid="{00000000-0005-0000-0000-0000F6520000}"/>
    <cellStyle name="Normal 25 2 2 2" xfId="23757" xr:uid="{00000000-0005-0000-0000-0000F7520000}"/>
    <cellStyle name="Normal 25 2 3" xfId="10475" xr:uid="{00000000-0005-0000-0000-0000F8520000}"/>
    <cellStyle name="Normal 25 2 3 2" xfId="21763" xr:uid="{00000000-0005-0000-0000-0000F9520000}"/>
    <cellStyle name="Normal 25 2 4" xfId="8481" xr:uid="{00000000-0005-0000-0000-0000FA520000}"/>
    <cellStyle name="Normal 25 2 4 2" xfId="19769" xr:uid="{00000000-0005-0000-0000-0000FB520000}"/>
    <cellStyle name="Normal 25 2 5" xfId="6487" xr:uid="{00000000-0005-0000-0000-0000FC520000}"/>
    <cellStyle name="Normal 25 2 5 2" xfId="17775" xr:uid="{00000000-0005-0000-0000-0000FD520000}"/>
    <cellStyle name="Normal 25 2 6" xfId="4490" xr:uid="{00000000-0005-0000-0000-0000FE520000}"/>
    <cellStyle name="Normal 25 2 6 2" xfId="15781" xr:uid="{00000000-0005-0000-0000-0000FF520000}"/>
    <cellStyle name="Normal 25 2 7" xfId="13900" xr:uid="{00000000-0005-0000-0000-000000530000}"/>
    <cellStyle name="Normal 25 3" xfId="11472" xr:uid="{00000000-0005-0000-0000-000001530000}"/>
    <cellStyle name="Normal 25 3 2" xfId="22760" xr:uid="{00000000-0005-0000-0000-000002530000}"/>
    <cellStyle name="Normal 25 4" xfId="9478" xr:uid="{00000000-0005-0000-0000-000003530000}"/>
    <cellStyle name="Normal 25 4 2" xfId="20766" xr:uid="{00000000-0005-0000-0000-000004530000}"/>
    <cellStyle name="Normal 25 5" xfId="7484" xr:uid="{00000000-0005-0000-0000-000005530000}"/>
    <cellStyle name="Normal 25 5 2" xfId="18772" xr:uid="{00000000-0005-0000-0000-000006530000}"/>
    <cellStyle name="Normal 25 6" xfId="5490" xr:uid="{00000000-0005-0000-0000-000007530000}"/>
    <cellStyle name="Normal 25 6 2" xfId="16778" xr:uid="{00000000-0005-0000-0000-000008530000}"/>
    <cellStyle name="Normal 25 7" xfId="3255" xr:uid="{00000000-0005-0000-0000-000009530000}"/>
    <cellStyle name="Normal 25 7 2" xfId="14784" xr:uid="{00000000-0005-0000-0000-00000A530000}"/>
    <cellStyle name="Normal 25 8" xfId="13823" xr:uid="{00000000-0005-0000-0000-00000B530000}"/>
    <cellStyle name="Normal 25 9" xfId="13469" xr:uid="{00000000-0005-0000-0000-00000C530000}"/>
    <cellStyle name="Normal 26" xfId="454" xr:uid="{00000000-0005-0000-0000-00000D530000}"/>
    <cellStyle name="Normal 26 2" xfId="4491" xr:uid="{00000000-0005-0000-0000-00000E530000}"/>
    <cellStyle name="Normal 26 2 2" xfId="12470" xr:uid="{00000000-0005-0000-0000-00000F530000}"/>
    <cellStyle name="Normal 26 2 2 2" xfId="23758" xr:uid="{00000000-0005-0000-0000-000010530000}"/>
    <cellStyle name="Normal 26 2 3" xfId="10476" xr:uid="{00000000-0005-0000-0000-000011530000}"/>
    <cellStyle name="Normal 26 2 3 2" xfId="21764" xr:uid="{00000000-0005-0000-0000-000012530000}"/>
    <cellStyle name="Normal 26 2 4" xfId="8482" xr:uid="{00000000-0005-0000-0000-000013530000}"/>
    <cellStyle name="Normal 26 2 4 2" xfId="19770" xr:uid="{00000000-0005-0000-0000-000014530000}"/>
    <cellStyle name="Normal 26 2 5" xfId="6488" xr:uid="{00000000-0005-0000-0000-000015530000}"/>
    <cellStyle name="Normal 26 2 5 2" xfId="17776" xr:uid="{00000000-0005-0000-0000-000016530000}"/>
    <cellStyle name="Normal 26 2 6" xfId="15782" xr:uid="{00000000-0005-0000-0000-000017530000}"/>
    <cellStyle name="Normal 26 3" xfId="11473" xr:uid="{00000000-0005-0000-0000-000018530000}"/>
    <cellStyle name="Normal 26 3 2" xfId="22761" xr:uid="{00000000-0005-0000-0000-000019530000}"/>
    <cellStyle name="Normal 26 4" xfId="9479" xr:uid="{00000000-0005-0000-0000-00001A530000}"/>
    <cellStyle name="Normal 26 4 2" xfId="20767" xr:uid="{00000000-0005-0000-0000-00001B530000}"/>
    <cellStyle name="Normal 26 5" xfId="7485" xr:uid="{00000000-0005-0000-0000-00001C530000}"/>
    <cellStyle name="Normal 26 5 2" xfId="18773" xr:uid="{00000000-0005-0000-0000-00001D530000}"/>
    <cellStyle name="Normal 26 6" xfId="5491" xr:uid="{00000000-0005-0000-0000-00001E530000}"/>
    <cellStyle name="Normal 26 6 2" xfId="16779" xr:uid="{00000000-0005-0000-0000-00001F530000}"/>
    <cellStyle name="Normal 26 7" xfId="3256" xr:uid="{00000000-0005-0000-0000-000020530000}"/>
    <cellStyle name="Normal 26 7 2" xfId="14785" xr:uid="{00000000-0005-0000-0000-000021530000}"/>
    <cellStyle name="Normal 26 8" xfId="13826" xr:uid="{00000000-0005-0000-0000-000022530000}"/>
    <cellStyle name="Normal 26 9" xfId="13470" xr:uid="{00000000-0005-0000-0000-000023530000}"/>
    <cellStyle name="Normal 27" xfId="465" xr:uid="{00000000-0005-0000-0000-000024530000}"/>
    <cellStyle name="Normal 27 2" xfId="4492" xr:uid="{00000000-0005-0000-0000-000025530000}"/>
    <cellStyle name="Normal 27 2 2" xfId="12471" xr:uid="{00000000-0005-0000-0000-000026530000}"/>
    <cellStyle name="Normal 27 2 2 2" xfId="23759" xr:uid="{00000000-0005-0000-0000-000027530000}"/>
    <cellStyle name="Normal 27 2 3" xfId="10477" xr:uid="{00000000-0005-0000-0000-000028530000}"/>
    <cellStyle name="Normal 27 2 3 2" xfId="21765" xr:uid="{00000000-0005-0000-0000-000029530000}"/>
    <cellStyle name="Normal 27 2 4" xfId="8483" xr:uid="{00000000-0005-0000-0000-00002A530000}"/>
    <cellStyle name="Normal 27 2 4 2" xfId="19771" xr:uid="{00000000-0005-0000-0000-00002B530000}"/>
    <cellStyle name="Normal 27 2 5" xfId="6489" xr:uid="{00000000-0005-0000-0000-00002C530000}"/>
    <cellStyle name="Normal 27 2 5 2" xfId="17777" xr:uid="{00000000-0005-0000-0000-00002D530000}"/>
    <cellStyle name="Normal 27 2 6" xfId="15783" xr:uid="{00000000-0005-0000-0000-00002E530000}"/>
    <cellStyle name="Normal 27 3" xfId="11474" xr:uid="{00000000-0005-0000-0000-00002F530000}"/>
    <cellStyle name="Normal 27 3 2" xfId="22762" xr:uid="{00000000-0005-0000-0000-000030530000}"/>
    <cellStyle name="Normal 27 4" xfId="9480" xr:uid="{00000000-0005-0000-0000-000031530000}"/>
    <cellStyle name="Normal 27 4 2" xfId="20768" xr:uid="{00000000-0005-0000-0000-000032530000}"/>
    <cellStyle name="Normal 27 5" xfId="7486" xr:uid="{00000000-0005-0000-0000-000033530000}"/>
    <cellStyle name="Normal 27 5 2" xfId="18774" xr:uid="{00000000-0005-0000-0000-000034530000}"/>
    <cellStyle name="Normal 27 6" xfId="5492" xr:uid="{00000000-0005-0000-0000-000035530000}"/>
    <cellStyle name="Normal 27 6 2" xfId="16780" xr:uid="{00000000-0005-0000-0000-000036530000}"/>
    <cellStyle name="Normal 27 7" xfId="3257" xr:uid="{00000000-0005-0000-0000-000037530000}"/>
    <cellStyle name="Normal 27 7 2" xfId="14786" xr:uid="{00000000-0005-0000-0000-000038530000}"/>
    <cellStyle name="Normal 27 8" xfId="13829" xr:uid="{00000000-0005-0000-0000-000039530000}"/>
    <cellStyle name="Normal 27 9" xfId="13471" xr:uid="{00000000-0005-0000-0000-00003A530000}"/>
    <cellStyle name="Normal 28" xfId="469" xr:uid="{00000000-0005-0000-0000-00003B530000}"/>
    <cellStyle name="Normal 28 2" xfId="4493" xr:uid="{00000000-0005-0000-0000-00003C530000}"/>
    <cellStyle name="Normal 28 2 2" xfId="12472" xr:uid="{00000000-0005-0000-0000-00003D530000}"/>
    <cellStyle name="Normal 28 2 2 2" xfId="23760" xr:uid="{00000000-0005-0000-0000-00003E530000}"/>
    <cellStyle name="Normal 28 2 3" xfId="10478" xr:uid="{00000000-0005-0000-0000-00003F530000}"/>
    <cellStyle name="Normal 28 2 3 2" xfId="21766" xr:uid="{00000000-0005-0000-0000-000040530000}"/>
    <cellStyle name="Normal 28 2 4" xfId="8484" xr:uid="{00000000-0005-0000-0000-000041530000}"/>
    <cellStyle name="Normal 28 2 4 2" xfId="19772" xr:uid="{00000000-0005-0000-0000-000042530000}"/>
    <cellStyle name="Normal 28 2 5" xfId="6490" xr:uid="{00000000-0005-0000-0000-000043530000}"/>
    <cellStyle name="Normal 28 2 5 2" xfId="17778" xr:uid="{00000000-0005-0000-0000-000044530000}"/>
    <cellStyle name="Normal 28 2 6" xfId="15784" xr:uid="{00000000-0005-0000-0000-000045530000}"/>
    <cellStyle name="Normal 28 3" xfId="11475" xr:uid="{00000000-0005-0000-0000-000046530000}"/>
    <cellStyle name="Normal 28 3 2" xfId="22763" xr:uid="{00000000-0005-0000-0000-000047530000}"/>
    <cellStyle name="Normal 28 4" xfId="9481" xr:uid="{00000000-0005-0000-0000-000048530000}"/>
    <cellStyle name="Normal 28 4 2" xfId="20769" xr:uid="{00000000-0005-0000-0000-000049530000}"/>
    <cellStyle name="Normal 28 5" xfId="7487" xr:uid="{00000000-0005-0000-0000-00004A530000}"/>
    <cellStyle name="Normal 28 5 2" xfId="18775" xr:uid="{00000000-0005-0000-0000-00004B530000}"/>
    <cellStyle name="Normal 28 6" xfId="5493" xr:uid="{00000000-0005-0000-0000-00004C530000}"/>
    <cellStyle name="Normal 28 6 2" xfId="16781" xr:uid="{00000000-0005-0000-0000-00004D530000}"/>
    <cellStyle name="Normal 28 7" xfId="3258" xr:uid="{00000000-0005-0000-0000-00004E530000}"/>
    <cellStyle name="Normal 28 7 2" xfId="14787" xr:uid="{00000000-0005-0000-0000-00004F530000}"/>
    <cellStyle name="Normal 28 8" xfId="13832" xr:uid="{00000000-0005-0000-0000-000050530000}"/>
    <cellStyle name="Normal 28 9" xfId="13472" xr:uid="{00000000-0005-0000-0000-000051530000}"/>
    <cellStyle name="Normal 29" xfId="464" xr:uid="{00000000-0005-0000-0000-000052530000}"/>
    <cellStyle name="Normal 29 2" xfId="4494" xr:uid="{00000000-0005-0000-0000-000053530000}"/>
    <cellStyle name="Normal 29 2 2" xfId="12473" xr:uid="{00000000-0005-0000-0000-000054530000}"/>
    <cellStyle name="Normal 29 2 2 2" xfId="23761" xr:uid="{00000000-0005-0000-0000-000055530000}"/>
    <cellStyle name="Normal 29 2 3" xfId="10479" xr:uid="{00000000-0005-0000-0000-000056530000}"/>
    <cellStyle name="Normal 29 2 3 2" xfId="21767" xr:uid="{00000000-0005-0000-0000-000057530000}"/>
    <cellStyle name="Normal 29 2 4" xfId="8485" xr:uid="{00000000-0005-0000-0000-000058530000}"/>
    <cellStyle name="Normal 29 2 4 2" xfId="19773" xr:uid="{00000000-0005-0000-0000-000059530000}"/>
    <cellStyle name="Normal 29 2 5" xfId="6491" xr:uid="{00000000-0005-0000-0000-00005A530000}"/>
    <cellStyle name="Normal 29 2 5 2" xfId="17779" xr:uid="{00000000-0005-0000-0000-00005B530000}"/>
    <cellStyle name="Normal 29 2 6" xfId="15785" xr:uid="{00000000-0005-0000-0000-00005C530000}"/>
    <cellStyle name="Normal 29 3" xfId="11476" xr:uid="{00000000-0005-0000-0000-00005D530000}"/>
    <cellStyle name="Normal 29 3 2" xfId="22764" xr:uid="{00000000-0005-0000-0000-00005E530000}"/>
    <cellStyle name="Normal 29 4" xfId="9482" xr:uid="{00000000-0005-0000-0000-00005F530000}"/>
    <cellStyle name="Normal 29 4 2" xfId="20770" xr:uid="{00000000-0005-0000-0000-000060530000}"/>
    <cellStyle name="Normal 29 5" xfId="7488" xr:uid="{00000000-0005-0000-0000-000061530000}"/>
    <cellStyle name="Normal 29 5 2" xfId="18776" xr:uid="{00000000-0005-0000-0000-000062530000}"/>
    <cellStyle name="Normal 29 6" xfId="5494" xr:uid="{00000000-0005-0000-0000-000063530000}"/>
    <cellStyle name="Normal 29 6 2" xfId="16782" xr:uid="{00000000-0005-0000-0000-000064530000}"/>
    <cellStyle name="Normal 29 7" xfId="3259" xr:uid="{00000000-0005-0000-0000-000065530000}"/>
    <cellStyle name="Normal 29 7 2" xfId="14788" xr:uid="{00000000-0005-0000-0000-000066530000}"/>
    <cellStyle name="Normal 29 8" xfId="13828" xr:uid="{00000000-0005-0000-0000-000067530000}"/>
    <cellStyle name="Normal 29 9" xfId="13473" xr:uid="{00000000-0005-0000-0000-000068530000}"/>
    <cellStyle name="Normal 3" xfId="53" xr:uid="{00000000-0005-0000-0000-000069530000}"/>
    <cellStyle name="Normal 3 10" xfId="24143" xr:uid="{00000000-0005-0000-0000-00006A530000}"/>
    <cellStyle name="Normal 3 11" xfId="25773" xr:uid="{00000000-0005-0000-0000-00006B530000}"/>
    <cellStyle name="Normal 3 2" xfId="54" xr:uid="{00000000-0005-0000-0000-00006C530000}"/>
    <cellStyle name="Normal 3 2 2" xfId="11477" xr:uid="{00000000-0005-0000-0000-00006D530000}"/>
    <cellStyle name="Normal 3 2 2 2" xfId="22765" xr:uid="{00000000-0005-0000-0000-00006E530000}"/>
    <cellStyle name="Normal 3 2 3" xfId="9483" xr:uid="{00000000-0005-0000-0000-00006F530000}"/>
    <cellStyle name="Normal 3 2 3 2" xfId="20771" xr:uid="{00000000-0005-0000-0000-000070530000}"/>
    <cellStyle name="Normal 3 2 4" xfId="7489" xr:uid="{00000000-0005-0000-0000-000071530000}"/>
    <cellStyle name="Normal 3 2 4 2" xfId="18777" xr:uid="{00000000-0005-0000-0000-000072530000}"/>
    <cellStyle name="Normal 3 2 5" xfId="5495" xr:uid="{00000000-0005-0000-0000-000073530000}"/>
    <cellStyle name="Normal 3 2 5 2" xfId="16783" xr:uid="{00000000-0005-0000-0000-000074530000}"/>
    <cellStyle name="Normal 3 2 6" xfId="3260" xr:uid="{00000000-0005-0000-0000-000075530000}"/>
    <cellStyle name="Normal 3 2 6 2" xfId="14789" xr:uid="{00000000-0005-0000-0000-000076530000}"/>
    <cellStyle name="Normal 3 2 7" xfId="25787" xr:uid="{00000000-0005-0000-0000-000077530000}"/>
    <cellStyle name="Normal 3 3" xfId="355" xr:uid="{00000000-0005-0000-0000-000078530000}"/>
    <cellStyle name="Normal 3 3 2" xfId="438" xr:uid="{00000000-0005-0000-0000-000079530000}"/>
    <cellStyle name="Normal 3 3 2 2" xfId="524" xr:uid="{00000000-0005-0000-0000-00007A530000}"/>
    <cellStyle name="Normal 3 3 2 2 2" xfId="13887" xr:uid="{00000000-0005-0000-0000-00007B530000}"/>
    <cellStyle name="Normal 3 3 2 3" xfId="12474" xr:uid="{00000000-0005-0000-0000-00007C530000}"/>
    <cellStyle name="Normal 3 3 2 3 2" xfId="23762" xr:uid="{00000000-0005-0000-0000-00007D530000}"/>
    <cellStyle name="Normal 3 3 2 4" xfId="13810" xr:uid="{00000000-0005-0000-0000-00007E530000}"/>
    <cellStyle name="Normal 3 3 3" xfId="487" xr:uid="{00000000-0005-0000-0000-00007F530000}"/>
    <cellStyle name="Normal 3 3 3 2" xfId="10480" xr:uid="{00000000-0005-0000-0000-000080530000}"/>
    <cellStyle name="Normal 3 3 3 2 2" xfId="21768" xr:uid="{00000000-0005-0000-0000-000081530000}"/>
    <cellStyle name="Normal 3 3 3 3" xfId="13850" xr:uid="{00000000-0005-0000-0000-000082530000}"/>
    <cellStyle name="Normal 3 3 4" xfId="8486" xr:uid="{00000000-0005-0000-0000-000083530000}"/>
    <cellStyle name="Normal 3 3 4 2" xfId="19774" xr:uid="{00000000-0005-0000-0000-000084530000}"/>
    <cellStyle name="Normal 3 3 5" xfId="6492" xr:uid="{00000000-0005-0000-0000-000085530000}"/>
    <cellStyle name="Normal 3 3 5 2" xfId="17780" xr:uid="{00000000-0005-0000-0000-000086530000}"/>
    <cellStyle name="Normal 3 3 6" xfId="4495" xr:uid="{00000000-0005-0000-0000-000087530000}"/>
    <cellStyle name="Normal 3 3 6 2" xfId="15786" xr:uid="{00000000-0005-0000-0000-000088530000}"/>
    <cellStyle name="Normal 3 3 7" xfId="13765" xr:uid="{00000000-0005-0000-0000-000089530000}"/>
    <cellStyle name="Normal 3 3 8" xfId="24144" xr:uid="{00000000-0005-0000-0000-00008A530000}"/>
    <cellStyle name="Normal 3 4" xfId="407" xr:uid="{00000000-0005-0000-0000-00008B530000}"/>
    <cellStyle name="Normal 3 4 2" xfId="507" xr:uid="{00000000-0005-0000-0000-00008C530000}"/>
    <cellStyle name="Normal 3 4 2 2" xfId="13870" xr:uid="{00000000-0005-0000-0000-00008D530000}"/>
    <cellStyle name="Normal 3 4 2 3" xfId="24419" xr:uid="{00000000-0005-0000-0000-00008E530000}"/>
    <cellStyle name="Normal 3 4 2 4" xfId="24863" xr:uid="{00000000-0005-0000-0000-00008F530000}"/>
    <cellStyle name="Normal 3 4 2 5" xfId="25226" xr:uid="{00000000-0005-0000-0000-000090530000}"/>
    <cellStyle name="Normal 3 4 3" xfId="13789" xr:uid="{00000000-0005-0000-0000-000091530000}"/>
    <cellStyle name="Normal 3 4 4" xfId="24145" xr:uid="{00000000-0005-0000-0000-000092530000}"/>
    <cellStyle name="Normal 3 4 5" xfId="24716" xr:uid="{00000000-0005-0000-0000-000093530000}"/>
    <cellStyle name="Normal 3 4 6" xfId="25032" xr:uid="{00000000-0005-0000-0000-000094530000}"/>
    <cellStyle name="Normal 3 5" xfId="386" xr:uid="{00000000-0005-0000-0000-000095530000}"/>
    <cellStyle name="Normal 3 6" xfId="472" xr:uid="{00000000-0005-0000-0000-000096530000}"/>
    <cellStyle name="Normal 3 6 2" xfId="13835" xr:uid="{00000000-0005-0000-0000-000097530000}"/>
    <cellStyle name="Normal 3 7" xfId="658" xr:uid="{00000000-0005-0000-0000-000098530000}"/>
    <cellStyle name="Normal 3 7 2" xfId="13911" xr:uid="{00000000-0005-0000-0000-000099530000}"/>
    <cellStyle name="Normal 3 8" xfId="13612" xr:uid="{00000000-0005-0000-0000-00009A530000}"/>
    <cellStyle name="Normal 3 9" xfId="12599" xr:uid="{00000000-0005-0000-0000-00009B530000}"/>
    <cellStyle name="Normal 30" xfId="470" xr:uid="{00000000-0005-0000-0000-00009C530000}"/>
    <cellStyle name="Normal 30 2" xfId="4496" xr:uid="{00000000-0005-0000-0000-00009D530000}"/>
    <cellStyle name="Normal 30 2 2" xfId="12475" xr:uid="{00000000-0005-0000-0000-00009E530000}"/>
    <cellStyle name="Normal 30 2 2 2" xfId="23763" xr:uid="{00000000-0005-0000-0000-00009F530000}"/>
    <cellStyle name="Normal 30 2 3" xfId="10481" xr:uid="{00000000-0005-0000-0000-0000A0530000}"/>
    <cellStyle name="Normal 30 2 3 2" xfId="21769" xr:uid="{00000000-0005-0000-0000-0000A1530000}"/>
    <cellStyle name="Normal 30 2 4" xfId="8487" xr:uid="{00000000-0005-0000-0000-0000A2530000}"/>
    <cellStyle name="Normal 30 2 4 2" xfId="19775" xr:uid="{00000000-0005-0000-0000-0000A3530000}"/>
    <cellStyle name="Normal 30 2 5" xfId="6493" xr:uid="{00000000-0005-0000-0000-0000A4530000}"/>
    <cellStyle name="Normal 30 2 5 2" xfId="17781" xr:uid="{00000000-0005-0000-0000-0000A5530000}"/>
    <cellStyle name="Normal 30 2 6" xfId="15787" xr:uid="{00000000-0005-0000-0000-0000A6530000}"/>
    <cellStyle name="Normal 30 3" xfId="11478" xr:uid="{00000000-0005-0000-0000-0000A7530000}"/>
    <cellStyle name="Normal 30 3 2" xfId="22766" xr:uid="{00000000-0005-0000-0000-0000A8530000}"/>
    <cellStyle name="Normal 30 4" xfId="9484" xr:uid="{00000000-0005-0000-0000-0000A9530000}"/>
    <cellStyle name="Normal 30 4 2" xfId="20772" xr:uid="{00000000-0005-0000-0000-0000AA530000}"/>
    <cellStyle name="Normal 30 5" xfId="7490" xr:uid="{00000000-0005-0000-0000-0000AB530000}"/>
    <cellStyle name="Normal 30 5 2" xfId="18778" xr:uid="{00000000-0005-0000-0000-0000AC530000}"/>
    <cellStyle name="Normal 30 6" xfId="5496" xr:uid="{00000000-0005-0000-0000-0000AD530000}"/>
    <cellStyle name="Normal 30 6 2" xfId="16784" xr:uid="{00000000-0005-0000-0000-0000AE530000}"/>
    <cellStyle name="Normal 30 7" xfId="3261" xr:uid="{00000000-0005-0000-0000-0000AF530000}"/>
    <cellStyle name="Normal 30 7 2" xfId="14790" xr:uid="{00000000-0005-0000-0000-0000B0530000}"/>
    <cellStyle name="Normal 30 8" xfId="13833" xr:uid="{00000000-0005-0000-0000-0000B1530000}"/>
    <cellStyle name="Normal 30 9" xfId="13474" xr:uid="{00000000-0005-0000-0000-0000B2530000}"/>
    <cellStyle name="Normal 31" xfId="3262" xr:uid="{00000000-0005-0000-0000-0000B3530000}"/>
    <cellStyle name="Normal 31 2" xfId="4497" xr:uid="{00000000-0005-0000-0000-0000B4530000}"/>
    <cellStyle name="Normal 31 2 2" xfId="12476" xr:uid="{00000000-0005-0000-0000-0000B5530000}"/>
    <cellStyle name="Normal 31 2 2 2" xfId="23764" xr:uid="{00000000-0005-0000-0000-0000B6530000}"/>
    <cellStyle name="Normal 31 2 3" xfId="10482" xr:uid="{00000000-0005-0000-0000-0000B7530000}"/>
    <cellStyle name="Normal 31 2 3 2" xfId="21770" xr:uid="{00000000-0005-0000-0000-0000B8530000}"/>
    <cellStyle name="Normal 31 2 4" xfId="8488" xr:uid="{00000000-0005-0000-0000-0000B9530000}"/>
    <cellStyle name="Normal 31 2 4 2" xfId="19776" xr:uid="{00000000-0005-0000-0000-0000BA530000}"/>
    <cellStyle name="Normal 31 2 5" xfId="6494" xr:uid="{00000000-0005-0000-0000-0000BB530000}"/>
    <cellStyle name="Normal 31 2 5 2" xfId="17782" xr:uid="{00000000-0005-0000-0000-0000BC530000}"/>
    <cellStyle name="Normal 31 2 6" xfId="15788" xr:uid="{00000000-0005-0000-0000-0000BD530000}"/>
    <cellStyle name="Normal 31 3" xfId="11479" xr:uid="{00000000-0005-0000-0000-0000BE530000}"/>
    <cellStyle name="Normal 31 3 2" xfId="22767" xr:uid="{00000000-0005-0000-0000-0000BF530000}"/>
    <cellStyle name="Normal 31 4" xfId="9485" xr:uid="{00000000-0005-0000-0000-0000C0530000}"/>
    <cellStyle name="Normal 31 4 2" xfId="20773" xr:uid="{00000000-0005-0000-0000-0000C1530000}"/>
    <cellStyle name="Normal 31 5" xfId="7491" xr:uid="{00000000-0005-0000-0000-0000C2530000}"/>
    <cellStyle name="Normal 31 5 2" xfId="18779" xr:uid="{00000000-0005-0000-0000-0000C3530000}"/>
    <cellStyle name="Normal 31 6" xfId="5497" xr:uid="{00000000-0005-0000-0000-0000C4530000}"/>
    <cellStyle name="Normal 31 6 2" xfId="16785" xr:uid="{00000000-0005-0000-0000-0000C5530000}"/>
    <cellStyle name="Normal 31 7" xfId="14791" xr:uid="{00000000-0005-0000-0000-0000C6530000}"/>
    <cellStyle name="Normal 31 8" xfId="13475" xr:uid="{00000000-0005-0000-0000-0000C7530000}"/>
    <cellStyle name="Normal 31 9" xfId="24471" xr:uid="{00000000-0005-0000-0000-0000C8530000}"/>
    <cellStyle name="Normal 32" xfId="3263" xr:uid="{00000000-0005-0000-0000-0000C9530000}"/>
    <cellStyle name="Normal 32 2" xfId="4498" xr:uid="{00000000-0005-0000-0000-0000CA530000}"/>
    <cellStyle name="Normal 32 2 2" xfId="12477" xr:uid="{00000000-0005-0000-0000-0000CB530000}"/>
    <cellStyle name="Normal 32 2 2 2" xfId="23765" xr:uid="{00000000-0005-0000-0000-0000CC530000}"/>
    <cellStyle name="Normal 32 2 3" xfId="10483" xr:uid="{00000000-0005-0000-0000-0000CD530000}"/>
    <cellStyle name="Normal 32 2 3 2" xfId="21771" xr:uid="{00000000-0005-0000-0000-0000CE530000}"/>
    <cellStyle name="Normal 32 2 4" xfId="8489" xr:uid="{00000000-0005-0000-0000-0000CF530000}"/>
    <cellStyle name="Normal 32 2 4 2" xfId="19777" xr:uid="{00000000-0005-0000-0000-0000D0530000}"/>
    <cellStyle name="Normal 32 2 5" xfId="6495" xr:uid="{00000000-0005-0000-0000-0000D1530000}"/>
    <cellStyle name="Normal 32 2 5 2" xfId="17783" xr:uid="{00000000-0005-0000-0000-0000D2530000}"/>
    <cellStyle name="Normal 32 2 6" xfId="15789" xr:uid="{00000000-0005-0000-0000-0000D3530000}"/>
    <cellStyle name="Normal 32 3" xfId="11480" xr:uid="{00000000-0005-0000-0000-0000D4530000}"/>
    <cellStyle name="Normal 32 3 2" xfId="22768" xr:uid="{00000000-0005-0000-0000-0000D5530000}"/>
    <cellStyle name="Normal 32 4" xfId="9486" xr:uid="{00000000-0005-0000-0000-0000D6530000}"/>
    <cellStyle name="Normal 32 4 2" xfId="20774" xr:uid="{00000000-0005-0000-0000-0000D7530000}"/>
    <cellStyle name="Normal 32 5" xfId="7492" xr:uid="{00000000-0005-0000-0000-0000D8530000}"/>
    <cellStyle name="Normal 32 5 2" xfId="18780" xr:uid="{00000000-0005-0000-0000-0000D9530000}"/>
    <cellStyle name="Normal 32 6" xfId="5498" xr:uid="{00000000-0005-0000-0000-0000DA530000}"/>
    <cellStyle name="Normal 32 6 2" xfId="16786" xr:uid="{00000000-0005-0000-0000-0000DB530000}"/>
    <cellStyle name="Normal 32 7" xfId="14792" xr:uid="{00000000-0005-0000-0000-0000DC530000}"/>
    <cellStyle name="Normal 32 8" xfId="13476" xr:uid="{00000000-0005-0000-0000-0000DD530000}"/>
    <cellStyle name="Normal 32 9" xfId="24392" xr:uid="{00000000-0005-0000-0000-0000DE530000}"/>
    <cellStyle name="Normal 33" xfId="3264" xr:uid="{00000000-0005-0000-0000-0000DF530000}"/>
    <cellStyle name="Normal 33 2" xfId="4499" xr:uid="{00000000-0005-0000-0000-0000E0530000}"/>
    <cellStyle name="Normal 33 2 2" xfId="12478" xr:uid="{00000000-0005-0000-0000-0000E1530000}"/>
    <cellStyle name="Normal 33 2 2 2" xfId="23766" xr:uid="{00000000-0005-0000-0000-0000E2530000}"/>
    <cellStyle name="Normal 33 2 3" xfId="10484" xr:uid="{00000000-0005-0000-0000-0000E3530000}"/>
    <cellStyle name="Normal 33 2 3 2" xfId="21772" xr:uid="{00000000-0005-0000-0000-0000E4530000}"/>
    <cellStyle name="Normal 33 2 4" xfId="8490" xr:uid="{00000000-0005-0000-0000-0000E5530000}"/>
    <cellStyle name="Normal 33 2 4 2" xfId="19778" xr:uid="{00000000-0005-0000-0000-0000E6530000}"/>
    <cellStyle name="Normal 33 2 5" xfId="6496" xr:uid="{00000000-0005-0000-0000-0000E7530000}"/>
    <cellStyle name="Normal 33 2 5 2" xfId="17784" xr:uid="{00000000-0005-0000-0000-0000E8530000}"/>
    <cellStyle name="Normal 33 2 6" xfId="15790" xr:uid="{00000000-0005-0000-0000-0000E9530000}"/>
    <cellStyle name="Normal 33 3" xfId="11481" xr:uid="{00000000-0005-0000-0000-0000EA530000}"/>
    <cellStyle name="Normal 33 3 2" xfId="22769" xr:uid="{00000000-0005-0000-0000-0000EB530000}"/>
    <cellStyle name="Normal 33 4" xfId="9487" xr:uid="{00000000-0005-0000-0000-0000EC530000}"/>
    <cellStyle name="Normal 33 4 2" xfId="20775" xr:uid="{00000000-0005-0000-0000-0000ED530000}"/>
    <cellStyle name="Normal 33 5" xfId="7493" xr:uid="{00000000-0005-0000-0000-0000EE530000}"/>
    <cellStyle name="Normal 33 5 2" xfId="18781" xr:uid="{00000000-0005-0000-0000-0000EF530000}"/>
    <cellStyle name="Normal 33 6" xfId="5499" xr:uid="{00000000-0005-0000-0000-0000F0530000}"/>
    <cellStyle name="Normal 33 6 2" xfId="16787" xr:uid="{00000000-0005-0000-0000-0000F1530000}"/>
    <cellStyle name="Normal 33 7" xfId="14793" xr:uid="{00000000-0005-0000-0000-0000F2530000}"/>
    <cellStyle name="Normal 33 8" xfId="13477" xr:uid="{00000000-0005-0000-0000-0000F3530000}"/>
    <cellStyle name="Normal 33 9" xfId="24487" xr:uid="{00000000-0005-0000-0000-0000F4530000}"/>
    <cellStyle name="Normal 34" xfId="3265" xr:uid="{00000000-0005-0000-0000-0000F5530000}"/>
    <cellStyle name="Normal 34 2" xfId="4500" xr:uid="{00000000-0005-0000-0000-0000F6530000}"/>
    <cellStyle name="Normal 34 2 2" xfId="12479" xr:uid="{00000000-0005-0000-0000-0000F7530000}"/>
    <cellStyle name="Normal 34 2 2 2" xfId="23767" xr:uid="{00000000-0005-0000-0000-0000F8530000}"/>
    <cellStyle name="Normal 34 2 3" xfId="10485" xr:uid="{00000000-0005-0000-0000-0000F9530000}"/>
    <cellStyle name="Normal 34 2 3 2" xfId="21773" xr:uid="{00000000-0005-0000-0000-0000FA530000}"/>
    <cellStyle name="Normal 34 2 4" xfId="8491" xr:uid="{00000000-0005-0000-0000-0000FB530000}"/>
    <cellStyle name="Normal 34 2 4 2" xfId="19779" xr:uid="{00000000-0005-0000-0000-0000FC530000}"/>
    <cellStyle name="Normal 34 2 5" xfId="6497" xr:uid="{00000000-0005-0000-0000-0000FD530000}"/>
    <cellStyle name="Normal 34 2 5 2" xfId="17785" xr:uid="{00000000-0005-0000-0000-0000FE530000}"/>
    <cellStyle name="Normal 34 2 6" xfId="15791" xr:uid="{00000000-0005-0000-0000-0000FF530000}"/>
    <cellStyle name="Normal 34 3" xfId="11482" xr:uid="{00000000-0005-0000-0000-000000540000}"/>
    <cellStyle name="Normal 34 3 2" xfId="22770" xr:uid="{00000000-0005-0000-0000-000001540000}"/>
    <cellStyle name="Normal 34 4" xfId="9488" xr:uid="{00000000-0005-0000-0000-000002540000}"/>
    <cellStyle name="Normal 34 4 2" xfId="20776" xr:uid="{00000000-0005-0000-0000-000003540000}"/>
    <cellStyle name="Normal 34 5" xfId="7494" xr:uid="{00000000-0005-0000-0000-000004540000}"/>
    <cellStyle name="Normal 34 5 2" xfId="18782" xr:uid="{00000000-0005-0000-0000-000005540000}"/>
    <cellStyle name="Normal 34 6" xfId="5500" xr:uid="{00000000-0005-0000-0000-000006540000}"/>
    <cellStyle name="Normal 34 6 2" xfId="16788" xr:uid="{00000000-0005-0000-0000-000007540000}"/>
    <cellStyle name="Normal 34 7" xfId="14794" xr:uid="{00000000-0005-0000-0000-000008540000}"/>
    <cellStyle name="Normal 34 8" xfId="13478" xr:uid="{00000000-0005-0000-0000-000009540000}"/>
    <cellStyle name="Normal 34 9" xfId="24470" xr:uid="{00000000-0005-0000-0000-00000A540000}"/>
    <cellStyle name="Normal 35" xfId="3266" xr:uid="{00000000-0005-0000-0000-00000B540000}"/>
    <cellStyle name="Normal 35 2" xfId="4501" xr:uid="{00000000-0005-0000-0000-00000C540000}"/>
    <cellStyle name="Normal 35 2 2" xfId="12480" xr:uid="{00000000-0005-0000-0000-00000D540000}"/>
    <cellStyle name="Normal 35 2 2 2" xfId="23768" xr:uid="{00000000-0005-0000-0000-00000E540000}"/>
    <cellStyle name="Normal 35 2 3" xfId="10486" xr:uid="{00000000-0005-0000-0000-00000F540000}"/>
    <cellStyle name="Normal 35 2 3 2" xfId="21774" xr:uid="{00000000-0005-0000-0000-000010540000}"/>
    <cellStyle name="Normal 35 2 4" xfId="8492" xr:uid="{00000000-0005-0000-0000-000011540000}"/>
    <cellStyle name="Normal 35 2 4 2" xfId="19780" xr:uid="{00000000-0005-0000-0000-000012540000}"/>
    <cellStyle name="Normal 35 2 5" xfId="6498" xr:uid="{00000000-0005-0000-0000-000013540000}"/>
    <cellStyle name="Normal 35 2 5 2" xfId="17786" xr:uid="{00000000-0005-0000-0000-000014540000}"/>
    <cellStyle name="Normal 35 2 6" xfId="15792" xr:uid="{00000000-0005-0000-0000-000015540000}"/>
    <cellStyle name="Normal 35 3" xfId="11483" xr:uid="{00000000-0005-0000-0000-000016540000}"/>
    <cellStyle name="Normal 35 3 2" xfId="22771" xr:uid="{00000000-0005-0000-0000-000017540000}"/>
    <cellStyle name="Normal 35 4" xfId="9489" xr:uid="{00000000-0005-0000-0000-000018540000}"/>
    <cellStyle name="Normal 35 4 2" xfId="20777" xr:uid="{00000000-0005-0000-0000-000019540000}"/>
    <cellStyle name="Normal 35 5" xfId="7495" xr:uid="{00000000-0005-0000-0000-00001A540000}"/>
    <cellStyle name="Normal 35 5 2" xfId="18783" xr:uid="{00000000-0005-0000-0000-00001B540000}"/>
    <cellStyle name="Normal 35 6" xfId="5501" xr:uid="{00000000-0005-0000-0000-00001C540000}"/>
    <cellStyle name="Normal 35 6 2" xfId="16789" xr:uid="{00000000-0005-0000-0000-00001D540000}"/>
    <cellStyle name="Normal 35 7" xfId="14795" xr:uid="{00000000-0005-0000-0000-00001E540000}"/>
    <cellStyle name="Normal 35 8" xfId="13479" xr:uid="{00000000-0005-0000-0000-00001F540000}"/>
    <cellStyle name="Normal 35 9" xfId="24501" xr:uid="{00000000-0005-0000-0000-000020540000}"/>
    <cellStyle name="Normal 36" xfId="3267" xr:uid="{00000000-0005-0000-0000-000021540000}"/>
    <cellStyle name="Normal 36 2" xfId="4502" xr:uid="{00000000-0005-0000-0000-000022540000}"/>
    <cellStyle name="Normal 36 2 2" xfId="12481" xr:uid="{00000000-0005-0000-0000-000023540000}"/>
    <cellStyle name="Normal 36 2 2 2" xfId="23769" xr:uid="{00000000-0005-0000-0000-000024540000}"/>
    <cellStyle name="Normal 36 2 3" xfId="10487" xr:uid="{00000000-0005-0000-0000-000025540000}"/>
    <cellStyle name="Normal 36 2 3 2" xfId="21775" xr:uid="{00000000-0005-0000-0000-000026540000}"/>
    <cellStyle name="Normal 36 2 4" xfId="8493" xr:uid="{00000000-0005-0000-0000-000027540000}"/>
    <cellStyle name="Normal 36 2 4 2" xfId="19781" xr:uid="{00000000-0005-0000-0000-000028540000}"/>
    <cellStyle name="Normal 36 2 5" xfId="6499" xr:uid="{00000000-0005-0000-0000-000029540000}"/>
    <cellStyle name="Normal 36 2 5 2" xfId="17787" xr:uid="{00000000-0005-0000-0000-00002A540000}"/>
    <cellStyle name="Normal 36 2 6" xfId="15793" xr:uid="{00000000-0005-0000-0000-00002B540000}"/>
    <cellStyle name="Normal 36 3" xfId="11484" xr:uid="{00000000-0005-0000-0000-00002C540000}"/>
    <cellStyle name="Normal 36 3 2" xfId="22772" xr:uid="{00000000-0005-0000-0000-00002D540000}"/>
    <cellStyle name="Normal 36 4" xfId="9490" xr:uid="{00000000-0005-0000-0000-00002E540000}"/>
    <cellStyle name="Normal 36 4 2" xfId="20778" xr:uid="{00000000-0005-0000-0000-00002F540000}"/>
    <cellStyle name="Normal 36 5" xfId="7496" xr:uid="{00000000-0005-0000-0000-000030540000}"/>
    <cellStyle name="Normal 36 5 2" xfId="18784" xr:uid="{00000000-0005-0000-0000-000031540000}"/>
    <cellStyle name="Normal 36 6" xfId="5502" xr:uid="{00000000-0005-0000-0000-000032540000}"/>
    <cellStyle name="Normal 36 6 2" xfId="16790" xr:uid="{00000000-0005-0000-0000-000033540000}"/>
    <cellStyle name="Normal 36 7" xfId="14796" xr:uid="{00000000-0005-0000-0000-000034540000}"/>
    <cellStyle name="Normal 36 8" xfId="13480" xr:uid="{00000000-0005-0000-0000-000035540000}"/>
    <cellStyle name="Normal 36 9" xfId="24485" xr:uid="{00000000-0005-0000-0000-000036540000}"/>
    <cellStyle name="Normal 37" xfId="3268" xr:uid="{00000000-0005-0000-0000-000037540000}"/>
    <cellStyle name="Normal 37 2" xfId="4503" xr:uid="{00000000-0005-0000-0000-000038540000}"/>
    <cellStyle name="Normal 37 2 2" xfId="12482" xr:uid="{00000000-0005-0000-0000-000039540000}"/>
    <cellStyle name="Normal 37 2 2 2" xfId="23770" xr:uid="{00000000-0005-0000-0000-00003A540000}"/>
    <cellStyle name="Normal 37 2 3" xfId="10488" xr:uid="{00000000-0005-0000-0000-00003B540000}"/>
    <cellStyle name="Normal 37 2 3 2" xfId="21776" xr:uid="{00000000-0005-0000-0000-00003C540000}"/>
    <cellStyle name="Normal 37 2 4" xfId="8494" xr:uid="{00000000-0005-0000-0000-00003D540000}"/>
    <cellStyle name="Normal 37 2 4 2" xfId="19782" xr:uid="{00000000-0005-0000-0000-00003E540000}"/>
    <cellStyle name="Normal 37 2 5" xfId="6500" xr:uid="{00000000-0005-0000-0000-00003F540000}"/>
    <cellStyle name="Normal 37 2 5 2" xfId="17788" xr:uid="{00000000-0005-0000-0000-000040540000}"/>
    <cellStyle name="Normal 37 2 6" xfId="15794" xr:uid="{00000000-0005-0000-0000-000041540000}"/>
    <cellStyle name="Normal 37 3" xfId="11485" xr:uid="{00000000-0005-0000-0000-000042540000}"/>
    <cellStyle name="Normal 37 3 2" xfId="22773" xr:uid="{00000000-0005-0000-0000-000043540000}"/>
    <cellStyle name="Normal 37 4" xfId="9491" xr:uid="{00000000-0005-0000-0000-000044540000}"/>
    <cellStyle name="Normal 37 4 2" xfId="20779" xr:uid="{00000000-0005-0000-0000-000045540000}"/>
    <cellStyle name="Normal 37 5" xfId="7497" xr:uid="{00000000-0005-0000-0000-000046540000}"/>
    <cellStyle name="Normal 37 5 2" xfId="18785" xr:uid="{00000000-0005-0000-0000-000047540000}"/>
    <cellStyle name="Normal 37 6" xfId="5503" xr:uid="{00000000-0005-0000-0000-000048540000}"/>
    <cellStyle name="Normal 37 6 2" xfId="16791" xr:uid="{00000000-0005-0000-0000-000049540000}"/>
    <cellStyle name="Normal 37 7" xfId="14797" xr:uid="{00000000-0005-0000-0000-00004A540000}"/>
    <cellStyle name="Normal 37 8" xfId="13481" xr:uid="{00000000-0005-0000-0000-00004B540000}"/>
    <cellStyle name="Normal 37 9" xfId="24498" xr:uid="{00000000-0005-0000-0000-00004C540000}"/>
    <cellStyle name="Normal 38" xfId="3269" xr:uid="{00000000-0005-0000-0000-00004D540000}"/>
    <cellStyle name="Normal 38 2" xfId="4504" xr:uid="{00000000-0005-0000-0000-00004E540000}"/>
    <cellStyle name="Normal 38 2 2" xfId="12483" xr:uid="{00000000-0005-0000-0000-00004F540000}"/>
    <cellStyle name="Normal 38 2 2 2" xfId="23771" xr:uid="{00000000-0005-0000-0000-000050540000}"/>
    <cellStyle name="Normal 38 2 3" xfId="10489" xr:uid="{00000000-0005-0000-0000-000051540000}"/>
    <cellStyle name="Normal 38 2 3 2" xfId="21777" xr:uid="{00000000-0005-0000-0000-000052540000}"/>
    <cellStyle name="Normal 38 2 4" xfId="8495" xr:uid="{00000000-0005-0000-0000-000053540000}"/>
    <cellStyle name="Normal 38 2 4 2" xfId="19783" xr:uid="{00000000-0005-0000-0000-000054540000}"/>
    <cellStyle name="Normal 38 2 5" xfId="6501" xr:uid="{00000000-0005-0000-0000-000055540000}"/>
    <cellStyle name="Normal 38 2 5 2" xfId="17789" xr:uid="{00000000-0005-0000-0000-000056540000}"/>
    <cellStyle name="Normal 38 2 6" xfId="15795" xr:uid="{00000000-0005-0000-0000-000057540000}"/>
    <cellStyle name="Normal 38 3" xfId="11486" xr:uid="{00000000-0005-0000-0000-000058540000}"/>
    <cellStyle name="Normal 38 3 2" xfId="22774" xr:uid="{00000000-0005-0000-0000-000059540000}"/>
    <cellStyle name="Normal 38 4" xfId="9492" xr:uid="{00000000-0005-0000-0000-00005A540000}"/>
    <cellStyle name="Normal 38 4 2" xfId="20780" xr:uid="{00000000-0005-0000-0000-00005B540000}"/>
    <cellStyle name="Normal 38 5" xfId="7498" xr:uid="{00000000-0005-0000-0000-00005C540000}"/>
    <cellStyle name="Normal 38 5 2" xfId="18786" xr:uid="{00000000-0005-0000-0000-00005D540000}"/>
    <cellStyle name="Normal 38 6" xfId="5504" xr:uid="{00000000-0005-0000-0000-00005E540000}"/>
    <cellStyle name="Normal 38 6 2" xfId="16792" xr:uid="{00000000-0005-0000-0000-00005F540000}"/>
    <cellStyle name="Normal 38 7" xfId="14798" xr:uid="{00000000-0005-0000-0000-000060540000}"/>
    <cellStyle name="Normal 38 8" xfId="13482" xr:uid="{00000000-0005-0000-0000-000061540000}"/>
    <cellStyle name="Normal 38 9" xfId="24459" xr:uid="{00000000-0005-0000-0000-000062540000}"/>
    <cellStyle name="Normal 39" xfId="3270" xr:uid="{00000000-0005-0000-0000-000063540000}"/>
    <cellStyle name="Normal 39 2" xfId="4505" xr:uid="{00000000-0005-0000-0000-000064540000}"/>
    <cellStyle name="Normal 39 2 2" xfId="12484" xr:uid="{00000000-0005-0000-0000-000065540000}"/>
    <cellStyle name="Normal 39 2 2 2" xfId="23772" xr:uid="{00000000-0005-0000-0000-000066540000}"/>
    <cellStyle name="Normal 39 2 3" xfId="10490" xr:uid="{00000000-0005-0000-0000-000067540000}"/>
    <cellStyle name="Normal 39 2 3 2" xfId="21778" xr:uid="{00000000-0005-0000-0000-000068540000}"/>
    <cellStyle name="Normal 39 2 4" xfId="8496" xr:uid="{00000000-0005-0000-0000-000069540000}"/>
    <cellStyle name="Normal 39 2 4 2" xfId="19784" xr:uid="{00000000-0005-0000-0000-00006A540000}"/>
    <cellStyle name="Normal 39 2 5" xfId="6502" xr:uid="{00000000-0005-0000-0000-00006B540000}"/>
    <cellStyle name="Normal 39 2 5 2" xfId="17790" xr:uid="{00000000-0005-0000-0000-00006C540000}"/>
    <cellStyle name="Normal 39 2 6" xfId="15796" xr:uid="{00000000-0005-0000-0000-00006D540000}"/>
    <cellStyle name="Normal 39 3" xfId="11487" xr:uid="{00000000-0005-0000-0000-00006E540000}"/>
    <cellStyle name="Normal 39 3 2" xfId="22775" xr:uid="{00000000-0005-0000-0000-00006F540000}"/>
    <cellStyle name="Normal 39 4" xfId="9493" xr:uid="{00000000-0005-0000-0000-000070540000}"/>
    <cellStyle name="Normal 39 4 2" xfId="20781" xr:uid="{00000000-0005-0000-0000-000071540000}"/>
    <cellStyle name="Normal 39 5" xfId="7499" xr:uid="{00000000-0005-0000-0000-000072540000}"/>
    <cellStyle name="Normal 39 5 2" xfId="18787" xr:uid="{00000000-0005-0000-0000-000073540000}"/>
    <cellStyle name="Normal 39 6" xfId="5505" xr:uid="{00000000-0005-0000-0000-000074540000}"/>
    <cellStyle name="Normal 39 6 2" xfId="16793" xr:uid="{00000000-0005-0000-0000-000075540000}"/>
    <cellStyle name="Normal 39 7" xfId="14799" xr:uid="{00000000-0005-0000-0000-000076540000}"/>
    <cellStyle name="Normal 39 8" xfId="13483" xr:uid="{00000000-0005-0000-0000-000077540000}"/>
    <cellStyle name="Normal 39 9" xfId="24494" xr:uid="{00000000-0005-0000-0000-000078540000}"/>
    <cellStyle name="Normal 4" xfId="55" xr:uid="{00000000-0005-0000-0000-000079540000}"/>
    <cellStyle name="Normal 4 10" xfId="24146" xr:uid="{00000000-0005-0000-0000-00007A540000}"/>
    <cellStyle name="Normal 4 11" xfId="24717" xr:uid="{00000000-0005-0000-0000-00007B540000}"/>
    <cellStyle name="Normal 4 12" xfId="25033" xr:uid="{00000000-0005-0000-0000-00007C540000}"/>
    <cellStyle name="Normal 4 13" xfId="25774" xr:uid="{00000000-0005-0000-0000-00007D540000}"/>
    <cellStyle name="Normal 4 2" xfId="164" xr:uid="{00000000-0005-0000-0000-00007E540000}"/>
    <cellStyle name="Normal 4 2 10" xfId="25788" xr:uid="{00000000-0005-0000-0000-00007F540000}"/>
    <cellStyle name="Normal 4 2 2" xfId="420" xr:uid="{00000000-0005-0000-0000-000080540000}"/>
    <cellStyle name="Normal 4 2 2 2" xfId="12485" xr:uid="{00000000-0005-0000-0000-000081540000}"/>
    <cellStyle name="Normal 4 2 2 2 2" xfId="23773" xr:uid="{00000000-0005-0000-0000-000082540000}"/>
    <cellStyle name="Normal 4 2 2 2 3" xfId="24422" xr:uid="{00000000-0005-0000-0000-000083540000}"/>
    <cellStyle name="Normal 4 2 2 2 4" xfId="24866" xr:uid="{00000000-0005-0000-0000-000084540000}"/>
    <cellStyle name="Normal 4 2 2 2 5" xfId="25229" xr:uid="{00000000-0005-0000-0000-000085540000}"/>
    <cellStyle name="Normal 4 2 2 3" xfId="24148" xr:uid="{00000000-0005-0000-0000-000086540000}"/>
    <cellStyle name="Normal 4 2 2 4" xfId="24719" xr:uid="{00000000-0005-0000-0000-000087540000}"/>
    <cellStyle name="Normal 4 2 2 5" xfId="25035" xr:uid="{00000000-0005-0000-0000-000088540000}"/>
    <cellStyle name="Normal 4 2 3" xfId="387" xr:uid="{00000000-0005-0000-0000-000089540000}"/>
    <cellStyle name="Normal 4 2 3 2" xfId="503" xr:uid="{00000000-0005-0000-0000-00008A540000}"/>
    <cellStyle name="Normal 4 2 3 2 2" xfId="13866" xr:uid="{00000000-0005-0000-0000-00008B540000}"/>
    <cellStyle name="Normal 4 2 3 3" xfId="10491" xr:uid="{00000000-0005-0000-0000-00008C540000}"/>
    <cellStyle name="Normal 4 2 3 3 2" xfId="21779" xr:uid="{00000000-0005-0000-0000-00008D540000}"/>
    <cellStyle name="Normal 4 2 3 4" xfId="13783" xr:uid="{00000000-0005-0000-0000-00008E540000}"/>
    <cellStyle name="Normal 4 2 3 5" xfId="24421" xr:uid="{00000000-0005-0000-0000-00008F540000}"/>
    <cellStyle name="Normal 4 2 3 6" xfId="24865" xr:uid="{00000000-0005-0000-0000-000090540000}"/>
    <cellStyle name="Normal 4 2 3 7" xfId="25228" xr:uid="{00000000-0005-0000-0000-000091540000}"/>
    <cellStyle name="Normal 4 2 4" xfId="8497" xr:uid="{00000000-0005-0000-0000-000092540000}"/>
    <cellStyle name="Normal 4 2 4 2" xfId="19785" xr:uid="{00000000-0005-0000-0000-000093540000}"/>
    <cellStyle name="Normal 4 2 5" xfId="6503" xr:uid="{00000000-0005-0000-0000-000094540000}"/>
    <cellStyle name="Normal 4 2 5 2" xfId="17791" xr:uid="{00000000-0005-0000-0000-000095540000}"/>
    <cellStyle name="Normal 4 2 6" xfId="4506" xr:uid="{00000000-0005-0000-0000-000096540000}"/>
    <cellStyle name="Normal 4 2 6 2" xfId="15797" xr:uid="{00000000-0005-0000-0000-000097540000}"/>
    <cellStyle name="Normal 4 2 7" xfId="24147" xr:uid="{00000000-0005-0000-0000-000098540000}"/>
    <cellStyle name="Normal 4 2 8" xfId="24718" xr:uid="{00000000-0005-0000-0000-000099540000}"/>
    <cellStyle name="Normal 4 2 9" xfId="25034" xr:uid="{00000000-0005-0000-0000-00009A540000}"/>
    <cellStyle name="Normal 4 3" xfId="170" xr:uid="{00000000-0005-0000-0000-00009B540000}"/>
    <cellStyle name="Normal 4 3 2" xfId="361" xr:uid="{00000000-0005-0000-0000-00009C540000}"/>
    <cellStyle name="Normal 4 3 2 2" xfId="443" xr:uid="{00000000-0005-0000-0000-00009D540000}"/>
    <cellStyle name="Normal 4 3 2 2 2" xfId="529" xr:uid="{00000000-0005-0000-0000-00009E540000}"/>
    <cellStyle name="Normal 4 3 2 2 2 2" xfId="13892" xr:uid="{00000000-0005-0000-0000-00009F540000}"/>
    <cellStyle name="Normal 4 3 2 2 3" xfId="13815" xr:uid="{00000000-0005-0000-0000-0000A0540000}"/>
    <cellStyle name="Normal 4 3 2 2 4" xfId="24424" xr:uid="{00000000-0005-0000-0000-0000A1540000}"/>
    <cellStyle name="Normal 4 3 2 2 5" xfId="24868" xr:uid="{00000000-0005-0000-0000-0000A2540000}"/>
    <cellStyle name="Normal 4 3 2 2 6" xfId="25231" xr:uid="{00000000-0005-0000-0000-0000A3540000}"/>
    <cellStyle name="Normal 4 3 2 3" xfId="492" xr:uid="{00000000-0005-0000-0000-0000A4540000}"/>
    <cellStyle name="Normal 4 3 2 3 2" xfId="13855" xr:uid="{00000000-0005-0000-0000-0000A5540000}"/>
    <cellStyle name="Normal 4 3 2 4" xfId="13771" xr:uid="{00000000-0005-0000-0000-0000A6540000}"/>
    <cellStyle name="Normal 4 3 2 5" xfId="24150" xr:uid="{00000000-0005-0000-0000-0000A7540000}"/>
    <cellStyle name="Normal 4 3 2 6" xfId="24721" xr:uid="{00000000-0005-0000-0000-0000A8540000}"/>
    <cellStyle name="Normal 4 3 2 7" xfId="25037" xr:uid="{00000000-0005-0000-0000-0000A9540000}"/>
    <cellStyle name="Normal 4 3 3" xfId="423" xr:uid="{00000000-0005-0000-0000-0000AA540000}"/>
    <cellStyle name="Normal 4 3 3 2" xfId="514" xr:uid="{00000000-0005-0000-0000-0000AB540000}"/>
    <cellStyle name="Normal 4 3 3 2 2" xfId="13877" xr:uid="{00000000-0005-0000-0000-0000AC540000}"/>
    <cellStyle name="Normal 4 3 3 3" xfId="13800" xr:uid="{00000000-0005-0000-0000-0000AD540000}"/>
    <cellStyle name="Normal 4 3 3 4" xfId="24423" xr:uid="{00000000-0005-0000-0000-0000AE540000}"/>
    <cellStyle name="Normal 4 3 3 5" xfId="24867" xr:uid="{00000000-0005-0000-0000-0000AF540000}"/>
    <cellStyle name="Normal 4 3 3 6" xfId="25230" xr:uid="{00000000-0005-0000-0000-0000B0540000}"/>
    <cellStyle name="Normal 4 3 4" xfId="477" xr:uid="{00000000-0005-0000-0000-0000B1540000}"/>
    <cellStyle name="Normal 4 3 4 2" xfId="13840" xr:uid="{00000000-0005-0000-0000-0000B2540000}"/>
    <cellStyle name="Normal 4 3 5" xfId="11488" xr:uid="{00000000-0005-0000-0000-0000B3540000}"/>
    <cellStyle name="Normal 4 3 5 2" xfId="22776" xr:uid="{00000000-0005-0000-0000-0000B4540000}"/>
    <cellStyle name="Normal 4 3 6" xfId="13685" xr:uid="{00000000-0005-0000-0000-0000B5540000}"/>
    <cellStyle name="Normal 4 3 7" xfId="24149" xr:uid="{00000000-0005-0000-0000-0000B6540000}"/>
    <cellStyle name="Normal 4 3 8" xfId="24720" xr:uid="{00000000-0005-0000-0000-0000B7540000}"/>
    <cellStyle name="Normal 4 3 9" xfId="25036" xr:uid="{00000000-0005-0000-0000-0000B8540000}"/>
    <cellStyle name="Normal 4 4" xfId="356" xr:uid="{00000000-0005-0000-0000-0000B9540000}"/>
    <cellStyle name="Normal 4 4 2" xfId="439" xr:uid="{00000000-0005-0000-0000-0000BA540000}"/>
    <cellStyle name="Normal 4 4 2 2" xfId="525" xr:uid="{00000000-0005-0000-0000-0000BB540000}"/>
    <cellStyle name="Normal 4 4 2 2 2" xfId="13888" xr:uid="{00000000-0005-0000-0000-0000BC540000}"/>
    <cellStyle name="Normal 4 4 2 3" xfId="13811" xr:uid="{00000000-0005-0000-0000-0000BD540000}"/>
    <cellStyle name="Normal 4 4 3" xfId="488" xr:uid="{00000000-0005-0000-0000-0000BE540000}"/>
    <cellStyle name="Normal 4 4 3 2" xfId="13851" xr:uid="{00000000-0005-0000-0000-0000BF540000}"/>
    <cellStyle name="Normal 4 4 4" xfId="9494" xr:uid="{00000000-0005-0000-0000-0000C0540000}"/>
    <cellStyle name="Normal 4 4 4 2" xfId="20782" xr:uid="{00000000-0005-0000-0000-0000C1540000}"/>
    <cellStyle name="Normal 4 4 5" xfId="13766" xr:uid="{00000000-0005-0000-0000-0000C2540000}"/>
    <cellStyle name="Normal 4 4 6" xfId="24151" xr:uid="{00000000-0005-0000-0000-0000C3540000}"/>
    <cellStyle name="Normal 4 5" xfId="473" xr:uid="{00000000-0005-0000-0000-0000C4540000}"/>
    <cellStyle name="Normal 4 5 2" xfId="7500" xr:uid="{00000000-0005-0000-0000-0000C5540000}"/>
    <cellStyle name="Normal 4 5 2 2" xfId="18788" xr:uid="{00000000-0005-0000-0000-0000C6540000}"/>
    <cellStyle name="Normal 4 5 3" xfId="13836" xr:uid="{00000000-0005-0000-0000-0000C7540000}"/>
    <cellStyle name="Normal 4 5 4" xfId="24152" xr:uid="{00000000-0005-0000-0000-0000C8540000}"/>
    <cellStyle name="Normal 4 6" xfId="659" xr:uid="{00000000-0005-0000-0000-0000C9540000}"/>
    <cellStyle name="Normal 4 6 2" xfId="5506" xr:uid="{00000000-0005-0000-0000-0000CA540000}"/>
    <cellStyle name="Normal 4 6 2 2" xfId="16794" xr:uid="{00000000-0005-0000-0000-0000CB540000}"/>
    <cellStyle name="Normal 4 6 2 3" xfId="24425" xr:uid="{00000000-0005-0000-0000-0000CC540000}"/>
    <cellStyle name="Normal 4 6 2 4" xfId="24869" xr:uid="{00000000-0005-0000-0000-0000CD540000}"/>
    <cellStyle name="Normal 4 6 2 5" xfId="25232" xr:uid="{00000000-0005-0000-0000-0000CE540000}"/>
    <cellStyle name="Normal 4 6 3" xfId="13912" xr:uid="{00000000-0005-0000-0000-0000CF540000}"/>
    <cellStyle name="Normal 4 6 4" xfId="24153" xr:uid="{00000000-0005-0000-0000-0000D0540000}"/>
    <cellStyle name="Normal 4 6 5" xfId="24722" xr:uid="{00000000-0005-0000-0000-0000D1540000}"/>
    <cellStyle name="Normal 4 6 6" xfId="25038" xr:uid="{00000000-0005-0000-0000-0000D2540000}"/>
    <cellStyle name="Normal 4 7" xfId="3271" xr:uid="{00000000-0005-0000-0000-0000D3540000}"/>
    <cellStyle name="Normal 4 7 2" xfId="14800" xr:uid="{00000000-0005-0000-0000-0000D4540000}"/>
    <cellStyle name="Normal 4 7 3" xfId="24420" xr:uid="{00000000-0005-0000-0000-0000D5540000}"/>
    <cellStyle name="Normal 4 7 4" xfId="24864" xr:uid="{00000000-0005-0000-0000-0000D6540000}"/>
    <cellStyle name="Normal 4 7 5" xfId="25227" xr:uid="{00000000-0005-0000-0000-0000D7540000}"/>
    <cellStyle name="Normal 4 8" xfId="13613" xr:uid="{00000000-0005-0000-0000-0000D8540000}"/>
    <cellStyle name="Normal 4 9" xfId="13484" xr:uid="{00000000-0005-0000-0000-0000D9540000}"/>
    <cellStyle name="Normal 40" xfId="3272" xr:uid="{00000000-0005-0000-0000-0000DA540000}"/>
    <cellStyle name="Normal 40 10" xfId="24479" xr:uid="{00000000-0005-0000-0000-0000DB540000}"/>
    <cellStyle name="Normal 40 2" xfId="3273" xr:uid="{00000000-0005-0000-0000-0000DC540000}"/>
    <cellStyle name="Normal 40 2 2" xfId="4508" xr:uid="{00000000-0005-0000-0000-0000DD540000}"/>
    <cellStyle name="Normal 40 2 2 2" xfId="12487" xr:uid="{00000000-0005-0000-0000-0000DE540000}"/>
    <cellStyle name="Normal 40 2 2 2 2" xfId="23775" xr:uid="{00000000-0005-0000-0000-0000DF540000}"/>
    <cellStyle name="Normal 40 2 2 3" xfId="10493" xr:uid="{00000000-0005-0000-0000-0000E0540000}"/>
    <cellStyle name="Normal 40 2 2 3 2" xfId="21781" xr:uid="{00000000-0005-0000-0000-0000E1540000}"/>
    <cellStyle name="Normal 40 2 2 4" xfId="8499" xr:uid="{00000000-0005-0000-0000-0000E2540000}"/>
    <cellStyle name="Normal 40 2 2 4 2" xfId="19787" xr:uid="{00000000-0005-0000-0000-0000E3540000}"/>
    <cellStyle name="Normal 40 2 2 5" xfId="6505" xr:uid="{00000000-0005-0000-0000-0000E4540000}"/>
    <cellStyle name="Normal 40 2 2 5 2" xfId="17793" xr:uid="{00000000-0005-0000-0000-0000E5540000}"/>
    <cellStyle name="Normal 40 2 2 6" xfId="15799" xr:uid="{00000000-0005-0000-0000-0000E6540000}"/>
    <cellStyle name="Normal 40 2 3" xfId="11490" xr:uid="{00000000-0005-0000-0000-0000E7540000}"/>
    <cellStyle name="Normal 40 2 3 2" xfId="22778" xr:uid="{00000000-0005-0000-0000-0000E8540000}"/>
    <cellStyle name="Normal 40 2 4" xfId="9496" xr:uid="{00000000-0005-0000-0000-0000E9540000}"/>
    <cellStyle name="Normal 40 2 4 2" xfId="20784" xr:uid="{00000000-0005-0000-0000-0000EA540000}"/>
    <cellStyle name="Normal 40 2 5" xfId="7502" xr:uid="{00000000-0005-0000-0000-0000EB540000}"/>
    <cellStyle name="Normal 40 2 5 2" xfId="18790" xr:uid="{00000000-0005-0000-0000-0000EC540000}"/>
    <cellStyle name="Normal 40 2 6" xfId="5508" xr:uid="{00000000-0005-0000-0000-0000ED540000}"/>
    <cellStyle name="Normal 40 2 6 2" xfId="16796" xr:uid="{00000000-0005-0000-0000-0000EE540000}"/>
    <cellStyle name="Normal 40 2 7" xfId="14802" xr:uid="{00000000-0005-0000-0000-0000EF540000}"/>
    <cellStyle name="Normal 40 2 8" xfId="13486" xr:uid="{00000000-0005-0000-0000-0000F0540000}"/>
    <cellStyle name="Normal 40 3" xfId="4507" xr:uid="{00000000-0005-0000-0000-0000F1540000}"/>
    <cellStyle name="Normal 40 3 2" xfId="12486" xr:uid="{00000000-0005-0000-0000-0000F2540000}"/>
    <cellStyle name="Normal 40 3 2 2" xfId="23774" xr:uid="{00000000-0005-0000-0000-0000F3540000}"/>
    <cellStyle name="Normal 40 3 3" xfId="10492" xr:uid="{00000000-0005-0000-0000-0000F4540000}"/>
    <cellStyle name="Normal 40 3 3 2" xfId="21780" xr:uid="{00000000-0005-0000-0000-0000F5540000}"/>
    <cellStyle name="Normal 40 3 4" xfId="8498" xr:uid="{00000000-0005-0000-0000-0000F6540000}"/>
    <cellStyle name="Normal 40 3 4 2" xfId="19786" xr:uid="{00000000-0005-0000-0000-0000F7540000}"/>
    <cellStyle name="Normal 40 3 5" xfId="6504" xr:uid="{00000000-0005-0000-0000-0000F8540000}"/>
    <cellStyle name="Normal 40 3 5 2" xfId="17792" xr:uid="{00000000-0005-0000-0000-0000F9540000}"/>
    <cellStyle name="Normal 40 3 6" xfId="15798" xr:uid="{00000000-0005-0000-0000-0000FA540000}"/>
    <cellStyle name="Normal 40 4" xfId="11489" xr:uid="{00000000-0005-0000-0000-0000FB540000}"/>
    <cellStyle name="Normal 40 4 2" xfId="22777" xr:uid="{00000000-0005-0000-0000-0000FC540000}"/>
    <cellStyle name="Normal 40 5" xfId="9495" xr:uid="{00000000-0005-0000-0000-0000FD540000}"/>
    <cellStyle name="Normal 40 5 2" xfId="20783" xr:uid="{00000000-0005-0000-0000-0000FE540000}"/>
    <cellStyle name="Normal 40 6" xfId="7501" xr:uid="{00000000-0005-0000-0000-0000FF540000}"/>
    <cellStyle name="Normal 40 6 2" xfId="18789" xr:uid="{00000000-0005-0000-0000-000000550000}"/>
    <cellStyle name="Normal 40 7" xfId="5507" xr:uid="{00000000-0005-0000-0000-000001550000}"/>
    <cellStyle name="Normal 40 7 2" xfId="16795" xr:uid="{00000000-0005-0000-0000-000002550000}"/>
    <cellStyle name="Normal 40 8" xfId="14801" xr:uid="{00000000-0005-0000-0000-000003550000}"/>
    <cellStyle name="Normal 40 9" xfId="13485" xr:uid="{00000000-0005-0000-0000-000004550000}"/>
    <cellStyle name="Normal 41" xfId="3274" xr:uid="{00000000-0005-0000-0000-000005550000}"/>
    <cellStyle name="Normal 41 2" xfId="4509" xr:uid="{00000000-0005-0000-0000-000006550000}"/>
    <cellStyle name="Normal 41 2 2" xfId="12488" xr:uid="{00000000-0005-0000-0000-000007550000}"/>
    <cellStyle name="Normal 41 2 2 2" xfId="23776" xr:uid="{00000000-0005-0000-0000-000008550000}"/>
    <cellStyle name="Normal 41 2 3" xfId="10494" xr:uid="{00000000-0005-0000-0000-000009550000}"/>
    <cellStyle name="Normal 41 2 3 2" xfId="21782" xr:uid="{00000000-0005-0000-0000-00000A550000}"/>
    <cellStyle name="Normal 41 2 4" xfId="8500" xr:uid="{00000000-0005-0000-0000-00000B550000}"/>
    <cellStyle name="Normal 41 2 4 2" xfId="19788" xr:uid="{00000000-0005-0000-0000-00000C550000}"/>
    <cellStyle name="Normal 41 2 5" xfId="6506" xr:uid="{00000000-0005-0000-0000-00000D550000}"/>
    <cellStyle name="Normal 41 2 5 2" xfId="17794" xr:uid="{00000000-0005-0000-0000-00000E550000}"/>
    <cellStyle name="Normal 41 2 6" xfId="15800" xr:uid="{00000000-0005-0000-0000-00000F550000}"/>
    <cellStyle name="Normal 41 3" xfId="11491" xr:uid="{00000000-0005-0000-0000-000010550000}"/>
    <cellStyle name="Normal 41 3 2" xfId="22779" xr:uid="{00000000-0005-0000-0000-000011550000}"/>
    <cellStyle name="Normal 41 4" xfId="9497" xr:uid="{00000000-0005-0000-0000-000012550000}"/>
    <cellStyle name="Normal 41 4 2" xfId="20785" xr:uid="{00000000-0005-0000-0000-000013550000}"/>
    <cellStyle name="Normal 41 5" xfId="7503" xr:uid="{00000000-0005-0000-0000-000014550000}"/>
    <cellStyle name="Normal 41 5 2" xfId="18791" xr:uid="{00000000-0005-0000-0000-000015550000}"/>
    <cellStyle name="Normal 41 6" xfId="5509" xr:uid="{00000000-0005-0000-0000-000016550000}"/>
    <cellStyle name="Normal 41 6 2" xfId="16797" xr:uid="{00000000-0005-0000-0000-000017550000}"/>
    <cellStyle name="Normal 41 7" xfId="14803" xr:uid="{00000000-0005-0000-0000-000018550000}"/>
    <cellStyle name="Normal 41 8" xfId="13487" xr:uid="{00000000-0005-0000-0000-000019550000}"/>
    <cellStyle name="Normal 41 9" xfId="24490" xr:uid="{00000000-0005-0000-0000-00001A550000}"/>
    <cellStyle name="Normal 42" xfId="3275" xr:uid="{00000000-0005-0000-0000-00001B550000}"/>
    <cellStyle name="Normal 42 2" xfId="4510" xr:uid="{00000000-0005-0000-0000-00001C550000}"/>
    <cellStyle name="Normal 42 2 2" xfId="12489" xr:uid="{00000000-0005-0000-0000-00001D550000}"/>
    <cellStyle name="Normal 42 2 2 2" xfId="23777" xr:uid="{00000000-0005-0000-0000-00001E550000}"/>
    <cellStyle name="Normal 42 2 3" xfId="10495" xr:uid="{00000000-0005-0000-0000-00001F550000}"/>
    <cellStyle name="Normal 42 2 3 2" xfId="21783" xr:uid="{00000000-0005-0000-0000-000020550000}"/>
    <cellStyle name="Normal 42 2 4" xfId="8501" xr:uid="{00000000-0005-0000-0000-000021550000}"/>
    <cellStyle name="Normal 42 2 4 2" xfId="19789" xr:uid="{00000000-0005-0000-0000-000022550000}"/>
    <cellStyle name="Normal 42 2 5" xfId="6507" xr:uid="{00000000-0005-0000-0000-000023550000}"/>
    <cellStyle name="Normal 42 2 5 2" xfId="17795" xr:uid="{00000000-0005-0000-0000-000024550000}"/>
    <cellStyle name="Normal 42 2 6" xfId="15801" xr:uid="{00000000-0005-0000-0000-000025550000}"/>
    <cellStyle name="Normal 42 3" xfId="11492" xr:uid="{00000000-0005-0000-0000-000026550000}"/>
    <cellStyle name="Normal 42 3 2" xfId="22780" xr:uid="{00000000-0005-0000-0000-000027550000}"/>
    <cellStyle name="Normal 42 4" xfId="9498" xr:uid="{00000000-0005-0000-0000-000028550000}"/>
    <cellStyle name="Normal 42 4 2" xfId="20786" xr:uid="{00000000-0005-0000-0000-000029550000}"/>
    <cellStyle name="Normal 42 5" xfId="7504" xr:uid="{00000000-0005-0000-0000-00002A550000}"/>
    <cellStyle name="Normal 42 5 2" xfId="18792" xr:uid="{00000000-0005-0000-0000-00002B550000}"/>
    <cellStyle name="Normal 42 6" xfId="5510" xr:uid="{00000000-0005-0000-0000-00002C550000}"/>
    <cellStyle name="Normal 42 6 2" xfId="16798" xr:uid="{00000000-0005-0000-0000-00002D550000}"/>
    <cellStyle name="Normal 42 7" xfId="14804" xr:uid="{00000000-0005-0000-0000-00002E550000}"/>
    <cellStyle name="Normal 42 8" xfId="13488" xr:uid="{00000000-0005-0000-0000-00002F550000}"/>
    <cellStyle name="Normal 42 9" xfId="24506" xr:uid="{00000000-0005-0000-0000-000030550000}"/>
    <cellStyle name="Normal 43" xfId="3276" xr:uid="{00000000-0005-0000-0000-000031550000}"/>
    <cellStyle name="Normal 43 2" xfId="4511" xr:uid="{00000000-0005-0000-0000-000032550000}"/>
    <cellStyle name="Normal 43 2 2" xfId="12490" xr:uid="{00000000-0005-0000-0000-000033550000}"/>
    <cellStyle name="Normal 43 2 2 2" xfId="23778" xr:uid="{00000000-0005-0000-0000-000034550000}"/>
    <cellStyle name="Normal 43 2 3" xfId="10496" xr:uid="{00000000-0005-0000-0000-000035550000}"/>
    <cellStyle name="Normal 43 2 3 2" xfId="21784" xr:uid="{00000000-0005-0000-0000-000036550000}"/>
    <cellStyle name="Normal 43 2 4" xfId="8502" xr:uid="{00000000-0005-0000-0000-000037550000}"/>
    <cellStyle name="Normal 43 2 4 2" xfId="19790" xr:uid="{00000000-0005-0000-0000-000038550000}"/>
    <cellStyle name="Normal 43 2 5" xfId="6508" xr:uid="{00000000-0005-0000-0000-000039550000}"/>
    <cellStyle name="Normal 43 2 5 2" xfId="17796" xr:uid="{00000000-0005-0000-0000-00003A550000}"/>
    <cellStyle name="Normal 43 2 6" xfId="15802" xr:uid="{00000000-0005-0000-0000-00003B550000}"/>
    <cellStyle name="Normal 43 3" xfId="11493" xr:uid="{00000000-0005-0000-0000-00003C550000}"/>
    <cellStyle name="Normal 43 3 2" xfId="22781" xr:uid="{00000000-0005-0000-0000-00003D550000}"/>
    <cellStyle name="Normal 43 4" xfId="9499" xr:uid="{00000000-0005-0000-0000-00003E550000}"/>
    <cellStyle name="Normal 43 4 2" xfId="20787" xr:uid="{00000000-0005-0000-0000-00003F550000}"/>
    <cellStyle name="Normal 43 5" xfId="7505" xr:uid="{00000000-0005-0000-0000-000040550000}"/>
    <cellStyle name="Normal 43 5 2" xfId="18793" xr:uid="{00000000-0005-0000-0000-000041550000}"/>
    <cellStyle name="Normal 43 6" xfId="5511" xr:uid="{00000000-0005-0000-0000-000042550000}"/>
    <cellStyle name="Normal 43 6 2" xfId="16799" xr:uid="{00000000-0005-0000-0000-000043550000}"/>
    <cellStyle name="Normal 43 7" xfId="14805" xr:uid="{00000000-0005-0000-0000-000044550000}"/>
    <cellStyle name="Normal 43 8" xfId="13489" xr:uid="{00000000-0005-0000-0000-000045550000}"/>
    <cellStyle name="Normal 43 9" xfId="24511" xr:uid="{00000000-0005-0000-0000-000046550000}"/>
    <cellStyle name="Normal 44" xfId="3277" xr:uid="{00000000-0005-0000-0000-000047550000}"/>
    <cellStyle name="Normal 44 2" xfId="4512" xr:uid="{00000000-0005-0000-0000-000048550000}"/>
    <cellStyle name="Normal 44 2 2" xfId="12491" xr:uid="{00000000-0005-0000-0000-000049550000}"/>
    <cellStyle name="Normal 44 2 2 2" xfId="23779" xr:uid="{00000000-0005-0000-0000-00004A550000}"/>
    <cellStyle name="Normal 44 2 3" xfId="10497" xr:uid="{00000000-0005-0000-0000-00004B550000}"/>
    <cellStyle name="Normal 44 2 3 2" xfId="21785" xr:uid="{00000000-0005-0000-0000-00004C550000}"/>
    <cellStyle name="Normal 44 2 4" xfId="8503" xr:uid="{00000000-0005-0000-0000-00004D550000}"/>
    <cellStyle name="Normal 44 2 4 2" xfId="19791" xr:uid="{00000000-0005-0000-0000-00004E550000}"/>
    <cellStyle name="Normal 44 2 5" xfId="6509" xr:uid="{00000000-0005-0000-0000-00004F550000}"/>
    <cellStyle name="Normal 44 2 5 2" xfId="17797" xr:uid="{00000000-0005-0000-0000-000050550000}"/>
    <cellStyle name="Normal 44 2 6" xfId="15803" xr:uid="{00000000-0005-0000-0000-000051550000}"/>
    <cellStyle name="Normal 44 3" xfId="11494" xr:uid="{00000000-0005-0000-0000-000052550000}"/>
    <cellStyle name="Normal 44 3 2" xfId="22782" xr:uid="{00000000-0005-0000-0000-000053550000}"/>
    <cellStyle name="Normal 44 4" xfId="9500" xr:uid="{00000000-0005-0000-0000-000054550000}"/>
    <cellStyle name="Normal 44 4 2" xfId="20788" xr:uid="{00000000-0005-0000-0000-000055550000}"/>
    <cellStyle name="Normal 44 5" xfId="7506" xr:uid="{00000000-0005-0000-0000-000056550000}"/>
    <cellStyle name="Normal 44 5 2" xfId="18794" xr:uid="{00000000-0005-0000-0000-000057550000}"/>
    <cellStyle name="Normal 44 6" xfId="5512" xr:uid="{00000000-0005-0000-0000-000058550000}"/>
    <cellStyle name="Normal 44 6 2" xfId="16800" xr:uid="{00000000-0005-0000-0000-000059550000}"/>
    <cellStyle name="Normal 44 7" xfId="14806" xr:uid="{00000000-0005-0000-0000-00005A550000}"/>
    <cellStyle name="Normal 44 8" xfId="13490" xr:uid="{00000000-0005-0000-0000-00005B550000}"/>
    <cellStyle name="Normal 45" xfId="3278" xr:uid="{00000000-0005-0000-0000-00005C550000}"/>
    <cellStyle name="Normal 45 2" xfId="4513" xr:uid="{00000000-0005-0000-0000-00005D550000}"/>
    <cellStyle name="Normal 45 2 2" xfId="12492" xr:uid="{00000000-0005-0000-0000-00005E550000}"/>
    <cellStyle name="Normal 45 2 2 2" xfId="23780" xr:uid="{00000000-0005-0000-0000-00005F550000}"/>
    <cellStyle name="Normal 45 2 3" xfId="10498" xr:uid="{00000000-0005-0000-0000-000060550000}"/>
    <cellStyle name="Normal 45 2 3 2" xfId="21786" xr:uid="{00000000-0005-0000-0000-000061550000}"/>
    <cellStyle name="Normal 45 2 4" xfId="8504" xr:uid="{00000000-0005-0000-0000-000062550000}"/>
    <cellStyle name="Normal 45 2 4 2" xfId="19792" xr:uid="{00000000-0005-0000-0000-000063550000}"/>
    <cellStyle name="Normal 45 2 5" xfId="6510" xr:uid="{00000000-0005-0000-0000-000064550000}"/>
    <cellStyle name="Normal 45 2 5 2" xfId="17798" xr:uid="{00000000-0005-0000-0000-000065550000}"/>
    <cellStyle name="Normal 45 2 6" xfId="15804" xr:uid="{00000000-0005-0000-0000-000066550000}"/>
    <cellStyle name="Normal 45 3" xfId="11495" xr:uid="{00000000-0005-0000-0000-000067550000}"/>
    <cellStyle name="Normal 45 3 2" xfId="22783" xr:uid="{00000000-0005-0000-0000-000068550000}"/>
    <cellStyle name="Normal 45 4" xfId="9501" xr:uid="{00000000-0005-0000-0000-000069550000}"/>
    <cellStyle name="Normal 45 4 2" xfId="20789" xr:uid="{00000000-0005-0000-0000-00006A550000}"/>
    <cellStyle name="Normal 45 5" xfId="7507" xr:uid="{00000000-0005-0000-0000-00006B550000}"/>
    <cellStyle name="Normal 45 5 2" xfId="18795" xr:uid="{00000000-0005-0000-0000-00006C550000}"/>
    <cellStyle name="Normal 45 6" xfId="5513" xr:uid="{00000000-0005-0000-0000-00006D550000}"/>
    <cellStyle name="Normal 45 6 2" xfId="16801" xr:uid="{00000000-0005-0000-0000-00006E550000}"/>
    <cellStyle name="Normal 45 7" xfId="14807" xr:uid="{00000000-0005-0000-0000-00006F550000}"/>
    <cellStyle name="Normal 45 8" xfId="13491" xr:uid="{00000000-0005-0000-0000-000070550000}"/>
    <cellStyle name="Normal 46" xfId="3279" xr:uid="{00000000-0005-0000-0000-000071550000}"/>
    <cellStyle name="Normal 46 2" xfId="4514" xr:uid="{00000000-0005-0000-0000-000072550000}"/>
    <cellStyle name="Normal 46 2 2" xfId="12493" xr:uid="{00000000-0005-0000-0000-000073550000}"/>
    <cellStyle name="Normal 46 2 2 2" xfId="23781" xr:uid="{00000000-0005-0000-0000-000074550000}"/>
    <cellStyle name="Normal 46 2 3" xfId="10499" xr:uid="{00000000-0005-0000-0000-000075550000}"/>
    <cellStyle name="Normal 46 2 3 2" xfId="21787" xr:uid="{00000000-0005-0000-0000-000076550000}"/>
    <cellStyle name="Normal 46 2 4" xfId="8505" xr:uid="{00000000-0005-0000-0000-000077550000}"/>
    <cellStyle name="Normal 46 2 4 2" xfId="19793" xr:uid="{00000000-0005-0000-0000-000078550000}"/>
    <cellStyle name="Normal 46 2 5" xfId="6511" xr:uid="{00000000-0005-0000-0000-000079550000}"/>
    <cellStyle name="Normal 46 2 5 2" xfId="17799" xr:uid="{00000000-0005-0000-0000-00007A550000}"/>
    <cellStyle name="Normal 46 2 6" xfId="15805" xr:uid="{00000000-0005-0000-0000-00007B550000}"/>
    <cellStyle name="Normal 46 3" xfId="11496" xr:uid="{00000000-0005-0000-0000-00007C550000}"/>
    <cellStyle name="Normal 46 3 2" xfId="22784" xr:uid="{00000000-0005-0000-0000-00007D550000}"/>
    <cellStyle name="Normal 46 4" xfId="9502" xr:uid="{00000000-0005-0000-0000-00007E550000}"/>
    <cellStyle name="Normal 46 4 2" xfId="20790" xr:uid="{00000000-0005-0000-0000-00007F550000}"/>
    <cellStyle name="Normal 46 5" xfId="7508" xr:uid="{00000000-0005-0000-0000-000080550000}"/>
    <cellStyle name="Normal 46 5 2" xfId="18796" xr:uid="{00000000-0005-0000-0000-000081550000}"/>
    <cellStyle name="Normal 46 6" xfId="5514" xr:uid="{00000000-0005-0000-0000-000082550000}"/>
    <cellStyle name="Normal 46 6 2" xfId="16802" xr:uid="{00000000-0005-0000-0000-000083550000}"/>
    <cellStyle name="Normal 46 7" xfId="14808" xr:uid="{00000000-0005-0000-0000-000084550000}"/>
    <cellStyle name="Normal 46 8" xfId="13492" xr:uid="{00000000-0005-0000-0000-000085550000}"/>
    <cellStyle name="Normal 47" xfId="3280" xr:uid="{00000000-0005-0000-0000-000086550000}"/>
    <cellStyle name="Normal 47 2" xfId="4515" xr:uid="{00000000-0005-0000-0000-000087550000}"/>
    <cellStyle name="Normal 47 2 2" xfId="12494" xr:uid="{00000000-0005-0000-0000-000088550000}"/>
    <cellStyle name="Normal 47 2 2 2" xfId="23782" xr:uid="{00000000-0005-0000-0000-000089550000}"/>
    <cellStyle name="Normal 47 2 3" xfId="10500" xr:uid="{00000000-0005-0000-0000-00008A550000}"/>
    <cellStyle name="Normal 47 2 3 2" xfId="21788" xr:uid="{00000000-0005-0000-0000-00008B550000}"/>
    <cellStyle name="Normal 47 2 4" xfId="8506" xr:uid="{00000000-0005-0000-0000-00008C550000}"/>
    <cellStyle name="Normal 47 2 4 2" xfId="19794" xr:uid="{00000000-0005-0000-0000-00008D550000}"/>
    <cellStyle name="Normal 47 2 5" xfId="6512" xr:uid="{00000000-0005-0000-0000-00008E550000}"/>
    <cellStyle name="Normal 47 2 5 2" xfId="17800" xr:uid="{00000000-0005-0000-0000-00008F550000}"/>
    <cellStyle name="Normal 47 2 6" xfId="15806" xr:uid="{00000000-0005-0000-0000-000090550000}"/>
    <cellStyle name="Normal 47 3" xfId="11497" xr:uid="{00000000-0005-0000-0000-000091550000}"/>
    <cellStyle name="Normal 47 3 2" xfId="22785" xr:uid="{00000000-0005-0000-0000-000092550000}"/>
    <cellStyle name="Normal 47 4" xfId="9503" xr:uid="{00000000-0005-0000-0000-000093550000}"/>
    <cellStyle name="Normal 47 4 2" xfId="20791" xr:uid="{00000000-0005-0000-0000-000094550000}"/>
    <cellStyle name="Normal 47 5" xfId="7509" xr:uid="{00000000-0005-0000-0000-000095550000}"/>
    <cellStyle name="Normal 47 5 2" xfId="18797" xr:uid="{00000000-0005-0000-0000-000096550000}"/>
    <cellStyle name="Normal 47 6" xfId="5515" xr:uid="{00000000-0005-0000-0000-000097550000}"/>
    <cellStyle name="Normal 47 6 2" xfId="16803" xr:uid="{00000000-0005-0000-0000-000098550000}"/>
    <cellStyle name="Normal 47 7" xfId="14809" xr:uid="{00000000-0005-0000-0000-000099550000}"/>
    <cellStyle name="Normal 47 8" xfId="13493" xr:uid="{00000000-0005-0000-0000-00009A550000}"/>
    <cellStyle name="Normal 48" xfId="3281" xr:uid="{00000000-0005-0000-0000-00009B550000}"/>
    <cellStyle name="Normal 48 2" xfId="4516" xr:uid="{00000000-0005-0000-0000-00009C550000}"/>
    <cellStyle name="Normal 48 2 2" xfId="12495" xr:uid="{00000000-0005-0000-0000-00009D550000}"/>
    <cellStyle name="Normal 48 2 2 2" xfId="23783" xr:uid="{00000000-0005-0000-0000-00009E550000}"/>
    <cellStyle name="Normal 48 2 3" xfId="10501" xr:uid="{00000000-0005-0000-0000-00009F550000}"/>
    <cellStyle name="Normal 48 2 3 2" xfId="21789" xr:uid="{00000000-0005-0000-0000-0000A0550000}"/>
    <cellStyle name="Normal 48 2 4" xfId="8507" xr:uid="{00000000-0005-0000-0000-0000A1550000}"/>
    <cellStyle name="Normal 48 2 4 2" xfId="19795" xr:uid="{00000000-0005-0000-0000-0000A2550000}"/>
    <cellStyle name="Normal 48 2 5" xfId="6513" xr:uid="{00000000-0005-0000-0000-0000A3550000}"/>
    <cellStyle name="Normal 48 2 5 2" xfId="17801" xr:uid="{00000000-0005-0000-0000-0000A4550000}"/>
    <cellStyle name="Normal 48 2 6" xfId="15807" xr:uid="{00000000-0005-0000-0000-0000A5550000}"/>
    <cellStyle name="Normal 48 3" xfId="11498" xr:uid="{00000000-0005-0000-0000-0000A6550000}"/>
    <cellStyle name="Normal 48 3 2" xfId="22786" xr:uid="{00000000-0005-0000-0000-0000A7550000}"/>
    <cellStyle name="Normal 48 4" xfId="9504" xr:uid="{00000000-0005-0000-0000-0000A8550000}"/>
    <cellStyle name="Normal 48 4 2" xfId="20792" xr:uid="{00000000-0005-0000-0000-0000A9550000}"/>
    <cellStyle name="Normal 48 5" xfId="7510" xr:uid="{00000000-0005-0000-0000-0000AA550000}"/>
    <cellStyle name="Normal 48 5 2" xfId="18798" xr:uid="{00000000-0005-0000-0000-0000AB550000}"/>
    <cellStyle name="Normal 48 6" xfId="5516" xr:uid="{00000000-0005-0000-0000-0000AC550000}"/>
    <cellStyle name="Normal 48 6 2" xfId="16804" xr:uid="{00000000-0005-0000-0000-0000AD550000}"/>
    <cellStyle name="Normal 48 7" xfId="14810" xr:uid="{00000000-0005-0000-0000-0000AE550000}"/>
    <cellStyle name="Normal 48 8" xfId="13494" xr:uid="{00000000-0005-0000-0000-0000AF550000}"/>
    <cellStyle name="Normal 49" xfId="3282" xr:uid="{00000000-0005-0000-0000-0000B0550000}"/>
    <cellStyle name="Normal 49 2" xfId="4517" xr:uid="{00000000-0005-0000-0000-0000B1550000}"/>
    <cellStyle name="Normal 49 2 2" xfId="12496" xr:uid="{00000000-0005-0000-0000-0000B2550000}"/>
    <cellStyle name="Normal 49 2 2 2" xfId="23784" xr:uid="{00000000-0005-0000-0000-0000B3550000}"/>
    <cellStyle name="Normal 49 2 3" xfId="10502" xr:uid="{00000000-0005-0000-0000-0000B4550000}"/>
    <cellStyle name="Normal 49 2 3 2" xfId="21790" xr:uid="{00000000-0005-0000-0000-0000B5550000}"/>
    <cellStyle name="Normal 49 2 4" xfId="8508" xr:uid="{00000000-0005-0000-0000-0000B6550000}"/>
    <cellStyle name="Normal 49 2 4 2" xfId="19796" xr:uid="{00000000-0005-0000-0000-0000B7550000}"/>
    <cellStyle name="Normal 49 2 5" xfId="6514" xr:uid="{00000000-0005-0000-0000-0000B8550000}"/>
    <cellStyle name="Normal 49 2 5 2" xfId="17802" xr:uid="{00000000-0005-0000-0000-0000B9550000}"/>
    <cellStyle name="Normal 49 2 6" xfId="15808" xr:uid="{00000000-0005-0000-0000-0000BA550000}"/>
    <cellStyle name="Normal 49 3" xfId="11499" xr:uid="{00000000-0005-0000-0000-0000BB550000}"/>
    <cellStyle name="Normal 49 3 2" xfId="22787" xr:uid="{00000000-0005-0000-0000-0000BC550000}"/>
    <cellStyle name="Normal 49 4" xfId="9505" xr:uid="{00000000-0005-0000-0000-0000BD550000}"/>
    <cellStyle name="Normal 49 4 2" xfId="20793" xr:uid="{00000000-0005-0000-0000-0000BE550000}"/>
    <cellStyle name="Normal 49 5" xfId="7511" xr:uid="{00000000-0005-0000-0000-0000BF550000}"/>
    <cellStyle name="Normal 49 5 2" xfId="18799" xr:uid="{00000000-0005-0000-0000-0000C0550000}"/>
    <cellStyle name="Normal 49 6" xfId="5517" xr:uid="{00000000-0005-0000-0000-0000C1550000}"/>
    <cellStyle name="Normal 49 6 2" xfId="16805" xr:uid="{00000000-0005-0000-0000-0000C2550000}"/>
    <cellStyle name="Normal 49 7" xfId="14811" xr:uid="{00000000-0005-0000-0000-0000C3550000}"/>
    <cellStyle name="Normal 49 8" xfId="13495" xr:uid="{00000000-0005-0000-0000-0000C4550000}"/>
    <cellStyle name="Normal 5" xfId="56" xr:uid="{00000000-0005-0000-0000-0000C5550000}"/>
    <cellStyle name="Normal 5 10" xfId="13496" xr:uid="{00000000-0005-0000-0000-0000C6550000}"/>
    <cellStyle name="Normal 5 11" xfId="24154" xr:uid="{00000000-0005-0000-0000-0000C7550000}"/>
    <cellStyle name="Normal 5 12" xfId="24723" xr:uid="{00000000-0005-0000-0000-0000C8550000}"/>
    <cellStyle name="Normal 5 13" xfId="25039" xr:uid="{00000000-0005-0000-0000-0000C9550000}"/>
    <cellStyle name="Normal 5 14" xfId="25775" xr:uid="{00000000-0005-0000-0000-0000CA550000}"/>
    <cellStyle name="Normal 5 2" xfId="203" xr:uid="{00000000-0005-0000-0000-0000CB550000}"/>
    <cellStyle name="Normal 5 2 10" xfId="25789" xr:uid="{00000000-0005-0000-0000-0000CC550000}"/>
    <cellStyle name="Normal 5 2 2" xfId="661" xr:uid="{00000000-0005-0000-0000-0000CD550000}"/>
    <cellStyle name="Normal 5 2 2 2" xfId="12497" xr:uid="{00000000-0005-0000-0000-0000CE550000}"/>
    <cellStyle name="Normal 5 2 2 2 2" xfId="23785" xr:uid="{00000000-0005-0000-0000-0000CF550000}"/>
    <cellStyle name="Normal 5 2 2 2 3" xfId="24428" xr:uid="{00000000-0005-0000-0000-0000D0550000}"/>
    <cellStyle name="Normal 5 2 2 2 4" xfId="24872" xr:uid="{00000000-0005-0000-0000-0000D1550000}"/>
    <cellStyle name="Normal 5 2 2 2 5" xfId="25235" xr:uid="{00000000-0005-0000-0000-0000D2550000}"/>
    <cellStyle name="Normal 5 2 2 3" xfId="24156" xr:uid="{00000000-0005-0000-0000-0000D3550000}"/>
    <cellStyle name="Normal 5 2 2 4" xfId="24725" xr:uid="{00000000-0005-0000-0000-0000D4550000}"/>
    <cellStyle name="Normal 5 2 2 5" xfId="25041" xr:uid="{00000000-0005-0000-0000-0000D5550000}"/>
    <cellStyle name="Normal 5 2 3" xfId="10503" xr:uid="{00000000-0005-0000-0000-0000D6550000}"/>
    <cellStyle name="Normal 5 2 3 2" xfId="21791" xr:uid="{00000000-0005-0000-0000-0000D7550000}"/>
    <cellStyle name="Normal 5 2 3 3" xfId="24427" xr:uid="{00000000-0005-0000-0000-0000D8550000}"/>
    <cellStyle name="Normal 5 2 3 4" xfId="24871" xr:uid="{00000000-0005-0000-0000-0000D9550000}"/>
    <cellStyle name="Normal 5 2 3 5" xfId="25234" xr:uid="{00000000-0005-0000-0000-0000DA550000}"/>
    <cellStyle name="Normal 5 2 4" xfId="8509" xr:uid="{00000000-0005-0000-0000-0000DB550000}"/>
    <cellStyle name="Normal 5 2 4 2" xfId="19797" xr:uid="{00000000-0005-0000-0000-0000DC550000}"/>
    <cellStyle name="Normal 5 2 5" xfId="6515" xr:uid="{00000000-0005-0000-0000-0000DD550000}"/>
    <cellStyle name="Normal 5 2 5 2" xfId="17803" xr:uid="{00000000-0005-0000-0000-0000DE550000}"/>
    <cellStyle name="Normal 5 2 6" xfId="4518" xr:uid="{00000000-0005-0000-0000-0000DF550000}"/>
    <cellStyle name="Normal 5 2 6 2" xfId="15809" xr:uid="{00000000-0005-0000-0000-0000E0550000}"/>
    <cellStyle name="Normal 5 2 7" xfId="24155" xr:uid="{00000000-0005-0000-0000-0000E1550000}"/>
    <cellStyle name="Normal 5 2 8" xfId="24724" xr:uid="{00000000-0005-0000-0000-0000E2550000}"/>
    <cellStyle name="Normal 5 2 9" xfId="25040" xr:uid="{00000000-0005-0000-0000-0000E3550000}"/>
    <cellStyle name="Normal 5 3" xfId="357" xr:uid="{00000000-0005-0000-0000-0000E4550000}"/>
    <cellStyle name="Normal 5 3 2" xfId="440" xr:uid="{00000000-0005-0000-0000-0000E5550000}"/>
    <cellStyle name="Normal 5 3 2 2" xfId="526" xr:uid="{00000000-0005-0000-0000-0000E6550000}"/>
    <cellStyle name="Normal 5 3 2 2 2" xfId="13889" xr:uid="{00000000-0005-0000-0000-0000E7550000}"/>
    <cellStyle name="Normal 5 3 2 2 3" xfId="24430" xr:uid="{00000000-0005-0000-0000-0000E8550000}"/>
    <cellStyle name="Normal 5 3 2 2 4" xfId="24874" xr:uid="{00000000-0005-0000-0000-0000E9550000}"/>
    <cellStyle name="Normal 5 3 2 2 5" xfId="25237" xr:uid="{00000000-0005-0000-0000-0000EA550000}"/>
    <cellStyle name="Normal 5 3 2 3" xfId="13812" xr:uid="{00000000-0005-0000-0000-0000EB550000}"/>
    <cellStyle name="Normal 5 3 2 4" xfId="24158" xr:uid="{00000000-0005-0000-0000-0000EC550000}"/>
    <cellStyle name="Normal 5 3 2 5" xfId="24727" xr:uid="{00000000-0005-0000-0000-0000ED550000}"/>
    <cellStyle name="Normal 5 3 2 6" xfId="25043" xr:uid="{00000000-0005-0000-0000-0000EE550000}"/>
    <cellStyle name="Normal 5 3 3" xfId="489" xr:uid="{00000000-0005-0000-0000-0000EF550000}"/>
    <cellStyle name="Normal 5 3 3 2" xfId="13852" xr:uid="{00000000-0005-0000-0000-0000F0550000}"/>
    <cellStyle name="Normal 5 3 3 3" xfId="24429" xr:uid="{00000000-0005-0000-0000-0000F1550000}"/>
    <cellStyle name="Normal 5 3 3 4" xfId="24873" xr:uid="{00000000-0005-0000-0000-0000F2550000}"/>
    <cellStyle name="Normal 5 3 3 5" xfId="25236" xr:uid="{00000000-0005-0000-0000-0000F3550000}"/>
    <cellStyle name="Normal 5 3 4" xfId="11500" xr:uid="{00000000-0005-0000-0000-0000F4550000}"/>
    <cellStyle name="Normal 5 3 4 2" xfId="22788" xr:uid="{00000000-0005-0000-0000-0000F5550000}"/>
    <cellStyle name="Normal 5 3 5" xfId="13767" xr:uid="{00000000-0005-0000-0000-0000F6550000}"/>
    <cellStyle name="Normal 5 3 6" xfId="24157" xr:uid="{00000000-0005-0000-0000-0000F7550000}"/>
    <cellStyle name="Normal 5 3 7" xfId="24726" xr:uid="{00000000-0005-0000-0000-0000F8550000}"/>
    <cellStyle name="Normal 5 3 8" xfId="25042" xr:uid="{00000000-0005-0000-0000-0000F9550000}"/>
    <cellStyle name="Normal 5 4" xfId="408" xr:uid="{00000000-0005-0000-0000-0000FA550000}"/>
    <cellStyle name="Normal 5 4 2" xfId="508" xr:uid="{00000000-0005-0000-0000-0000FB550000}"/>
    <cellStyle name="Normal 5 4 2 2" xfId="13871" xr:uid="{00000000-0005-0000-0000-0000FC550000}"/>
    <cellStyle name="Normal 5 4 2 3" xfId="24431" xr:uid="{00000000-0005-0000-0000-0000FD550000}"/>
    <cellStyle name="Normal 5 4 2 4" xfId="24875" xr:uid="{00000000-0005-0000-0000-0000FE550000}"/>
    <cellStyle name="Normal 5 4 2 5" xfId="25238" xr:uid="{00000000-0005-0000-0000-0000FF550000}"/>
    <cellStyle name="Normal 5 4 3" xfId="9506" xr:uid="{00000000-0005-0000-0000-000000560000}"/>
    <cellStyle name="Normal 5 4 3 2" xfId="20794" xr:uid="{00000000-0005-0000-0000-000001560000}"/>
    <cellStyle name="Normal 5 4 4" xfId="13790" xr:uid="{00000000-0005-0000-0000-000002560000}"/>
    <cellStyle name="Normal 5 4 5" xfId="24159" xr:uid="{00000000-0005-0000-0000-000003560000}"/>
    <cellStyle name="Normal 5 4 6" xfId="24728" xr:uid="{00000000-0005-0000-0000-000004560000}"/>
    <cellStyle name="Normal 5 4 7" xfId="25044" xr:uid="{00000000-0005-0000-0000-000005560000}"/>
    <cellStyle name="Normal 5 5" xfId="392" xr:uid="{00000000-0005-0000-0000-000006560000}"/>
    <cellStyle name="Normal 5 5 2" xfId="7512" xr:uid="{00000000-0005-0000-0000-000007560000}"/>
    <cellStyle name="Normal 5 5 2 2" xfId="18800" xr:uid="{00000000-0005-0000-0000-000008560000}"/>
    <cellStyle name="Normal 5 5 3" xfId="24426" xr:uid="{00000000-0005-0000-0000-000009560000}"/>
    <cellStyle name="Normal 5 5 4" xfId="24870" xr:uid="{00000000-0005-0000-0000-00000A560000}"/>
    <cellStyle name="Normal 5 5 5" xfId="25233" xr:uid="{00000000-0005-0000-0000-00000B560000}"/>
    <cellStyle name="Normal 5 6" xfId="474" xr:uid="{00000000-0005-0000-0000-00000C560000}"/>
    <cellStyle name="Normal 5 6 2" xfId="5518" xr:uid="{00000000-0005-0000-0000-00000D560000}"/>
    <cellStyle name="Normal 5 6 2 2" xfId="16806" xr:uid="{00000000-0005-0000-0000-00000E560000}"/>
    <cellStyle name="Normal 5 6 3" xfId="13837" xr:uid="{00000000-0005-0000-0000-00000F560000}"/>
    <cellStyle name="Normal 5 7" xfId="660" xr:uid="{00000000-0005-0000-0000-000010560000}"/>
    <cellStyle name="Normal 5 7 2" xfId="13913" xr:uid="{00000000-0005-0000-0000-000011560000}"/>
    <cellStyle name="Normal 5 8" xfId="3283" xr:uid="{00000000-0005-0000-0000-000012560000}"/>
    <cellStyle name="Normal 5 8 2" xfId="14812" xr:uid="{00000000-0005-0000-0000-000013560000}"/>
    <cellStyle name="Normal 5 9" xfId="13614" xr:uid="{00000000-0005-0000-0000-000014560000}"/>
    <cellStyle name="Normal 50" xfId="3284" xr:uid="{00000000-0005-0000-0000-000015560000}"/>
    <cellStyle name="Normal 50 2" xfId="3285" xr:uid="{00000000-0005-0000-0000-000016560000}"/>
    <cellStyle name="Normal 50 2 2" xfId="4520" xr:uid="{00000000-0005-0000-0000-000017560000}"/>
    <cellStyle name="Normal 50 2 2 2" xfId="12499" xr:uid="{00000000-0005-0000-0000-000018560000}"/>
    <cellStyle name="Normal 50 2 2 2 2" xfId="23787" xr:uid="{00000000-0005-0000-0000-000019560000}"/>
    <cellStyle name="Normal 50 2 2 3" xfId="10505" xr:uid="{00000000-0005-0000-0000-00001A560000}"/>
    <cellStyle name="Normal 50 2 2 3 2" xfId="21793" xr:uid="{00000000-0005-0000-0000-00001B560000}"/>
    <cellStyle name="Normal 50 2 2 4" xfId="8511" xr:uid="{00000000-0005-0000-0000-00001C560000}"/>
    <cellStyle name="Normal 50 2 2 4 2" xfId="19799" xr:uid="{00000000-0005-0000-0000-00001D560000}"/>
    <cellStyle name="Normal 50 2 2 5" xfId="6517" xr:uid="{00000000-0005-0000-0000-00001E560000}"/>
    <cellStyle name="Normal 50 2 2 5 2" xfId="17805" xr:uid="{00000000-0005-0000-0000-00001F560000}"/>
    <cellStyle name="Normal 50 2 2 6" xfId="15811" xr:uid="{00000000-0005-0000-0000-000020560000}"/>
    <cellStyle name="Normal 50 2 3" xfId="11502" xr:uid="{00000000-0005-0000-0000-000021560000}"/>
    <cellStyle name="Normal 50 2 3 2" xfId="22790" xr:uid="{00000000-0005-0000-0000-000022560000}"/>
    <cellStyle name="Normal 50 2 4" xfId="9508" xr:uid="{00000000-0005-0000-0000-000023560000}"/>
    <cellStyle name="Normal 50 2 4 2" xfId="20796" xr:uid="{00000000-0005-0000-0000-000024560000}"/>
    <cellStyle name="Normal 50 2 5" xfId="7514" xr:uid="{00000000-0005-0000-0000-000025560000}"/>
    <cellStyle name="Normal 50 2 5 2" xfId="18802" xr:uid="{00000000-0005-0000-0000-000026560000}"/>
    <cellStyle name="Normal 50 2 6" xfId="5520" xr:uid="{00000000-0005-0000-0000-000027560000}"/>
    <cellStyle name="Normal 50 2 6 2" xfId="16808" xr:uid="{00000000-0005-0000-0000-000028560000}"/>
    <cellStyle name="Normal 50 2 7" xfId="14814" xr:uid="{00000000-0005-0000-0000-000029560000}"/>
    <cellStyle name="Normal 50 2 8" xfId="13498" xr:uid="{00000000-0005-0000-0000-00002A560000}"/>
    <cellStyle name="Normal 50 3" xfId="4519" xr:uid="{00000000-0005-0000-0000-00002B560000}"/>
    <cellStyle name="Normal 50 3 2" xfId="12498" xr:uid="{00000000-0005-0000-0000-00002C560000}"/>
    <cellStyle name="Normal 50 3 2 2" xfId="23786" xr:uid="{00000000-0005-0000-0000-00002D560000}"/>
    <cellStyle name="Normal 50 3 3" xfId="10504" xr:uid="{00000000-0005-0000-0000-00002E560000}"/>
    <cellStyle name="Normal 50 3 3 2" xfId="21792" xr:uid="{00000000-0005-0000-0000-00002F560000}"/>
    <cellStyle name="Normal 50 3 4" xfId="8510" xr:uid="{00000000-0005-0000-0000-000030560000}"/>
    <cellStyle name="Normal 50 3 4 2" xfId="19798" xr:uid="{00000000-0005-0000-0000-000031560000}"/>
    <cellStyle name="Normal 50 3 5" xfId="6516" xr:uid="{00000000-0005-0000-0000-000032560000}"/>
    <cellStyle name="Normal 50 3 5 2" xfId="17804" xr:uid="{00000000-0005-0000-0000-000033560000}"/>
    <cellStyle name="Normal 50 3 6" xfId="15810" xr:uid="{00000000-0005-0000-0000-000034560000}"/>
    <cellStyle name="Normal 50 4" xfId="11501" xr:uid="{00000000-0005-0000-0000-000035560000}"/>
    <cellStyle name="Normal 50 4 2" xfId="22789" xr:uid="{00000000-0005-0000-0000-000036560000}"/>
    <cellStyle name="Normal 50 5" xfId="9507" xr:uid="{00000000-0005-0000-0000-000037560000}"/>
    <cellStyle name="Normal 50 5 2" xfId="20795" xr:uid="{00000000-0005-0000-0000-000038560000}"/>
    <cellStyle name="Normal 50 6" xfId="7513" xr:uid="{00000000-0005-0000-0000-000039560000}"/>
    <cellStyle name="Normal 50 6 2" xfId="18801" xr:uid="{00000000-0005-0000-0000-00003A560000}"/>
    <cellStyle name="Normal 50 7" xfId="5519" xr:uid="{00000000-0005-0000-0000-00003B560000}"/>
    <cellStyle name="Normal 50 7 2" xfId="16807" xr:uid="{00000000-0005-0000-0000-00003C560000}"/>
    <cellStyle name="Normal 50 8" xfId="14813" xr:uid="{00000000-0005-0000-0000-00003D560000}"/>
    <cellStyle name="Normal 50 9" xfId="13497" xr:uid="{00000000-0005-0000-0000-00003E560000}"/>
    <cellStyle name="Normal 51" xfId="3286" xr:uid="{00000000-0005-0000-0000-00003F560000}"/>
    <cellStyle name="Normal 51 2" xfId="4521" xr:uid="{00000000-0005-0000-0000-000040560000}"/>
    <cellStyle name="Normal 51 2 2" xfId="12500" xr:uid="{00000000-0005-0000-0000-000041560000}"/>
    <cellStyle name="Normal 51 2 2 2" xfId="23788" xr:uid="{00000000-0005-0000-0000-000042560000}"/>
    <cellStyle name="Normal 51 2 3" xfId="10506" xr:uid="{00000000-0005-0000-0000-000043560000}"/>
    <cellStyle name="Normal 51 2 3 2" xfId="21794" xr:uid="{00000000-0005-0000-0000-000044560000}"/>
    <cellStyle name="Normal 51 2 4" xfId="8512" xr:uid="{00000000-0005-0000-0000-000045560000}"/>
    <cellStyle name="Normal 51 2 4 2" xfId="19800" xr:uid="{00000000-0005-0000-0000-000046560000}"/>
    <cellStyle name="Normal 51 2 5" xfId="6518" xr:uid="{00000000-0005-0000-0000-000047560000}"/>
    <cellStyle name="Normal 51 2 5 2" xfId="17806" xr:uid="{00000000-0005-0000-0000-000048560000}"/>
    <cellStyle name="Normal 51 2 6" xfId="15812" xr:uid="{00000000-0005-0000-0000-000049560000}"/>
    <cellStyle name="Normal 51 3" xfId="11503" xr:uid="{00000000-0005-0000-0000-00004A560000}"/>
    <cellStyle name="Normal 51 3 2" xfId="22791" xr:uid="{00000000-0005-0000-0000-00004B560000}"/>
    <cellStyle name="Normal 51 4" xfId="9509" xr:uid="{00000000-0005-0000-0000-00004C560000}"/>
    <cellStyle name="Normal 51 4 2" xfId="20797" xr:uid="{00000000-0005-0000-0000-00004D560000}"/>
    <cellStyle name="Normal 51 5" xfId="7515" xr:uid="{00000000-0005-0000-0000-00004E560000}"/>
    <cellStyle name="Normal 51 5 2" xfId="18803" xr:uid="{00000000-0005-0000-0000-00004F560000}"/>
    <cellStyle name="Normal 51 6" xfId="5521" xr:uid="{00000000-0005-0000-0000-000050560000}"/>
    <cellStyle name="Normal 51 6 2" xfId="16809" xr:uid="{00000000-0005-0000-0000-000051560000}"/>
    <cellStyle name="Normal 51 7" xfId="14815" xr:uid="{00000000-0005-0000-0000-000052560000}"/>
    <cellStyle name="Normal 51 8" xfId="13499" xr:uid="{00000000-0005-0000-0000-000053560000}"/>
    <cellStyle name="Normal 52" xfId="3287" xr:uid="{00000000-0005-0000-0000-000054560000}"/>
    <cellStyle name="Normal 52 2" xfId="4522" xr:uid="{00000000-0005-0000-0000-000055560000}"/>
    <cellStyle name="Normal 52 2 2" xfId="12501" xr:uid="{00000000-0005-0000-0000-000056560000}"/>
    <cellStyle name="Normal 52 2 2 2" xfId="23789" xr:uid="{00000000-0005-0000-0000-000057560000}"/>
    <cellStyle name="Normal 52 2 3" xfId="10507" xr:uid="{00000000-0005-0000-0000-000058560000}"/>
    <cellStyle name="Normal 52 2 3 2" xfId="21795" xr:uid="{00000000-0005-0000-0000-000059560000}"/>
    <cellStyle name="Normal 52 2 4" xfId="8513" xr:uid="{00000000-0005-0000-0000-00005A560000}"/>
    <cellStyle name="Normal 52 2 4 2" xfId="19801" xr:uid="{00000000-0005-0000-0000-00005B560000}"/>
    <cellStyle name="Normal 52 2 5" xfId="6519" xr:uid="{00000000-0005-0000-0000-00005C560000}"/>
    <cellStyle name="Normal 52 2 5 2" xfId="17807" xr:uid="{00000000-0005-0000-0000-00005D560000}"/>
    <cellStyle name="Normal 52 2 6" xfId="15813" xr:uid="{00000000-0005-0000-0000-00005E560000}"/>
    <cellStyle name="Normal 52 3" xfId="11504" xr:uid="{00000000-0005-0000-0000-00005F560000}"/>
    <cellStyle name="Normal 52 3 2" xfId="22792" xr:uid="{00000000-0005-0000-0000-000060560000}"/>
    <cellStyle name="Normal 52 4" xfId="9510" xr:uid="{00000000-0005-0000-0000-000061560000}"/>
    <cellStyle name="Normal 52 4 2" xfId="20798" xr:uid="{00000000-0005-0000-0000-000062560000}"/>
    <cellStyle name="Normal 52 5" xfId="7516" xr:uid="{00000000-0005-0000-0000-000063560000}"/>
    <cellStyle name="Normal 52 5 2" xfId="18804" xr:uid="{00000000-0005-0000-0000-000064560000}"/>
    <cellStyle name="Normal 52 6" xfId="5522" xr:uid="{00000000-0005-0000-0000-000065560000}"/>
    <cellStyle name="Normal 52 6 2" xfId="16810" xr:uid="{00000000-0005-0000-0000-000066560000}"/>
    <cellStyle name="Normal 52 7" xfId="14816" xr:uid="{00000000-0005-0000-0000-000067560000}"/>
    <cellStyle name="Normal 52 8" xfId="13500" xr:uid="{00000000-0005-0000-0000-000068560000}"/>
    <cellStyle name="Normal 53" xfId="3288" xr:uid="{00000000-0005-0000-0000-000069560000}"/>
    <cellStyle name="Normal 53 2" xfId="4523" xr:uid="{00000000-0005-0000-0000-00006A560000}"/>
    <cellStyle name="Normal 53 2 2" xfId="12502" xr:uid="{00000000-0005-0000-0000-00006B560000}"/>
    <cellStyle name="Normal 53 2 2 2" xfId="23790" xr:uid="{00000000-0005-0000-0000-00006C560000}"/>
    <cellStyle name="Normal 53 2 3" xfId="10508" xr:uid="{00000000-0005-0000-0000-00006D560000}"/>
    <cellStyle name="Normal 53 2 3 2" xfId="21796" xr:uid="{00000000-0005-0000-0000-00006E560000}"/>
    <cellStyle name="Normal 53 2 4" xfId="8514" xr:uid="{00000000-0005-0000-0000-00006F560000}"/>
    <cellStyle name="Normal 53 2 4 2" xfId="19802" xr:uid="{00000000-0005-0000-0000-000070560000}"/>
    <cellStyle name="Normal 53 2 5" xfId="6520" xr:uid="{00000000-0005-0000-0000-000071560000}"/>
    <cellStyle name="Normal 53 2 5 2" xfId="17808" xr:uid="{00000000-0005-0000-0000-000072560000}"/>
    <cellStyle name="Normal 53 2 6" xfId="15814" xr:uid="{00000000-0005-0000-0000-000073560000}"/>
    <cellStyle name="Normal 53 3" xfId="11505" xr:uid="{00000000-0005-0000-0000-000074560000}"/>
    <cellStyle name="Normal 53 3 2" xfId="22793" xr:uid="{00000000-0005-0000-0000-000075560000}"/>
    <cellStyle name="Normal 53 4" xfId="9511" xr:uid="{00000000-0005-0000-0000-000076560000}"/>
    <cellStyle name="Normal 53 4 2" xfId="20799" xr:uid="{00000000-0005-0000-0000-000077560000}"/>
    <cellStyle name="Normal 53 5" xfId="7517" xr:uid="{00000000-0005-0000-0000-000078560000}"/>
    <cellStyle name="Normal 53 5 2" xfId="18805" xr:uid="{00000000-0005-0000-0000-000079560000}"/>
    <cellStyle name="Normal 53 6" xfId="5523" xr:uid="{00000000-0005-0000-0000-00007A560000}"/>
    <cellStyle name="Normal 53 6 2" xfId="16811" xr:uid="{00000000-0005-0000-0000-00007B560000}"/>
    <cellStyle name="Normal 53 7" xfId="14817" xr:uid="{00000000-0005-0000-0000-00007C560000}"/>
    <cellStyle name="Normal 53 8" xfId="13501" xr:uid="{00000000-0005-0000-0000-00007D560000}"/>
    <cellStyle name="Normal 54" xfId="3289" xr:uid="{00000000-0005-0000-0000-00007E560000}"/>
    <cellStyle name="Normal 54 2" xfId="4524" xr:uid="{00000000-0005-0000-0000-00007F560000}"/>
    <cellStyle name="Normal 54 2 2" xfId="12503" xr:uid="{00000000-0005-0000-0000-000080560000}"/>
    <cellStyle name="Normal 54 2 2 2" xfId="23791" xr:uid="{00000000-0005-0000-0000-000081560000}"/>
    <cellStyle name="Normal 54 2 3" xfId="10509" xr:uid="{00000000-0005-0000-0000-000082560000}"/>
    <cellStyle name="Normal 54 2 3 2" xfId="21797" xr:uid="{00000000-0005-0000-0000-000083560000}"/>
    <cellStyle name="Normal 54 2 4" xfId="8515" xr:uid="{00000000-0005-0000-0000-000084560000}"/>
    <cellStyle name="Normal 54 2 4 2" xfId="19803" xr:uid="{00000000-0005-0000-0000-000085560000}"/>
    <cellStyle name="Normal 54 2 5" xfId="6521" xr:uid="{00000000-0005-0000-0000-000086560000}"/>
    <cellStyle name="Normal 54 2 5 2" xfId="17809" xr:uid="{00000000-0005-0000-0000-000087560000}"/>
    <cellStyle name="Normal 54 2 6" xfId="15815" xr:uid="{00000000-0005-0000-0000-000088560000}"/>
    <cellStyle name="Normal 54 3" xfId="11506" xr:uid="{00000000-0005-0000-0000-000089560000}"/>
    <cellStyle name="Normal 54 3 2" xfId="22794" xr:uid="{00000000-0005-0000-0000-00008A560000}"/>
    <cellStyle name="Normal 54 4" xfId="9512" xr:uid="{00000000-0005-0000-0000-00008B560000}"/>
    <cellStyle name="Normal 54 4 2" xfId="20800" xr:uid="{00000000-0005-0000-0000-00008C560000}"/>
    <cellStyle name="Normal 54 5" xfId="7518" xr:uid="{00000000-0005-0000-0000-00008D560000}"/>
    <cellStyle name="Normal 54 5 2" xfId="18806" xr:uid="{00000000-0005-0000-0000-00008E560000}"/>
    <cellStyle name="Normal 54 6" xfId="5524" xr:uid="{00000000-0005-0000-0000-00008F560000}"/>
    <cellStyle name="Normal 54 6 2" xfId="16812" xr:uid="{00000000-0005-0000-0000-000090560000}"/>
    <cellStyle name="Normal 54 7" xfId="14818" xr:uid="{00000000-0005-0000-0000-000091560000}"/>
    <cellStyle name="Normal 54 8" xfId="13502" xr:uid="{00000000-0005-0000-0000-000092560000}"/>
    <cellStyle name="Normal 55" xfId="3290" xr:uid="{00000000-0005-0000-0000-000093560000}"/>
    <cellStyle name="Normal 55 2" xfId="4525" xr:uid="{00000000-0005-0000-0000-000094560000}"/>
    <cellStyle name="Normal 55 2 2" xfId="12504" xr:uid="{00000000-0005-0000-0000-000095560000}"/>
    <cellStyle name="Normal 55 2 2 2" xfId="23792" xr:uid="{00000000-0005-0000-0000-000096560000}"/>
    <cellStyle name="Normal 55 2 3" xfId="10510" xr:uid="{00000000-0005-0000-0000-000097560000}"/>
    <cellStyle name="Normal 55 2 3 2" xfId="21798" xr:uid="{00000000-0005-0000-0000-000098560000}"/>
    <cellStyle name="Normal 55 2 4" xfId="8516" xr:uid="{00000000-0005-0000-0000-000099560000}"/>
    <cellStyle name="Normal 55 2 4 2" xfId="19804" xr:uid="{00000000-0005-0000-0000-00009A560000}"/>
    <cellStyle name="Normal 55 2 5" xfId="6522" xr:uid="{00000000-0005-0000-0000-00009B560000}"/>
    <cellStyle name="Normal 55 2 5 2" xfId="17810" xr:uid="{00000000-0005-0000-0000-00009C560000}"/>
    <cellStyle name="Normal 55 2 6" xfId="15816" xr:uid="{00000000-0005-0000-0000-00009D560000}"/>
    <cellStyle name="Normal 55 3" xfId="11507" xr:uid="{00000000-0005-0000-0000-00009E560000}"/>
    <cellStyle name="Normal 55 3 2" xfId="22795" xr:uid="{00000000-0005-0000-0000-00009F560000}"/>
    <cellStyle name="Normal 55 4" xfId="9513" xr:uid="{00000000-0005-0000-0000-0000A0560000}"/>
    <cellStyle name="Normal 55 4 2" xfId="20801" xr:uid="{00000000-0005-0000-0000-0000A1560000}"/>
    <cellStyle name="Normal 55 5" xfId="7519" xr:uid="{00000000-0005-0000-0000-0000A2560000}"/>
    <cellStyle name="Normal 55 5 2" xfId="18807" xr:uid="{00000000-0005-0000-0000-0000A3560000}"/>
    <cellStyle name="Normal 55 6" xfId="5525" xr:uid="{00000000-0005-0000-0000-0000A4560000}"/>
    <cellStyle name="Normal 55 6 2" xfId="16813" xr:uid="{00000000-0005-0000-0000-0000A5560000}"/>
    <cellStyle name="Normal 55 7" xfId="14819" xr:uid="{00000000-0005-0000-0000-0000A6560000}"/>
    <cellStyle name="Normal 55 8" xfId="13503" xr:uid="{00000000-0005-0000-0000-0000A7560000}"/>
    <cellStyle name="Normal 56" xfId="3291" xr:uid="{00000000-0005-0000-0000-0000A8560000}"/>
    <cellStyle name="Normal 56 2" xfId="4526" xr:uid="{00000000-0005-0000-0000-0000A9560000}"/>
    <cellStyle name="Normal 56 2 2" xfId="12505" xr:uid="{00000000-0005-0000-0000-0000AA560000}"/>
    <cellStyle name="Normal 56 2 2 2" xfId="23793" xr:uid="{00000000-0005-0000-0000-0000AB560000}"/>
    <cellStyle name="Normal 56 2 3" xfId="10511" xr:uid="{00000000-0005-0000-0000-0000AC560000}"/>
    <cellStyle name="Normal 56 2 3 2" xfId="21799" xr:uid="{00000000-0005-0000-0000-0000AD560000}"/>
    <cellStyle name="Normal 56 2 4" xfId="8517" xr:uid="{00000000-0005-0000-0000-0000AE560000}"/>
    <cellStyle name="Normal 56 2 4 2" xfId="19805" xr:uid="{00000000-0005-0000-0000-0000AF560000}"/>
    <cellStyle name="Normal 56 2 5" xfId="6523" xr:uid="{00000000-0005-0000-0000-0000B0560000}"/>
    <cellStyle name="Normal 56 2 5 2" xfId="17811" xr:uid="{00000000-0005-0000-0000-0000B1560000}"/>
    <cellStyle name="Normal 56 2 6" xfId="15817" xr:uid="{00000000-0005-0000-0000-0000B2560000}"/>
    <cellStyle name="Normal 56 3" xfId="11508" xr:uid="{00000000-0005-0000-0000-0000B3560000}"/>
    <cellStyle name="Normal 56 3 2" xfId="22796" xr:uid="{00000000-0005-0000-0000-0000B4560000}"/>
    <cellStyle name="Normal 56 4" xfId="9514" xr:uid="{00000000-0005-0000-0000-0000B5560000}"/>
    <cellStyle name="Normal 56 4 2" xfId="20802" xr:uid="{00000000-0005-0000-0000-0000B6560000}"/>
    <cellStyle name="Normal 56 5" xfId="7520" xr:uid="{00000000-0005-0000-0000-0000B7560000}"/>
    <cellStyle name="Normal 56 5 2" xfId="18808" xr:uid="{00000000-0005-0000-0000-0000B8560000}"/>
    <cellStyle name="Normal 56 6" xfId="5526" xr:uid="{00000000-0005-0000-0000-0000B9560000}"/>
    <cellStyle name="Normal 56 6 2" xfId="16814" xr:uid="{00000000-0005-0000-0000-0000BA560000}"/>
    <cellStyle name="Normal 56 7" xfId="14820" xr:uid="{00000000-0005-0000-0000-0000BB560000}"/>
    <cellStyle name="Normal 56 8" xfId="13504" xr:uid="{00000000-0005-0000-0000-0000BC560000}"/>
    <cellStyle name="Normal 57" xfId="3292" xr:uid="{00000000-0005-0000-0000-0000BD560000}"/>
    <cellStyle name="Normal 57 2" xfId="4527" xr:uid="{00000000-0005-0000-0000-0000BE560000}"/>
    <cellStyle name="Normal 57 2 2" xfId="12506" xr:uid="{00000000-0005-0000-0000-0000BF560000}"/>
    <cellStyle name="Normal 57 2 2 2" xfId="23794" xr:uid="{00000000-0005-0000-0000-0000C0560000}"/>
    <cellStyle name="Normal 57 2 3" xfId="10512" xr:uid="{00000000-0005-0000-0000-0000C1560000}"/>
    <cellStyle name="Normal 57 2 3 2" xfId="21800" xr:uid="{00000000-0005-0000-0000-0000C2560000}"/>
    <cellStyle name="Normal 57 2 4" xfId="8518" xr:uid="{00000000-0005-0000-0000-0000C3560000}"/>
    <cellStyle name="Normal 57 2 4 2" xfId="19806" xr:uid="{00000000-0005-0000-0000-0000C4560000}"/>
    <cellStyle name="Normal 57 2 5" xfId="6524" xr:uid="{00000000-0005-0000-0000-0000C5560000}"/>
    <cellStyle name="Normal 57 2 5 2" xfId="17812" xr:uid="{00000000-0005-0000-0000-0000C6560000}"/>
    <cellStyle name="Normal 57 2 6" xfId="15818" xr:uid="{00000000-0005-0000-0000-0000C7560000}"/>
    <cellStyle name="Normal 57 3" xfId="11509" xr:uid="{00000000-0005-0000-0000-0000C8560000}"/>
    <cellStyle name="Normal 57 3 2" xfId="22797" xr:uid="{00000000-0005-0000-0000-0000C9560000}"/>
    <cellStyle name="Normal 57 4" xfId="9515" xr:uid="{00000000-0005-0000-0000-0000CA560000}"/>
    <cellStyle name="Normal 57 4 2" xfId="20803" xr:uid="{00000000-0005-0000-0000-0000CB560000}"/>
    <cellStyle name="Normal 57 5" xfId="7521" xr:uid="{00000000-0005-0000-0000-0000CC560000}"/>
    <cellStyle name="Normal 57 5 2" xfId="18809" xr:uid="{00000000-0005-0000-0000-0000CD560000}"/>
    <cellStyle name="Normal 57 6" xfId="5527" xr:uid="{00000000-0005-0000-0000-0000CE560000}"/>
    <cellStyle name="Normal 57 6 2" xfId="16815" xr:uid="{00000000-0005-0000-0000-0000CF560000}"/>
    <cellStyle name="Normal 57 7" xfId="14821" xr:uid="{00000000-0005-0000-0000-0000D0560000}"/>
    <cellStyle name="Normal 57 8" xfId="13505" xr:uid="{00000000-0005-0000-0000-0000D1560000}"/>
    <cellStyle name="Normal 58" xfId="3293" xr:uid="{00000000-0005-0000-0000-0000D2560000}"/>
    <cellStyle name="Normal 58 2" xfId="4528" xr:uid="{00000000-0005-0000-0000-0000D3560000}"/>
    <cellStyle name="Normal 58 2 2" xfId="12507" xr:uid="{00000000-0005-0000-0000-0000D4560000}"/>
    <cellStyle name="Normal 58 2 2 2" xfId="23795" xr:uid="{00000000-0005-0000-0000-0000D5560000}"/>
    <cellStyle name="Normal 58 2 3" xfId="10513" xr:uid="{00000000-0005-0000-0000-0000D6560000}"/>
    <cellStyle name="Normal 58 2 3 2" xfId="21801" xr:uid="{00000000-0005-0000-0000-0000D7560000}"/>
    <cellStyle name="Normal 58 2 4" xfId="8519" xr:uid="{00000000-0005-0000-0000-0000D8560000}"/>
    <cellStyle name="Normal 58 2 4 2" xfId="19807" xr:uid="{00000000-0005-0000-0000-0000D9560000}"/>
    <cellStyle name="Normal 58 2 5" xfId="6525" xr:uid="{00000000-0005-0000-0000-0000DA560000}"/>
    <cellStyle name="Normal 58 2 5 2" xfId="17813" xr:uid="{00000000-0005-0000-0000-0000DB560000}"/>
    <cellStyle name="Normal 58 2 6" xfId="15819" xr:uid="{00000000-0005-0000-0000-0000DC560000}"/>
    <cellStyle name="Normal 58 3" xfId="11510" xr:uid="{00000000-0005-0000-0000-0000DD560000}"/>
    <cellStyle name="Normal 58 3 2" xfId="22798" xr:uid="{00000000-0005-0000-0000-0000DE560000}"/>
    <cellStyle name="Normal 58 4" xfId="9516" xr:uid="{00000000-0005-0000-0000-0000DF560000}"/>
    <cellStyle name="Normal 58 4 2" xfId="20804" xr:uid="{00000000-0005-0000-0000-0000E0560000}"/>
    <cellStyle name="Normal 58 5" xfId="7522" xr:uid="{00000000-0005-0000-0000-0000E1560000}"/>
    <cellStyle name="Normal 58 5 2" xfId="18810" xr:uid="{00000000-0005-0000-0000-0000E2560000}"/>
    <cellStyle name="Normal 58 6" xfId="5528" xr:uid="{00000000-0005-0000-0000-0000E3560000}"/>
    <cellStyle name="Normal 58 6 2" xfId="16816" xr:uid="{00000000-0005-0000-0000-0000E4560000}"/>
    <cellStyle name="Normal 58 7" xfId="14822" xr:uid="{00000000-0005-0000-0000-0000E5560000}"/>
    <cellStyle name="Normal 58 8" xfId="13506" xr:uid="{00000000-0005-0000-0000-0000E6560000}"/>
    <cellStyle name="Normal 59" xfId="3294" xr:uid="{00000000-0005-0000-0000-0000E7560000}"/>
    <cellStyle name="Normal 59 2" xfId="4529" xr:uid="{00000000-0005-0000-0000-0000E8560000}"/>
    <cellStyle name="Normal 59 2 2" xfId="12508" xr:uid="{00000000-0005-0000-0000-0000E9560000}"/>
    <cellStyle name="Normal 59 2 2 2" xfId="23796" xr:uid="{00000000-0005-0000-0000-0000EA560000}"/>
    <cellStyle name="Normal 59 2 3" xfId="10514" xr:uid="{00000000-0005-0000-0000-0000EB560000}"/>
    <cellStyle name="Normal 59 2 3 2" xfId="21802" xr:uid="{00000000-0005-0000-0000-0000EC560000}"/>
    <cellStyle name="Normal 59 2 4" xfId="8520" xr:uid="{00000000-0005-0000-0000-0000ED560000}"/>
    <cellStyle name="Normal 59 2 4 2" xfId="19808" xr:uid="{00000000-0005-0000-0000-0000EE560000}"/>
    <cellStyle name="Normal 59 2 5" xfId="6526" xr:uid="{00000000-0005-0000-0000-0000EF560000}"/>
    <cellStyle name="Normal 59 2 5 2" xfId="17814" xr:uid="{00000000-0005-0000-0000-0000F0560000}"/>
    <cellStyle name="Normal 59 2 6" xfId="15820" xr:uid="{00000000-0005-0000-0000-0000F1560000}"/>
    <cellStyle name="Normal 59 3" xfId="11511" xr:uid="{00000000-0005-0000-0000-0000F2560000}"/>
    <cellStyle name="Normal 59 3 2" xfId="22799" xr:uid="{00000000-0005-0000-0000-0000F3560000}"/>
    <cellStyle name="Normal 59 4" xfId="9517" xr:uid="{00000000-0005-0000-0000-0000F4560000}"/>
    <cellStyle name="Normal 59 4 2" xfId="20805" xr:uid="{00000000-0005-0000-0000-0000F5560000}"/>
    <cellStyle name="Normal 59 5" xfId="7523" xr:uid="{00000000-0005-0000-0000-0000F6560000}"/>
    <cellStyle name="Normal 59 5 2" xfId="18811" xr:uid="{00000000-0005-0000-0000-0000F7560000}"/>
    <cellStyle name="Normal 59 6" xfId="5529" xr:uid="{00000000-0005-0000-0000-0000F8560000}"/>
    <cellStyle name="Normal 59 6 2" xfId="16817" xr:uid="{00000000-0005-0000-0000-0000F9560000}"/>
    <cellStyle name="Normal 59 7" xfId="14823" xr:uid="{00000000-0005-0000-0000-0000FA560000}"/>
    <cellStyle name="Normal 59 8" xfId="13507" xr:uid="{00000000-0005-0000-0000-0000FB560000}"/>
    <cellStyle name="Normal 6" xfId="57" xr:uid="{00000000-0005-0000-0000-0000FC560000}"/>
    <cellStyle name="Normal 6 10" xfId="25776" xr:uid="{00000000-0005-0000-0000-0000FD560000}"/>
    <cellStyle name="Normal 6 2" xfId="204" xr:uid="{00000000-0005-0000-0000-0000FE560000}"/>
    <cellStyle name="Normal 6 2 10" xfId="25046" xr:uid="{00000000-0005-0000-0000-0000FF560000}"/>
    <cellStyle name="Normal 6 2 11" xfId="25790" xr:uid="{00000000-0005-0000-0000-000000570000}"/>
    <cellStyle name="Normal 6 2 2" xfId="367" xr:uid="{00000000-0005-0000-0000-000001570000}"/>
    <cellStyle name="Normal 6 2 2 2" xfId="449" xr:uid="{00000000-0005-0000-0000-000002570000}"/>
    <cellStyle name="Normal 6 2 2 2 2" xfId="535" xr:uid="{00000000-0005-0000-0000-000003570000}"/>
    <cellStyle name="Normal 6 2 2 2 2 2" xfId="13898" xr:uid="{00000000-0005-0000-0000-000004570000}"/>
    <cellStyle name="Normal 6 2 2 2 3" xfId="13821" xr:uid="{00000000-0005-0000-0000-000005570000}"/>
    <cellStyle name="Normal 6 2 2 2 4" xfId="24434" xr:uid="{00000000-0005-0000-0000-000006570000}"/>
    <cellStyle name="Normal 6 2 2 2 5" xfId="24878" xr:uid="{00000000-0005-0000-0000-000007570000}"/>
    <cellStyle name="Normal 6 2 2 2 6" xfId="25241" xr:uid="{00000000-0005-0000-0000-000008570000}"/>
    <cellStyle name="Normal 6 2 2 3" xfId="498" xr:uid="{00000000-0005-0000-0000-000009570000}"/>
    <cellStyle name="Normal 6 2 2 3 2" xfId="13861" xr:uid="{00000000-0005-0000-0000-00000A570000}"/>
    <cellStyle name="Normal 6 2 2 4" xfId="11512" xr:uid="{00000000-0005-0000-0000-00000B570000}"/>
    <cellStyle name="Normal 6 2 2 4 2" xfId="22800" xr:uid="{00000000-0005-0000-0000-00000C570000}"/>
    <cellStyle name="Normal 6 2 2 5" xfId="13777" xr:uid="{00000000-0005-0000-0000-00000D570000}"/>
    <cellStyle name="Normal 6 2 2 6" xfId="24162" xr:uid="{00000000-0005-0000-0000-00000E570000}"/>
    <cellStyle name="Normal 6 2 2 7" xfId="24731" xr:uid="{00000000-0005-0000-0000-00000F570000}"/>
    <cellStyle name="Normal 6 2 2 8" xfId="25047" xr:uid="{00000000-0005-0000-0000-000010570000}"/>
    <cellStyle name="Normal 6 2 3" xfId="429" xr:uid="{00000000-0005-0000-0000-000011570000}"/>
    <cellStyle name="Normal 6 2 3 2" xfId="520" xr:uid="{00000000-0005-0000-0000-000012570000}"/>
    <cellStyle name="Normal 6 2 3 2 2" xfId="13883" xr:uid="{00000000-0005-0000-0000-000013570000}"/>
    <cellStyle name="Normal 6 2 3 3" xfId="9518" xr:uid="{00000000-0005-0000-0000-000014570000}"/>
    <cellStyle name="Normal 6 2 3 3 2" xfId="20806" xr:uid="{00000000-0005-0000-0000-000015570000}"/>
    <cellStyle name="Normal 6 2 3 4" xfId="13806" xr:uid="{00000000-0005-0000-0000-000016570000}"/>
    <cellStyle name="Normal 6 2 3 5" xfId="24433" xr:uid="{00000000-0005-0000-0000-000017570000}"/>
    <cellStyle name="Normal 6 2 3 6" xfId="24877" xr:uid="{00000000-0005-0000-0000-000018570000}"/>
    <cellStyle name="Normal 6 2 3 7" xfId="25240" xr:uid="{00000000-0005-0000-0000-000019570000}"/>
    <cellStyle name="Normal 6 2 4" xfId="483" xr:uid="{00000000-0005-0000-0000-00001A570000}"/>
    <cellStyle name="Normal 6 2 4 2" xfId="7524" xr:uid="{00000000-0005-0000-0000-00001B570000}"/>
    <cellStyle name="Normal 6 2 4 2 2" xfId="18812" xr:uid="{00000000-0005-0000-0000-00001C570000}"/>
    <cellStyle name="Normal 6 2 4 3" xfId="13846" xr:uid="{00000000-0005-0000-0000-00001D570000}"/>
    <cellStyle name="Normal 6 2 5" xfId="5530" xr:uid="{00000000-0005-0000-0000-00001E570000}"/>
    <cellStyle name="Normal 6 2 5 2" xfId="16818" xr:uid="{00000000-0005-0000-0000-00001F570000}"/>
    <cellStyle name="Normal 6 2 6" xfId="3296" xr:uid="{00000000-0005-0000-0000-000020570000}"/>
    <cellStyle name="Normal 6 2 6 2" xfId="14824" xr:uid="{00000000-0005-0000-0000-000021570000}"/>
    <cellStyle name="Normal 6 2 7" xfId="13703" xr:uid="{00000000-0005-0000-0000-000022570000}"/>
    <cellStyle name="Normal 6 2 8" xfId="24161" xr:uid="{00000000-0005-0000-0000-000023570000}"/>
    <cellStyle name="Normal 6 2 9" xfId="24730" xr:uid="{00000000-0005-0000-0000-000024570000}"/>
    <cellStyle name="Normal 6 3" xfId="4530" xr:uid="{00000000-0005-0000-0000-000025570000}"/>
    <cellStyle name="Normal 6 3 2" xfId="12509" xr:uid="{00000000-0005-0000-0000-000026570000}"/>
    <cellStyle name="Normal 6 3 2 2" xfId="23797" xr:uid="{00000000-0005-0000-0000-000027570000}"/>
    <cellStyle name="Normal 6 3 2 2 2" xfId="24436" xr:uid="{00000000-0005-0000-0000-000028570000}"/>
    <cellStyle name="Normal 6 3 2 2 3" xfId="24880" xr:uid="{00000000-0005-0000-0000-000029570000}"/>
    <cellStyle name="Normal 6 3 2 2 4" xfId="25243" xr:uid="{00000000-0005-0000-0000-00002A570000}"/>
    <cellStyle name="Normal 6 3 2 3" xfId="24164" xr:uid="{00000000-0005-0000-0000-00002B570000}"/>
    <cellStyle name="Normal 6 3 2 4" xfId="24733" xr:uid="{00000000-0005-0000-0000-00002C570000}"/>
    <cellStyle name="Normal 6 3 2 5" xfId="25049" xr:uid="{00000000-0005-0000-0000-00002D570000}"/>
    <cellStyle name="Normal 6 3 3" xfId="10515" xr:uid="{00000000-0005-0000-0000-00002E570000}"/>
    <cellStyle name="Normal 6 3 3 2" xfId="21803" xr:uid="{00000000-0005-0000-0000-00002F570000}"/>
    <cellStyle name="Normal 6 3 3 3" xfId="24435" xr:uid="{00000000-0005-0000-0000-000030570000}"/>
    <cellStyle name="Normal 6 3 3 4" xfId="24879" xr:uid="{00000000-0005-0000-0000-000031570000}"/>
    <cellStyle name="Normal 6 3 3 5" xfId="25242" xr:uid="{00000000-0005-0000-0000-000032570000}"/>
    <cellStyle name="Normal 6 3 4" xfId="8521" xr:uid="{00000000-0005-0000-0000-000033570000}"/>
    <cellStyle name="Normal 6 3 4 2" xfId="19809" xr:uid="{00000000-0005-0000-0000-000034570000}"/>
    <cellStyle name="Normal 6 3 5" xfId="6527" xr:uid="{00000000-0005-0000-0000-000035570000}"/>
    <cellStyle name="Normal 6 3 5 2" xfId="17815" xr:uid="{00000000-0005-0000-0000-000036570000}"/>
    <cellStyle name="Normal 6 3 6" xfId="15821" xr:uid="{00000000-0005-0000-0000-000037570000}"/>
    <cellStyle name="Normal 6 3 7" xfId="24163" xr:uid="{00000000-0005-0000-0000-000038570000}"/>
    <cellStyle name="Normal 6 3 8" xfId="24732" xr:uid="{00000000-0005-0000-0000-000039570000}"/>
    <cellStyle name="Normal 6 3 9" xfId="25048" xr:uid="{00000000-0005-0000-0000-00003A570000}"/>
    <cellStyle name="Normal 6 4" xfId="3295" xr:uid="{00000000-0005-0000-0000-00003B570000}"/>
    <cellStyle name="Normal 6 4 2" xfId="24437" xr:uid="{00000000-0005-0000-0000-00003C570000}"/>
    <cellStyle name="Normal 6 4 2 2" xfId="24881" xr:uid="{00000000-0005-0000-0000-00003D570000}"/>
    <cellStyle name="Normal 6 4 2 3" xfId="25244" xr:uid="{00000000-0005-0000-0000-00003E570000}"/>
    <cellStyle name="Normal 6 4 3" xfId="24165" xr:uid="{00000000-0005-0000-0000-00003F570000}"/>
    <cellStyle name="Normal 6 4 4" xfId="24734" xr:uid="{00000000-0005-0000-0000-000040570000}"/>
    <cellStyle name="Normal 6 4 5" xfId="25050" xr:uid="{00000000-0005-0000-0000-000041570000}"/>
    <cellStyle name="Normal 6 5" xfId="13615" xr:uid="{00000000-0005-0000-0000-000042570000}"/>
    <cellStyle name="Normal 6 5 2" xfId="24432" xr:uid="{00000000-0005-0000-0000-000043570000}"/>
    <cellStyle name="Normal 6 5 3" xfId="24876" xr:uid="{00000000-0005-0000-0000-000044570000}"/>
    <cellStyle name="Normal 6 5 4" xfId="25239" xr:uid="{00000000-0005-0000-0000-000045570000}"/>
    <cellStyle name="Normal 6 6" xfId="13508" xr:uid="{00000000-0005-0000-0000-000046570000}"/>
    <cellStyle name="Normal 6 7" xfId="24160" xr:uid="{00000000-0005-0000-0000-000047570000}"/>
    <cellStyle name="Normal 6 8" xfId="24729" xr:uid="{00000000-0005-0000-0000-000048570000}"/>
    <cellStyle name="Normal 6 9" xfId="25045" xr:uid="{00000000-0005-0000-0000-000049570000}"/>
    <cellStyle name="Normal 60" xfId="3297" xr:uid="{00000000-0005-0000-0000-00004A570000}"/>
    <cellStyle name="Normal 60 2" xfId="3298" xr:uid="{00000000-0005-0000-0000-00004B570000}"/>
    <cellStyle name="Normal 60 2 2" xfId="4532" xr:uid="{00000000-0005-0000-0000-00004C570000}"/>
    <cellStyle name="Normal 60 2 2 2" xfId="12511" xr:uid="{00000000-0005-0000-0000-00004D570000}"/>
    <cellStyle name="Normal 60 2 2 2 2" xfId="23799" xr:uid="{00000000-0005-0000-0000-00004E570000}"/>
    <cellStyle name="Normal 60 2 2 3" xfId="10517" xr:uid="{00000000-0005-0000-0000-00004F570000}"/>
    <cellStyle name="Normal 60 2 2 3 2" xfId="21805" xr:uid="{00000000-0005-0000-0000-000050570000}"/>
    <cellStyle name="Normal 60 2 2 4" xfId="8523" xr:uid="{00000000-0005-0000-0000-000051570000}"/>
    <cellStyle name="Normal 60 2 2 4 2" xfId="19811" xr:uid="{00000000-0005-0000-0000-000052570000}"/>
    <cellStyle name="Normal 60 2 2 5" xfId="6529" xr:uid="{00000000-0005-0000-0000-000053570000}"/>
    <cellStyle name="Normal 60 2 2 5 2" xfId="17817" xr:uid="{00000000-0005-0000-0000-000054570000}"/>
    <cellStyle name="Normal 60 2 2 6" xfId="15823" xr:uid="{00000000-0005-0000-0000-000055570000}"/>
    <cellStyle name="Normal 60 2 3" xfId="11514" xr:uid="{00000000-0005-0000-0000-000056570000}"/>
    <cellStyle name="Normal 60 2 3 2" xfId="22802" xr:uid="{00000000-0005-0000-0000-000057570000}"/>
    <cellStyle name="Normal 60 2 4" xfId="9520" xr:uid="{00000000-0005-0000-0000-000058570000}"/>
    <cellStyle name="Normal 60 2 4 2" xfId="20808" xr:uid="{00000000-0005-0000-0000-000059570000}"/>
    <cellStyle name="Normal 60 2 5" xfId="7526" xr:uid="{00000000-0005-0000-0000-00005A570000}"/>
    <cellStyle name="Normal 60 2 5 2" xfId="18814" xr:uid="{00000000-0005-0000-0000-00005B570000}"/>
    <cellStyle name="Normal 60 2 6" xfId="5532" xr:uid="{00000000-0005-0000-0000-00005C570000}"/>
    <cellStyle name="Normal 60 2 6 2" xfId="16820" xr:uid="{00000000-0005-0000-0000-00005D570000}"/>
    <cellStyle name="Normal 60 2 7" xfId="14826" xr:uid="{00000000-0005-0000-0000-00005E570000}"/>
    <cellStyle name="Normal 60 2 8" xfId="13510" xr:uid="{00000000-0005-0000-0000-00005F570000}"/>
    <cellStyle name="Normal 60 3" xfId="4531" xr:uid="{00000000-0005-0000-0000-000060570000}"/>
    <cellStyle name="Normal 60 3 2" xfId="12510" xr:uid="{00000000-0005-0000-0000-000061570000}"/>
    <cellStyle name="Normal 60 3 2 2" xfId="23798" xr:uid="{00000000-0005-0000-0000-000062570000}"/>
    <cellStyle name="Normal 60 3 3" xfId="10516" xr:uid="{00000000-0005-0000-0000-000063570000}"/>
    <cellStyle name="Normal 60 3 3 2" xfId="21804" xr:uid="{00000000-0005-0000-0000-000064570000}"/>
    <cellStyle name="Normal 60 3 4" xfId="8522" xr:uid="{00000000-0005-0000-0000-000065570000}"/>
    <cellStyle name="Normal 60 3 4 2" xfId="19810" xr:uid="{00000000-0005-0000-0000-000066570000}"/>
    <cellStyle name="Normal 60 3 5" xfId="6528" xr:uid="{00000000-0005-0000-0000-000067570000}"/>
    <cellStyle name="Normal 60 3 5 2" xfId="17816" xr:uid="{00000000-0005-0000-0000-000068570000}"/>
    <cellStyle name="Normal 60 3 6" xfId="15822" xr:uid="{00000000-0005-0000-0000-000069570000}"/>
    <cellStyle name="Normal 60 4" xfId="11513" xr:uid="{00000000-0005-0000-0000-00006A570000}"/>
    <cellStyle name="Normal 60 4 2" xfId="22801" xr:uid="{00000000-0005-0000-0000-00006B570000}"/>
    <cellStyle name="Normal 60 5" xfId="9519" xr:uid="{00000000-0005-0000-0000-00006C570000}"/>
    <cellStyle name="Normal 60 5 2" xfId="20807" xr:uid="{00000000-0005-0000-0000-00006D570000}"/>
    <cellStyle name="Normal 60 6" xfId="7525" xr:uid="{00000000-0005-0000-0000-00006E570000}"/>
    <cellStyle name="Normal 60 6 2" xfId="18813" xr:uid="{00000000-0005-0000-0000-00006F570000}"/>
    <cellStyle name="Normal 60 7" xfId="5531" xr:uid="{00000000-0005-0000-0000-000070570000}"/>
    <cellStyle name="Normal 60 7 2" xfId="16819" xr:uid="{00000000-0005-0000-0000-000071570000}"/>
    <cellStyle name="Normal 60 8" xfId="14825" xr:uid="{00000000-0005-0000-0000-000072570000}"/>
    <cellStyle name="Normal 60 9" xfId="13509" xr:uid="{00000000-0005-0000-0000-000073570000}"/>
    <cellStyle name="Normal 604" xfId="25796" xr:uid="{00000000-0005-0000-0000-000074570000}"/>
    <cellStyle name="Normal 61" xfId="3299" xr:uid="{00000000-0005-0000-0000-000075570000}"/>
    <cellStyle name="Normal 61 2" xfId="4533" xr:uid="{00000000-0005-0000-0000-000076570000}"/>
    <cellStyle name="Normal 61 2 2" xfId="12512" xr:uid="{00000000-0005-0000-0000-000077570000}"/>
    <cellStyle name="Normal 61 2 2 2" xfId="23800" xr:uid="{00000000-0005-0000-0000-000078570000}"/>
    <cellStyle name="Normal 61 2 3" xfId="10518" xr:uid="{00000000-0005-0000-0000-000079570000}"/>
    <cellStyle name="Normal 61 2 3 2" xfId="21806" xr:uid="{00000000-0005-0000-0000-00007A570000}"/>
    <cellStyle name="Normal 61 2 4" xfId="8524" xr:uid="{00000000-0005-0000-0000-00007B570000}"/>
    <cellStyle name="Normal 61 2 4 2" xfId="19812" xr:uid="{00000000-0005-0000-0000-00007C570000}"/>
    <cellStyle name="Normal 61 2 5" xfId="6530" xr:uid="{00000000-0005-0000-0000-00007D570000}"/>
    <cellStyle name="Normal 61 2 5 2" xfId="17818" xr:uid="{00000000-0005-0000-0000-00007E570000}"/>
    <cellStyle name="Normal 61 2 6" xfId="15824" xr:uid="{00000000-0005-0000-0000-00007F570000}"/>
    <cellStyle name="Normal 61 3" xfId="11515" xr:uid="{00000000-0005-0000-0000-000080570000}"/>
    <cellStyle name="Normal 61 3 2" xfId="22803" xr:uid="{00000000-0005-0000-0000-000081570000}"/>
    <cellStyle name="Normal 61 4" xfId="9521" xr:uid="{00000000-0005-0000-0000-000082570000}"/>
    <cellStyle name="Normal 61 4 2" xfId="20809" xr:uid="{00000000-0005-0000-0000-000083570000}"/>
    <cellStyle name="Normal 61 5" xfId="7527" xr:uid="{00000000-0005-0000-0000-000084570000}"/>
    <cellStyle name="Normal 61 5 2" xfId="18815" xr:uid="{00000000-0005-0000-0000-000085570000}"/>
    <cellStyle name="Normal 61 6" xfId="5533" xr:uid="{00000000-0005-0000-0000-000086570000}"/>
    <cellStyle name="Normal 61 6 2" xfId="16821" xr:uid="{00000000-0005-0000-0000-000087570000}"/>
    <cellStyle name="Normal 61 7" xfId="14827" xr:uid="{00000000-0005-0000-0000-000088570000}"/>
    <cellStyle name="Normal 61 8" xfId="13511" xr:uid="{00000000-0005-0000-0000-000089570000}"/>
    <cellStyle name="Normal 62" xfId="3300" xr:uid="{00000000-0005-0000-0000-00008A570000}"/>
    <cellStyle name="Normal 62 2" xfId="4534" xr:uid="{00000000-0005-0000-0000-00008B570000}"/>
    <cellStyle name="Normal 62 2 2" xfId="12513" xr:uid="{00000000-0005-0000-0000-00008C570000}"/>
    <cellStyle name="Normal 62 2 2 2" xfId="23801" xr:uid="{00000000-0005-0000-0000-00008D570000}"/>
    <cellStyle name="Normal 62 2 3" xfId="10519" xr:uid="{00000000-0005-0000-0000-00008E570000}"/>
    <cellStyle name="Normal 62 2 3 2" xfId="21807" xr:uid="{00000000-0005-0000-0000-00008F570000}"/>
    <cellStyle name="Normal 62 2 4" xfId="8525" xr:uid="{00000000-0005-0000-0000-000090570000}"/>
    <cellStyle name="Normal 62 2 4 2" xfId="19813" xr:uid="{00000000-0005-0000-0000-000091570000}"/>
    <cellStyle name="Normal 62 2 5" xfId="6531" xr:uid="{00000000-0005-0000-0000-000092570000}"/>
    <cellStyle name="Normal 62 2 5 2" xfId="17819" xr:uid="{00000000-0005-0000-0000-000093570000}"/>
    <cellStyle name="Normal 62 2 6" xfId="15825" xr:uid="{00000000-0005-0000-0000-000094570000}"/>
    <cellStyle name="Normal 62 3" xfId="11516" xr:uid="{00000000-0005-0000-0000-000095570000}"/>
    <cellStyle name="Normal 62 3 2" xfId="22804" xr:uid="{00000000-0005-0000-0000-000096570000}"/>
    <cellStyle name="Normal 62 4" xfId="9522" xr:uid="{00000000-0005-0000-0000-000097570000}"/>
    <cellStyle name="Normal 62 4 2" xfId="20810" xr:uid="{00000000-0005-0000-0000-000098570000}"/>
    <cellStyle name="Normal 62 5" xfId="7528" xr:uid="{00000000-0005-0000-0000-000099570000}"/>
    <cellStyle name="Normal 62 5 2" xfId="18816" xr:uid="{00000000-0005-0000-0000-00009A570000}"/>
    <cellStyle name="Normal 62 6" xfId="5534" xr:uid="{00000000-0005-0000-0000-00009B570000}"/>
    <cellStyle name="Normal 62 6 2" xfId="16822" xr:uid="{00000000-0005-0000-0000-00009C570000}"/>
    <cellStyle name="Normal 62 7" xfId="14828" xr:uid="{00000000-0005-0000-0000-00009D570000}"/>
    <cellStyle name="Normal 62 8" xfId="13512" xr:uid="{00000000-0005-0000-0000-00009E570000}"/>
    <cellStyle name="Normal 63" xfId="3301" xr:uid="{00000000-0005-0000-0000-00009F570000}"/>
    <cellStyle name="Normal 63 2" xfId="4535" xr:uid="{00000000-0005-0000-0000-0000A0570000}"/>
    <cellStyle name="Normal 63 2 2" xfId="12514" xr:uid="{00000000-0005-0000-0000-0000A1570000}"/>
    <cellStyle name="Normal 63 2 2 2" xfId="23802" xr:uid="{00000000-0005-0000-0000-0000A2570000}"/>
    <cellStyle name="Normal 63 2 3" xfId="10520" xr:uid="{00000000-0005-0000-0000-0000A3570000}"/>
    <cellStyle name="Normal 63 2 3 2" xfId="21808" xr:uid="{00000000-0005-0000-0000-0000A4570000}"/>
    <cellStyle name="Normal 63 2 4" xfId="8526" xr:uid="{00000000-0005-0000-0000-0000A5570000}"/>
    <cellStyle name="Normal 63 2 4 2" xfId="19814" xr:uid="{00000000-0005-0000-0000-0000A6570000}"/>
    <cellStyle name="Normal 63 2 5" xfId="6532" xr:uid="{00000000-0005-0000-0000-0000A7570000}"/>
    <cellStyle name="Normal 63 2 5 2" xfId="17820" xr:uid="{00000000-0005-0000-0000-0000A8570000}"/>
    <cellStyle name="Normal 63 2 6" xfId="15826" xr:uid="{00000000-0005-0000-0000-0000A9570000}"/>
    <cellStyle name="Normal 63 3" xfId="11517" xr:uid="{00000000-0005-0000-0000-0000AA570000}"/>
    <cellStyle name="Normal 63 3 2" xfId="22805" xr:uid="{00000000-0005-0000-0000-0000AB570000}"/>
    <cellStyle name="Normal 63 4" xfId="9523" xr:uid="{00000000-0005-0000-0000-0000AC570000}"/>
    <cellStyle name="Normal 63 4 2" xfId="20811" xr:uid="{00000000-0005-0000-0000-0000AD570000}"/>
    <cellStyle name="Normal 63 5" xfId="7529" xr:uid="{00000000-0005-0000-0000-0000AE570000}"/>
    <cellStyle name="Normal 63 5 2" xfId="18817" xr:uid="{00000000-0005-0000-0000-0000AF570000}"/>
    <cellStyle name="Normal 63 6" xfId="5535" xr:uid="{00000000-0005-0000-0000-0000B0570000}"/>
    <cellStyle name="Normal 63 6 2" xfId="16823" xr:uid="{00000000-0005-0000-0000-0000B1570000}"/>
    <cellStyle name="Normal 63 7" xfId="14829" xr:uid="{00000000-0005-0000-0000-0000B2570000}"/>
    <cellStyle name="Normal 63 8" xfId="13513" xr:uid="{00000000-0005-0000-0000-0000B3570000}"/>
    <cellStyle name="Normal 64" xfId="3302" xr:uid="{00000000-0005-0000-0000-0000B4570000}"/>
    <cellStyle name="Normal 64 2" xfId="4536" xr:uid="{00000000-0005-0000-0000-0000B5570000}"/>
    <cellStyle name="Normal 64 2 2" xfId="12515" xr:uid="{00000000-0005-0000-0000-0000B6570000}"/>
    <cellStyle name="Normal 64 2 2 2" xfId="23803" xr:uid="{00000000-0005-0000-0000-0000B7570000}"/>
    <cellStyle name="Normal 64 2 3" xfId="10521" xr:uid="{00000000-0005-0000-0000-0000B8570000}"/>
    <cellStyle name="Normal 64 2 3 2" xfId="21809" xr:uid="{00000000-0005-0000-0000-0000B9570000}"/>
    <cellStyle name="Normal 64 2 4" xfId="8527" xr:uid="{00000000-0005-0000-0000-0000BA570000}"/>
    <cellStyle name="Normal 64 2 4 2" xfId="19815" xr:uid="{00000000-0005-0000-0000-0000BB570000}"/>
    <cellStyle name="Normal 64 2 5" xfId="6533" xr:uid="{00000000-0005-0000-0000-0000BC570000}"/>
    <cellStyle name="Normal 64 2 5 2" xfId="17821" xr:uid="{00000000-0005-0000-0000-0000BD570000}"/>
    <cellStyle name="Normal 64 2 6" xfId="15827" xr:uid="{00000000-0005-0000-0000-0000BE570000}"/>
    <cellStyle name="Normal 64 3" xfId="11518" xr:uid="{00000000-0005-0000-0000-0000BF570000}"/>
    <cellStyle name="Normal 64 3 2" xfId="22806" xr:uid="{00000000-0005-0000-0000-0000C0570000}"/>
    <cellStyle name="Normal 64 4" xfId="9524" xr:uid="{00000000-0005-0000-0000-0000C1570000}"/>
    <cellStyle name="Normal 64 4 2" xfId="20812" xr:uid="{00000000-0005-0000-0000-0000C2570000}"/>
    <cellStyle name="Normal 64 5" xfId="7530" xr:uid="{00000000-0005-0000-0000-0000C3570000}"/>
    <cellStyle name="Normal 64 5 2" xfId="18818" xr:uid="{00000000-0005-0000-0000-0000C4570000}"/>
    <cellStyle name="Normal 64 6" xfId="5536" xr:uid="{00000000-0005-0000-0000-0000C5570000}"/>
    <cellStyle name="Normal 64 6 2" xfId="16824" xr:uid="{00000000-0005-0000-0000-0000C6570000}"/>
    <cellStyle name="Normal 64 7" xfId="14830" xr:uid="{00000000-0005-0000-0000-0000C7570000}"/>
    <cellStyle name="Normal 64 8" xfId="13514" xr:uid="{00000000-0005-0000-0000-0000C8570000}"/>
    <cellStyle name="Normal 65" xfId="3303" xr:uid="{00000000-0005-0000-0000-0000C9570000}"/>
    <cellStyle name="Normal 65 2" xfId="4537" xr:uid="{00000000-0005-0000-0000-0000CA570000}"/>
    <cellStyle name="Normal 65 2 2" xfId="12516" xr:uid="{00000000-0005-0000-0000-0000CB570000}"/>
    <cellStyle name="Normal 65 2 2 2" xfId="23804" xr:uid="{00000000-0005-0000-0000-0000CC570000}"/>
    <cellStyle name="Normal 65 2 3" xfId="10522" xr:uid="{00000000-0005-0000-0000-0000CD570000}"/>
    <cellStyle name="Normal 65 2 3 2" xfId="21810" xr:uid="{00000000-0005-0000-0000-0000CE570000}"/>
    <cellStyle name="Normal 65 2 4" xfId="8528" xr:uid="{00000000-0005-0000-0000-0000CF570000}"/>
    <cellStyle name="Normal 65 2 4 2" xfId="19816" xr:uid="{00000000-0005-0000-0000-0000D0570000}"/>
    <cellStyle name="Normal 65 2 5" xfId="6534" xr:uid="{00000000-0005-0000-0000-0000D1570000}"/>
    <cellStyle name="Normal 65 2 5 2" xfId="17822" xr:uid="{00000000-0005-0000-0000-0000D2570000}"/>
    <cellStyle name="Normal 65 2 6" xfId="15828" xr:uid="{00000000-0005-0000-0000-0000D3570000}"/>
    <cellStyle name="Normal 65 3" xfId="11519" xr:uid="{00000000-0005-0000-0000-0000D4570000}"/>
    <cellStyle name="Normal 65 3 2" xfId="22807" xr:uid="{00000000-0005-0000-0000-0000D5570000}"/>
    <cellStyle name="Normal 65 4" xfId="9525" xr:uid="{00000000-0005-0000-0000-0000D6570000}"/>
    <cellStyle name="Normal 65 4 2" xfId="20813" xr:uid="{00000000-0005-0000-0000-0000D7570000}"/>
    <cellStyle name="Normal 65 5" xfId="7531" xr:uid="{00000000-0005-0000-0000-0000D8570000}"/>
    <cellStyle name="Normal 65 5 2" xfId="18819" xr:uid="{00000000-0005-0000-0000-0000D9570000}"/>
    <cellStyle name="Normal 65 6" xfId="5537" xr:uid="{00000000-0005-0000-0000-0000DA570000}"/>
    <cellStyle name="Normal 65 6 2" xfId="16825" xr:uid="{00000000-0005-0000-0000-0000DB570000}"/>
    <cellStyle name="Normal 65 7" xfId="14831" xr:uid="{00000000-0005-0000-0000-0000DC570000}"/>
    <cellStyle name="Normal 65 8" xfId="13515" xr:uid="{00000000-0005-0000-0000-0000DD570000}"/>
    <cellStyle name="Normal 66" xfId="3304" xr:uid="{00000000-0005-0000-0000-0000DE570000}"/>
    <cellStyle name="Normal 66 2" xfId="3305" xr:uid="{00000000-0005-0000-0000-0000DF570000}"/>
    <cellStyle name="Normal 66 2 2" xfId="4539" xr:uid="{00000000-0005-0000-0000-0000E0570000}"/>
    <cellStyle name="Normal 66 2 2 2" xfId="12518" xr:uid="{00000000-0005-0000-0000-0000E1570000}"/>
    <cellStyle name="Normal 66 2 2 2 2" xfId="23806" xr:uid="{00000000-0005-0000-0000-0000E2570000}"/>
    <cellStyle name="Normal 66 2 2 3" xfId="10524" xr:uid="{00000000-0005-0000-0000-0000E3570000}"/>
    <cellStyle name="Normal 66 2 2 3 2" xfId="21812" xr:uid="{00000000-0005-0000-0000-0000E4570000}"/>
    <cellStyle name="Normal 66 2 2 4" xfId="8530" xr:uid="{00000000-0005-0000-0000-0000E5570000}"/>
    <cellStyle name="Normal 66 2 2 4 2" xfId="19818" xr:uid="{00000000-0005-0000-0000-0000E6570000}"/>
    <cellStyle name="Normal 66 2 2 5" xfId="6536" xr:uid="{00000000-0005-0000-0000-0000E7570000}"/>
    <cellStyle name="Normal 66 2 2 5 2" xfId="17824" xr:uid="{00000000-0005-0000-0000-0000E8570000}"/>
    <cellStyle name="Normal 66 2 2 6" xfId="15830" xr:uid="{00000000-0005-0000-0000-0000E9570000}"/>
    <cellStyle name="Normal 66 2 3" xfId="11521" xr:uid="{00000000-0005-0000-0000-0000EA570000}"/>
    <cellStyle name="Normal 66 2 3 2" xfId="22809" xr:uid="{00000000-0005-0000-0000-0000EB570000}"/>
    <cellStyle name="Normal 66 2 4" xfId="9527" xr:uid="{00000000-0005-0000-0000-0000EC570000}"/>
    <cellStyle name="Normal 66 2 4 2" xfId="20815" xr:uid="{00000000-0005-0000-0000-0000ED570000}"/>
    <cellStyle name="Normal 66 2 5" xfId="7533" xr:uid="{00000000-0005-0000-0000-0000EE570000}"/>
    <cellStyle name="Normal 66 2 5 2" xfId="18821" xr:uid="{00000000-0005-0000-0000-0000EF570000}"/>
    <cellStyle name="Normal 66 2 6" xfId="5539" xr:uid="{00000000-0005-0000-0000-0000F0570000}"/>
    <cellStyle name="Normal 66 2 6 2" xfId="16827" xr:uid="{00000000-0005-0000-0000-0000F1570000}"/>
    <cellStyle name="Normal 66 2 7" xfId="14833" xr:uid="{00000000-0005-0000-0000-0000F2570000}"/>
    <cellStyle name="Normal 66 2 8" xfId="13517" xr:uid="{00000000-0005-0000-0000-0000F3570000}"/>
    <cellStyle name="Normal 66 3" xfId="4538" xr:uid="{00000000-0005-0000-0000-0000F4570000}"/>
    <cellStyle name="Normal 66 3 2" xfId="12517" xr:uid="{00000000-0005-0000-0000-0000F5570000}"/>
    <cellStyle name="Normal 66 3 2 2" xfId="23805" xr:uid="{00000000-0005-0000-0000-0000F6570000}"/>
    <cellStyle name="Normal 66 3 3" xfId="10523" xr:uid="{00000000-0005-0000-0000-0000F7570000}"/>
    <cellStyle name="Normal 66 3 3 2" xfId="21811" xr:uid="{00000000-0005-0000-0000-0000F8570000}"/>
    <cellStyle name="Normal 66 3 4" xfId="8529" xr:uid="{00000000-0005-0000-0000-0000F9570000}"/>
    <cellStyle name="Normal 66 3 4 2" xfId="19817" xr:uid="{00000000-0005-0000-0000-0000FA570000}"/>
    <cellStyle name="Normal 66 3 5" xfId="6535" xr:uid="{00000000-0005-0000-0000-0000FB570000}"/>
    <cellStyle name="Normal 66 3 5 2" xfId="17823" xr:uid="{00000000-0005-0000-0000-0000FC570000}"/>
    <cellStyle name="Normal 66 3 6" xfId="15829" xr:uid="{00000000-0005-0000-0000-0000FD570000}"/>
    <cellStyle name="Normal 66 4" xfId="11520" xr:uid="{00000000-0005-0000-0000-0000FE570000}"/>
    <cellStyle name="Normal 66 4 2" xfId="22808" xr:uid="{00000000-0005-0000-0000-0000FF570000}"/>
    <cellStyle name="Normal 66 5" xfId="9526" xr:uid="{00000000-0005-0000-0000-000000580000}"/>
    <cellStyle name="Normal 66 5 2" xfId="20814" xr:uid="{00000000-0005-0000-0000-000001580000}"/>
    <cellStyle name="Normal 66 6" xfId="7532" xr:uid="{00000000-0005-0000-0000-000002580000}"/>
    <cellStyle name="Normal 66 6 2" xfId="18820" xr:uid="{00000000-0005-0000-0000-000003580000}"/>
    <cellStyle name="Normal 66 7" xfId="5538" xr:uid="{00000000-0005-0000-0000-000004580000}"/>
    <cellStyle name="Normal 66 7 2" xfId="16826" xr:uid="{00000000-0005-0000-0000-000005580000}"/>
    <cellStyle name="Normal 66 8" xfId="14832" xr:uid="{00000000-0005-0000-0000-000006580000}"/>
    <cellStyle name="Normal 66 9" xfId="13516" xr:uid="{00000000-0005-0000-0000-000007580000}"/>
    <cellStyle name="Normal 67" xfId="3306" xr:uid="{00000000-0005-0000-0000-000008580000}"/>
    <cellStyle name="Normal 67 2" xfId="4540" xr:uid="{00000000-0005-0000-0000-000009580000}"/>
    <cellStyle name="Normal 67 2 2" xfId="12519" xr:uid="{00000000-0005-0000-0000-00000A580000}"/>
    <cellStyle name="Normal 67 2 2 2" xfId="23807" xr:uid="{00000000-0005-0000-0000-00000B580000}"/>
    <cellStyle name="Normal 67 2 3" xfId="10525" xr:uid="{00000000-0005-0000-0000-00000C580000}"/>
    <cellStyle name="Normal 67 2 3 2" xfId="21813" xr:uid="{00000000-0005-0000-0000-00000D580000}"/>
    <cellStyle name="Normal 67 2 4" xfId="8531" xr:uid="{00000000-0005-0000-0000-00000E580000}"/>
    <cellStyle name="Normal 67 2 4 2" xfId="19819" xr:uid="{00000000-0005-0000-0000-00000F580000}"/>
    <cellStyle name="Normal 67 2 5" xfId="6537" xr:uid="{00000000-0005-0000-0000-000010580000}"/>
    <cellStyle name="Normal 67 2 5 2" xfId="17825" xr:uid="{00000000-0005-0000-0000-000011580000}"/>
    <cellStyle name="Normal 67 2 6" xfId="15831" xr:uid="{00000000-0005-0000-0000-000012580000}"/>
    <cellStyle name="Normal 67 3" xfId="11522" xr:uid="{00000000-0005-0000-0000-000013580000}"/>
    <cellStyle name="Normal 67 3 2" xfId="22810" xr:uid="{00000000-0005-0000-0000-000014580000}"/>
    <cellStyle name="Normal 67 4" xfId="9528" xr:uid="{00000000-0005-0000-0000-000015580000}"/>
    <cellStyle name="Normal 67 4 2" xfId="20816" xr:uid="{00000000-0005-0000-0000-000016580000}"/>
    <cellStyle name="Normal 67 5" xfId="7534" xr:uid="{00000000-0005-0000-0000-000017580000}"/>
    <cellStyle name="Normal 67 5 2" xfId="18822" xr:uid="{00000000-0005-0000-0000-000018580000}"/>
    <cellStyle name="Normal 67 6" xfId="5540" xr:uid="{00000000-0005-0000-0000-000019580000}"/>
    <cellStyle name="Normal 67 6 2" xfId="16828" xr:uid="{00000000-0005-0000-0000-00001A580000}"/>
    <cellStyle name="Normal 67 7" xfId="14834" xr:uid="{00000000-0005-0000-0000-00001B580000}"/>
    <cellStyle name="Normal 67 8" xfId="13518" xr:uid="{00000000-0005-0000-0000-00001C580000}"/>
    <cellStyle name="Normal 68" xfId="3307" xr:uid="{00000000-0005-0000-0000-00001D580000}"/>
    <cellStyle name="Normal 68 2" xfId="4541" xr:uid="{00000000-0005-0000-0000-00001E580000}"/>
    <cellStyle name="Normal 68 2 2" xfId="12520" xr:uid="{00000000-0005-0000-0000-00001F580000}"/>
    <cellStyle name="Normal 68 2 2 2" xfId="23808" xr:uid="{00000000-0005-0000-0000-000020580000}"/>
    <cellStyle name="Normal 68 2 3" xfId="10526" xr:uid="{00000000-0005-0000-0000-000021580000}"/>
    <cellStyle name="Normal 68 2 3 2" xfId="21814" xr:uid="{00000000-0005-0000-0000-000022580000}"/>
    <cellStyle name="Normal 68 2 4" xfId="8532" xr:uid="{00000000-0005-0000-0000-000023580000}"/>
    <cellStyle name="Normal 68 2 4 2" xfId="19820" xr:uid="{00000000-0005-0000-0000-000024580000}"/>
    <cellStyle name="Normal 68 2 5" xfId="6538" xr:uid="{00000000-0005-0000-0000-000025580000}"/>
    <cellStyle name="Normal 68 2 5 2" xfId="17826" xr:uid="{00000000-0005-0000-0000-000026580000}"/>
    <cellStyle name="Normal 68 2 6" xfId="15832" xr:uid="{00000000-0005-0000-0000-000027580000}"/>
    <cellStyle name="Normal 68 3" xfId="11523" xr:uid="{00000000-0005-0000-0000-000028580000}"/>
    <cellStyle name="Normal 68 3 2" xfId="22811" xr:uid="{00000000-0005-0000-0000-000029580000}"/>
    <cellStyle name="Normal 68 4" xfId="9529" xr:uid="{00000000-0005-0000-0000-00002A580000}"/>
    <cellStyle name="Normal 68 4 2" xfId="20817" xr:uid="{00000000-0005-0000-0000-00002B580000}"/>
    <cellStyle name="Normal 68 5" xfId="7535" xr:uid="{00000000-0005-0000-0000-00002C580000}"/>
    <cellStyle name="Normal 68 5 2" xfId="18823" xr:uid="{00000000-0005-0000-0000-00002D580000}"/>
    <cellStyle name="Normal 68 6" xfId="5541" xr:uid="{00000000-0005-0000-0000-00002E580000}"/>
    <cellStyle name="Normal 68 6 2" xfId="16829" xr:uid="{00000000-0005-0000-0000-00002F580000}"/>
    <cellStyle name="Normal 68 7" xfId="14835" xr:uid="{00000000-0005-0000-0000-000030580000}"/>
    <cellStyle name="Normal 68 8" xfId="13519" xr:uid="{00000000-0005-0000-0000-000031580000}"/>
    <cellStyle name="Normal 69" xfId="3308" xr:uid="{00000000-0005-0000-0000-000032580000}"/>
    <cellStyle name="Normal 69 2" xfId="4542" xr:uid="{00000000-0005-0000-0000-000033580000}"/>
    <cellStyle name="Normal 69 2 2" xfId="12521" xr:uid="{00000000-0005-0000-0000-000034580000}"/>
    <cellStyle name="Normal 69 2 2 2" xfId="23809" xr:uid="{00000000-0005-0000-0000-000035580000}"/>
    <cellStyle name="Normal 69 2 3" xfId="10527" xr:uid="{00000000-0005-0000-0000-000036580000}"/>
    <cellStyle name="Normal 69 2 3 2" xfId="21815" xr:uid="{00000000-0005-0000-0000-000037580000}"/>
    <cellStyle name="Normal 69 2 4" xfId="8533" xr:uid="{00000000-0005-0000-0000-000038580000}"/>
    <cellStyle name="Normal 69 2 4 2" xfId="19821" xr:uid="{00000000-0005-0000-0000-000039580000}"/>
    <cellStyle name="Normal 69 2 5" xfId="6539" xr:uid="{00000000-0005-0000-0000-00003A580000}"/>
    <cellStyle name="Normal 69 2 5 2" xfId="17827" xr:uid="{00000000-0005-0000-0000-00003B580000}"/>
    <cellStyle name="Normal 69 2 6" xfId="15833" xr:uid="{00000000-0005-0000-0000-00003C580000}"/>
    <cellStyle name="Normal 69 3" xfId="11524" xr:uid="{00000000-0005-0000-0000-00003D580000}"/>
    <cellStyle name="Normal 69 3 2" xfId="22812" xr:uid="{00000000-0005-0000-0000-00003E580000}"/>
    <cellStyle name="Normal 69 4" xfId="9530" xr:uid="{00000000-0005-0000-0000-00003F580000}"/>
    <cellStyle name="Normal 69 4 2" xfId="20818" xr:uid="{00000000-0005-0000-0000-000040580000}"/>
    <cellStyle name="Normal 69 5" xfId="7536" xr:uid="{00000000-0005-0000-0000-000041580000}"/>
    <cellStyle name="Normal 69 5 2" xfId="18824" xr:uid="{00000000-0005-0000-0000-000042580000}"/>
    <cellStyle name="Normal 69 6" xfId="5542" xr:uid="{00000000-0005-0000-0000-000043580000}"/>
    <cellStyle name="Normal 69 6 2" xfId="16830" xr:uid="{00000000-0005-0000-0000-000044580000}"/>
    <cellStyle name="Normal 69 7" xfId="14836" xr:uid="{00000000-0005-0000-0000-000045580000}"/>
    <cellStyle name="Normal 69 8" xfId="13520" xr:uid="{00000000-0005-0000-0000-000046580000}"/>
    <cellStyle name="Normal 7" xfId="58" xr:uid="{00000000-0005-0000-0000-000047580000}"/>
    <cellStyle name="Normal 7 10" xfId="24166" xr:uid="{00000000-0005-0000-0000-000048580000}"/>
    <cellStyle name="Normal 7 11" xfId="24735" xr:uid="{00000000-0005-0000-0000-000049580000}"/>
    <cellStyle name="Normal 7 12" xfId="25051" xr:uid="{00000000-0005-0000-0000-00004A580000}"/>
    <cellStyle name="Normal 7 13" xfId="25777" xr:uid="{00000000-0005-0000-0000-00004B580000}"/>
    <cellStyle name="Normal 7 2" xfId="4543" xr:uid="{00000000-0005-0000-0000-00004C580000}"/>
    <cellStyle name="Normal 7 2 2" xfId="12522" xr:uid="{00000000-0005-0000-0000-00004D580000}"/>
    <cellStyle name="Normal 7 2 2 2" xfId="23810" xr:uid="{00000000-0005-0000-0000-00004E580000}"/>
    <cellStyle name="Normal 7 2 2 2 2" xfId="24440" xr:uid="{00000000-0005-0000-0000-00004F580000}"/>
    <cellStyle name="Normal 7 2 2 2 3" xfId="24884" xr:uid="{00000000-0005-0000-0000-000050580000}"/>
    <cellStyle name="Normal 7 2 2 2 4" xfId="25247" xr:uid="{00000000-0005-0000-0000-000051580000}"/>
    <cellStyle name="Normal 7 2 2 3" xfId="24168" xr:uid="{00000000-0005-0000-0000-000052580000}"/>
    <cellStyle name="Normal 7 2 2 4" xfId="24737" xr:uid="{00000000-0005-0000-0000-000053580000}"/>
    <cellStyle name="Normal 7 2 2 5" xfId="25053" xr:uid="{00000000-0005-0000-0000-000054580000}"/>
    <cellStyle name="Normal 7 2 3" xfId="10528" xr:uid="{00000000-0005-0000-0000-000055580000}"/>
    <cellStyle name="Normal 7 2 3 2" xfId="21816" xr:uid="{00000000-0005-0000-0000-000056580000}"/>
    <cellStyle name="Normal 7 2 3 3" xfId="24439" xr:uid="{00000000-0005-0000-0000-000057580000}"/>
    <cellStyle name="Normal 7 2 3 4" xfId="24883" xr:uid="{00000000-0005-0000-0000-000058580000}"/>
    <cellStyle name="Normal 7 2 3 5" xfId="25246" xr:uid="{00000000-0005-0000-0000-000059580000}"/>
    <cellStyle name="Normal 7 2 4" xfId="8534" xr:uid="{00000000-0005-0000-0000-00005A580000}"/>
    <cellStyle name="Normal 7 2 4 2" xfId="19822" xr:uid="{00000000-0005-0000-0000-00005B580000}"/>
    <cellStyle name="Normal 7 2 5" xfId="6540" xr:uid="{00000000-0005-0000-0000-00005C580000}"/>
    <cellStyle name="Normal 7 2 5 2" xfId="17828" xr:uid="{00000000-0005-0000-0000-00005D580000}"/>
    <cellStyle name="Normal 7 2 6" xfId="15834" xr:uid="{00000000-0005-0000-0000-00005E580000}"/>
    <cellStyle name="Normal 7 2 7" xfId="24167" xr:uid="{00000000-0005-0000-0000-00005F580000}"/>
    <cellStyle name="Normal 7 2 8" xfId="24736" xr:uid="{00000000-0005-0000-0000-000060580000}"/>
    <cellStyle name="Normal 7 2 9" xfId="25052" xr:uid="{00000000-0005-0000-0000-000061580000}"/>
    <cellStyle name="Normal 7 3" xfId="11525" xr:uid="{00000000-0005-0000-0000-000062580000}"/>
    <cellStyle name="Normal 7 3 2" xfId="22813" xr:uid="{00000000-0005-0000-0000-000063580000}"/>
    <cellStyle name="Normal 7 3 2 2" xfId="24442" xr:uid="{00000000-0005-0000-0000-000064580000}"/>
    <cellStyle name="Normal 7 3 2 2 2" xfId="24886" xr:uid="{00000000-0005-0000-0000-000065580000}"/>
    <cellStyle name="Normal 7 3 2 2 3" xfId="25249" xr:uid="{00000000-0005-0000-0000-000066580000}"/>
    <cellStyle name="Normal 7 3 2 3" xfId="24170" xr:uid="{00000000-0005-0000-0000-000067580000}"/>
    <cellStyle name="Normal 7 3 2 4" xfId="24739" xr:uid="{00000000-0005-0000-0000-000068580000}"/>
    <cellStyle name="Normal 7 3 2 5" xfId="25055" xr:uid="{00000000-0005-0000-0000-000069580000}"/>
    <cellStyle name="Normal 7 3 3" xfId="24441" xr:uid="{00000000-0005-0000-0000-00006A580000}"/>
    <cellStyle name="Normal 7 3 3 2" xfId="24885" xr:uid="{00000000-0005-0000-0000-00006B580000}"/>
    <cellStyle name="Normal 7 3 3 3" xfId="25248" xr:uid="{00000000-0005-0000-0000-00006C580000}"/>
    <cellStyle name="Normal 7 3 4" xfId="24169" xr:uid="{00000000-0005-0000-0000-00006D580000}"/>
    <cellStyle name="Normal 7 3 5" xfId="24738" xr:uid="{00000000-0005-0000-0000-00006E580000}"/>
    <cellStyle name="Normal 7 3 6" xfId="25054" xr:uid="{00000000-0005-0000-0000-00006F580000}"/>
    <cellStyle name="Normal 7 4" xfId="9531" xr:uid="{00000000-0005-0000-0000-000070580000}"/>
    <cellStyle name="Normal 7 4 2" xfId="20819" xr:uid="{00000000-0005-0000-0000-000071580000}"/>
    <cellStyle name="Normal 7 4 2 2" xfId="24443" xr:uid="{00000000-0005-0000-0000-000072580000}"/>
    <cellStyle name="Normal 7 4 2 3" xfId="24887" xr:uid="{00000000-0005-0000-0000-000073580000}"/>
    <cellStyle name="Normal 7 4 2 4" xfId="25250" xr:uid="{00000000-0005-0000-0000-000074580000}"/>
    <cellStyle name="Normal 7 4 3" xfId="24171" xr:uid="{00000000-0005-0000-0000-000075580000}"/>
    <cellStyle name="Normal 7 4 4" xfId="24740" xr:uid="{00000000-0005-0000-0000-000076580000}"/>
    <cellStyle name="Normal 7 4 5" xfId="25056" xr:uid="{00000000-0005-0000-0000-000077580000}"/>
    <cellStyle name="Normal 7 5" xfId="7537" xr:uid="{00000000-0005-0000-0000-000078580000}"/>
    <cellStyle name="Normal 7 5 2" xfId="18825" xr:uid="{00000000-0005-0000-0000-000079580000}"/>
    <cellStyle name="Normal 7 5 3" xfId="24438" xr:uid="{00000000-0005-0000-0000-00007A580000}"/>
    <cellStyle name="Normal 7 5 4" xfId="24882" xr:uid="{00000000-0005-0000-0000-00007B580000}"/>
    <cellStyle name="Normal 7 5 5" xfId="25245" xr:uid="{00000000-0005-0000-0000-00007C580000}"/>
    <cellStyle name="Normal 7 6" xfId="5543" xr:uid="{00000000-0005-0000-0000-00007D580000}"/>
    <cellStyle name="Normal 7 6 2" xfId="16831" xr:uid="{00000000-0005-0000-0000-00007E580000}"/>
    <cellStyle name="Normal 7 7" xfId="3309" xr:uid="{00000000-0005-0000-0000-00007F580000}"/>
    <cellStyle name="Normal 7 7 2" xfId="14837" xr:uid="{00000000-0005-0000-0000-000080580000}"/>
    <cellStyle name="Normal 7 8" xfId="13616" xr:uid="{00000000-0005-0000-0000-000081580000}"/>
    <cellStyle name="Normal 7 9" xfId="13521" xr:uid="{00000000-0005-0000-0000-000082580000}"/>
    <cellStyle name="Normal 70" xfId="3310" xr:uid="{00000000-0005-0000-0000-000083580000}"/>
    <cellStyle name="Normal 70 2" xfId="4544" xr:uid="{00000000-0005-0000-0000-000084580000}"/>
    <cellStyle name="Normal 70 2 2" xfId="12523" xr:uid="{00000000-0005-0000-0000-000085580000}"/>
    <cellStyle name="Normal 70 2 2 2" xfId="23811" xr:uid="{00000000-0005-0000-0000-000086580000}"/>
    <cellStyle name="Normal 70 2 3" xfId="10529" xr:uid="{00000000-0005-0000-0000-000087580000}"/>
    <cellStyle name="Normal 70 2 3 2" xfId="21817" xr:uid="{00000000-0005-0000-0000-000088580000}"/>
    <cellStyle name="Normal 70 2 4" xfId="8535" xr:uid="{00000000-0005-0000-0000-000089580000}"/>
    <cellStyle name="Normal 70 2 4 2" xfId="19823" xr:uid="{00000000-0005-0000-0000-00008A580000}"/>
    <cellStyle name="Normal 70 2 5" xfId="6541" xr:uid="{00000000-0005-0000-0000-00008B580000}"/>
    <cellStyle name="Normal 70 2 5 2" xfId="17829" xr:uid="{00000000-0005-0000-0000-00008C580000}"/>
    <cellStyle name="Normal 70 2 6" xfId="15835" xr:uid="{00000000-0005-0000-0000-00008D580000}"/>
    <cellStyle name="Normal 70 3" xfId="11526" xr:uid="{00000000-0005-0000-0000-00008E580000}"/>
    <cellStyle name="Normal 70 3 2" xfId="22814" xr:uid="{00000000-0005-0000-0000-00008F580000}"/>
    <cellStyle name="Normal 70 4" xfId="9532" xr:uid="{00000000-0005-0000-0000-000090580000}"/>
    <cellStyle name="Normal 70 4 2" xfId="20820" xr:uid="{00000000-0005-0000-0000-000091580000}"/>
    <cellStyle name="Normal 70 5" xfId="7538" xr:uid="{00000000-0005-0000-0000-000092580000}"/>
    <cellStyle name="Normal 70 5 2" xfId="18826" xr:uid="{00000000-0005-0000-0000-000093580000}"/>
    <cellStyle name="Normal 70 6" xfId="5544" xr:uid="{00000000-0005-0000-0000-000094580000}"/>
    <cellStyle name="Normal 70 6 2" xfId="16832" xr:uid="{00000000-0005-0000-0000-000095580000}"/>
    <cellStyle name="Normal 70 7" xfId="14838" xr:uid="{00000000-0005-0000-0000-000096580000}"/>
    <cellStyle name="Normal 70 8" xfId="13522" xr:uid="{00000000-0005-0000-0000-000097580000}"/>
    <cellStyle name="Normal 71" xfId="3311" xr:uid="{00000000-0005-0000-0000-000098580000}"/>
    <cellStyle name="Normal 71 2" xfId="4545" xr:uid="{00000000-0005-0000-0000-000099580000}"/>
    <cellStyle name="Normal 71 2 2" xfId="12524" xr:uid="{00000000-0005-0000-0000-00009A580000}"/>
    <cellStyle name="Normal 71 2 2 2" xfId="23812" xr:uid="{00000000-0005-0000-0000-00009B580000}"/>
    <cellStyle name="Normal 71 2 3" xfId="10530" xr:uid="{00000000-0005-0000-0000-00009C580000}"/>
    <cellStyle name="Normal 71 2 3 2" xfId="21818" xr:uid="{00000000-0005-0000-0000-00009D580000}"/>
    <cellStyle name="Normal 71 2 4" xfId="8536" xr:uid="{00000000-0005-0000-0000-00009E580000}"/>
    <cellStyle name="Normal 71 2 4 2" xfId="19824" xr:uid="{00000000-0005-0000-0000-00009F580000}"/>
    <cellStyle name="Normal 71 2 5" xfId="6542" xr:uid="{00000000-0005-0000-0000-0000A0580000}"/>
    <cellStyle name="Normal 71 2 5 2" xfId="17830" xr:uid="{00000000-0005-0000-0000-0000A1580000}"/>
    <cellStyle name="Normal 71 2 6" xfId="15836" xr:uid="{00000000-0005-0000-0000-0000A2580000}"/>
    <cellStyle name="Normal 71 3" xfId="11527" xr:uid="{00000000-0005-0000-0000-0000A3580000}"/>
    <cellStyle name="Normal 71 3 2" xfId="22815" xr:uid="{00000000-0005-0000-0000-0000A4580000}"/>
    <cellStyle name="Normal 71 4" xfId="9533" xr:uid="{00000000-0005-0000-0000-0000A5580000}"/>
    <cellStyle name="Normal 71 4 2" xfId="20821" xr:uid="{00000000-0005-0000-0000-0000A6580000}"/>
    <cellStyle name="Normal 71 5" xfId="7539" xr:uid="{00000000-0005-0000-0000-0000A7580000}"/>
    <cellStyle name="Normal 71 5 2" xfId="18827" xr:uid="{00000000-0005-0000-0000-0000A8580000}"/>
    <cellStyle name="Normal 71 6" xfId="5545" xr:uid="{00000000-0005-0000-0000-0000A9580000}"/>
    <cellStyle name="Normal 71 6 2" xfId="16833" xr:uid="{00000000-0005-0000-0000-0000AA580000}"/>
    <cellStyle name="Normal 71 7" xfId="14839" xr:uid="{00000000-0005-0000-0000-0000AB580000}"/>
    <cellStyle name="Normal 71 8" xfId="13523" xr:uid="{00000000-0005-0000-0000-0000AC580000}"/>
    <cellStyle name="Normal 72" xfId="665" xr:uid="{00000000-0005-0000-0000-0000AD580000}"/>
    <cellStyle name="Normal 72 2" xfId="13915" xr:uid="{00000000-0005-0000-0000-0000AE580000}"/>
    <cellStyle name="Normal 72 3" xfId="13597" xr:uid="{00000000-0005-0000-0000-0000AF580000}"/>
    <cellStyle name="Normal 73" xfId="23888" xr:uid="{00000000-0005-0000-0000-0000B0580000}"/>
    <cellStyle name="Normal 74" xfId="23893" xr:uid="{00000000-0005-0000-0000-0000B1580000}"/>
    <cellStyle name="Normal 75" xfId="12598" xr:uid="{00000000-0005-0000-0000-0000B2580000}"/>
    <cellStyle name="Normal 76" xfId="23900" xr:uid="{00000000-0005-0000-0000-0000B3580000}"/>
    <cellStyle name="Normal 77" xfId="23901" xr:uid="{00000000-0005-0000-0000-0000B4580000}"/>
    <cellStyle name="Normal 78" xfId="23902" xr:uid="{00000000-0005-0000-0000-0000B5580000}"/>
    <cellStyle name="Normal 79" xfId="24543" xr:uid="{00000000-0005-0000-0000-0000B6580000}"/>
    <cellStyle name="Normal 8" xfId="59" xr:uid="{00000000-0005-0000-0000-0000B7580000}"/>
    <cellStyle name="Normal 8 10" xfId="24172" xr:uid="{00000000-0005-0000-0000-0000B8580000}"/>
    <cellStyle name="Normal 8 11" xfId="24741" xr:uid="{00000000-0005-0000-0000-0000B9580000}"/>
    <cellStyle name="Normal 8 12" xfId="25057" xr:uid="{00000000-0005-0000-0000-0000BA580000}"/>
    <cellStyle name="Normal 8 13" xfId="25778" xr:uid="{00000000-0005-0000-0000-0000BB580000}"/>
    <cellStyle name="Normal 8 2" xfId="4546" xr:uid="{00000000-0005-0000-0000-0000BC580000}"/>
    <cellStyle name="Normal 8 2 2" xfId="12525" xr:uid="{00000000-0005-0000-0000-0000BD580000}"/>
    <cellStyle name="Normal 8 2 2 2" xfId="23813" xr:uid="{00000000-0005-0000-0000-0000BE580000}"/>
    <cellStyle name="Normal 8 2 2 2 2" xfId="24446" xr:uid="{00000000-0005-0000-0000-0000BF580000}"/>
    <cellStyle name="Normal 8 2 2 2 3" xfId="24890" xr:uid="{00000000-0005-0000-0000-0000C0580000}"/>
    <cellStyle name="Normal 8 2 2 2 4" xfId="25253" xr:uid="{00000000-0005-0000-0000-0000C1580000}"/>
    <cellStyle name="Normal 8 2 2 3" xfId="24174" xr:uid="{00000000-0005-0000-0000-0000C2580000}"/>
    <cellStyle name="Normal 8 2 2 4" xfId="24743" xr:uid="{00000000-0005-0000-0000-0000C3580000}"/>
    <cellStyle name="Normal 8 2 2 5" xfId="25059" xr:uid="{00000000-0005-0000-0000-0000C4580000}"/>
    <cellStyle name="Normal 8 2 3" xfId="10531" xr:uid="{00000000-0005-0000-0000-0000C5580000}"/>
    <cellStyle name="Normal 8 2 3 2" xfId="21819" xr:uid="{00000000-0005-0000-0000-0000C6580000}"/>
    <cellStyle name="Normal 8 2 3 3" xfId="24445" xr:uid="{00000000-0005-0000-0000-0000C7580000}"/>
    <cellStyle name="Normal 8 2 3 4" xfId="24889" xr:uid="{00000000-0005-0000-0000-0000C8580000}"/>
    <cellStyle name="Normal 8 2 3 5" xfId="25252" xr:uid="{00000000-0005-0000-0000-0000C9580000}"/>
    <cellStyle name="Normal 8 2 4" xfId="8537" xr:uid="{00000000-0005-0000-0000-0000CA580000}"/>
    <cellStyle name="Normal 8 2 4 2" xfId="19825" xr:uid="{00000000-0005-0000-0000-0000CB580000}"/>
    <cellStyle name="Normal 8 2 5" xfId="6543" xr:uid="{00000000-0005-0000-0000-0000CC580000}"/>
    <cellStyle name="Normal 8 2 5 2" xfId="17831" xr:uid="{00000000-0005-0000-0000-0000CD580000}"/>
    <cellStyle name="Normal 8 2 6" xfId="15837" xr:uid="{00000000-0005-0000-0000-0000CE580000}"/>
    <cellStyle name="Normal 8 2 7" xfId="24173" xr:uid="{00000000-0005-0000-0000-0000CF580000}"/>
    <cellStyle name="Normal 8 2 8" xfId="24742" xr:uid="{00000000-0005-0000-0000-0000D0580000}"/>
    <cellStyle name="Normal 8 2 9" xfId="25058" xr:uid="{00000000-0005-0000-0000-0000D1580000}"/>
    <cellStyle name="Normal 8 3" xfId="11528" xr:uid="{00000000-0005-0000-0000-0000D2580000}"/>
    <cellStyle name="Normal 8 3 2" xfId="22816" xr:uid="{00000000-0005-0000-0000-0000D3580000}"/>
    <cellStyle name="Normal 8 3 2 2" xfId="24448" xr:uid="{00000000-0005-0000-0000-0000D4580000}"/>
    <cellStyle name="Normal 8 3 2 2 2" xfId="24892" xr:uid="{00000000-0005-0000-0000-0000D5580000}"/>
    <cellStyle name="Normal 8 3 2 2 3" xfId="25255" xr:uid="{00000000-0005-0000-0000-0000D6580000}"/>
    <cellStyle name="Normal 8 3 2 3" xfId="24176" xr:uid="{00000000-0005-0000-0000-0000D7580000}"/>
    <cellStyle name="Normal 8 3 2 4" xfId="24745" xr:uid="{00000000-0005-0000-0000-0000D8580000}"/>
    <cellStyle name="Normal 8 3 2 5" xfId="25061" xr:uid="{00000000-0005-0000-0000-0000D9580000}"/>
    <cellStyle name="Normal 8 3 3" xfId="24447" xr:uid="{00000000-0005-0000-0000-0000DA580000}"/>
    <cellStyle name="Normal 8 3 3 2" xfId="24891" xr:uid="{00000000-0005-0000-0000-0000DB580000}"/>
    <cellStyle name="Normal 8 3 3 3" xfId="25254" xr:uid="{00000000-0005-0000-0000-0000DC580000}"/>
    <cellStyle name="Normal 8 3 4" xfId="24175" xr:uid="{00000000-0005-0000-0000-0000DD580000}"/>
    <cellStyle name="Normal 8 3 5" xfId="24744" xr:uid="{00000000-0005-0000-0000-0000DE580000}"/>
    <cellStyle name="Normal 8 3 6" xfId="25060" xr:uid="{00000000-0005-0000-0000-0000DF580000}"/>
    <cellStyle name="Normal 8 4" xfId="9534" xr:uid="{00000000-0005-0000-0000-0000E0580000}"/>
    <cellStyle name="Normal 8 4 2" xfId="20822" xr:uid="{00000000-0005-0000-0000-0000E1580000}"/>
    <cellStyle name="Normal 8 4 2 2" xfId="24449" xr:uid="{00000000-0005-0000-0000-0000E2580000}"/>
    <cellStyle name="Normal 8 4 2 3" xfId="24893" xr:uid="{00000000-0005-0000-0000-0000E3580000}"/>
    <cellStyle name="Normal 8 4 2 4" xfId="25256" xr:uid="{00000000-0005-0000-0000-0000E4580000}"/>
    <cellStyle name="Normal 8 4 3" xfId="24177" xr:uid="{00000000-0005-0000-0000-0000E5580000}"/>
    <cellStyle name="Normal 8 4 4" xfId="24746" xr:uid="{00000000-0005-0000-0000-0000E6580000}"/>
    <cellStyle name="Normal 8 4 5" xfId="25062" xr:uid="{00000000-0005-0000-0000-0000E7580000}"/>
    <cellStyle name="Normal 8 5" xfId="7540" xr:uid="{00000000-0005-0000-0000-0000E8580000}"/>
    <cellStyle name="Normal 8 5 2" xfId="18828" xr:uid="{00000000-0005-0000-0000-0000E9580000}"/>
    <cellStyle name="Normal 8 5 3" xfId="24444" xr:uid="{00000000-0005-0000-0000-0000EA580000}"/>
    <cellStyle name="Normal 8 5 4" xfId="24888" xr:uid="{00000000-0005-0000-0000-0000EB580000}"/>
    <cellStyle name="Normal 8 5 5" xfId="25251" xr:uid="{00000000-0005-0000-0000-0000EC580000}"/>
    <cellStyle name="Normal 8 6" xfId="5546" xr:uid="{00000000-0005-0000-0000-0000ED580000}"/>
    <cellStyle name="Normal 8 6 2" xfId="16834" xr:uid="{00000000-0005-0000-0000-0000EE580000}"/>
    <cellStyle name="Normal 8 7" xfId="3312" xr:uid="{00000000-0005-0000-0000-0000EF580000}"/>
    <cellStyle name="Normal 8 7 2" xfId="14840" xr:uid="{00000000-0005-0000-0000-0000F0580000}"/>
    <cellStyle name="Normal 8 8" xfId="13617" xr:uid="{00000000-0005-0000-0000-0000F1580000}"/>
    <cellStyle name="Normal 8 9" xfId="13524" xr:uid="{00000000-0005-0000-0000-0000F2580000}"/>
    <cellStyle name="Normal 80" xfId="24554" xr:uid="{00000000-0005-0000-0000-0000F3580000}"/>
    <cellStyle name="Normal 81" xfId="24767" xr:uid="{00000000-0005-0000-0000-0000F4580000}"/>
    <cellStyle name="Normal 82" xfId="24903" xr:uid="{00000000-0005-0000-0000-0000F5580000}"/>
    <cellStyle name="Normal 83" xfId="24935" xr:uid="{00000000-0005-0000-0000-0000F6580000}"/>
    <cellStyle name="Normal 84" xfId="24705" xr:uid="{00000000-0005-0000-0000-0000F7580000}"/>
    <cellStyle name="Normal 85" xfId="24926" xr:uid="{00000000-0005-0000-0000-0000F8580000}"/>
    <cellStyle name="Normal 86" xfId="24768" xr:uid="{00000000-0005-0000-0000-0000F9580000}"/>
    <cellStyle name="Normal 87" xfId="24933" xr:uid="{00000000-0005-0000-0000-0000FA580000}"/>
    <cellStyle name="Normal 88" xfId="24689" xr:uid="{00000000-0005-0000-0000-0000FB580000}"/>
    <cellStyle name="Normal 89" xfId="24690" xr:uid="{00000000-0005-0000-0000-0000FC580000}"/>
    <cellStyle name="Normal 9" xfId="60" xr:uid="{00000000-0005-0000-0000-0000FD580000}"/>
    <cellStyle name="Normal 9 10" xfId="24178" xr:uid="{00000000-0005-0000-0000-0000FE580000}"/>
    <cellStyle name="Normal 9 11" xfId="24747" xr:uid="{00000000-0005-0000-0000-0000FF580000}"/>
    <cellStyle name="Normal 9 12" xfId="25063" xr:uid="{00000000-0005-0000-0000-000000590000}"/>
    <cellStyle name="Normal 9 14" xfId="25767" xr:uid="{00000000-0005-0000-0000-000001590000}"/>
    <cellStyle name="Normal 9 2" xfId="4547" xr:uid="{00000000-0005-0000-0000-000002590000}"/>
    <cellStyle name="Normal 9 2 2" xfId="12526" xr:uid="{00000000-0005-0000-0000-000003590000}"/>
    <cellStyle name="Normal 9 2 2 2" xfId="23814" xr:uid="{00000000-0005-0000-0000-000004590000}"/>
    <cellStyle name="Normal 9 2 2 2 2" xfId="24452" xr:uid="{00000000-0005-0000-0000-000005590000}"/>
    <cellStyle name="Normal 9 2 2 2 3" xfId="24896" xr:uid="{00000000-0005-0000-0000-000006590000}"/>
    <cellStyle name="Normal 9 2 2 2 4" xfId="25259" xr:uid="{00000000-0005-0000-0000-000007590000}"/>
    <cellStyle name="Normal 9 2 2 3" xfId="24180" xr:uid="{00000000-0005-0000-0000-000008590000}"/>
    <cellStyle name="Normal 9 2 2 4" xfId="24749" xr:uid="{00000000-0005-0000-0000-000009590000}"/>
    <cellStyle name="Normal 9 2 2 5" xfId="25065" xr:uid="{00000000-0005-0000-0000-00000A590000}"/>
    <cellStyle name="Normal 9 2 3" xfId="10532" xr:uid="{00000000-0005-0000-0000-00000B590000}"/>
    <cellStyle name="Normal 9 2 3 2" xfId="21820" xr:uid="{00000000-0005-0000-0000-00000C590000}"/>
    <cellStyle name="Normal 9 2 3 3" xfId="24451" xr:uid="{00000000-0005-0000-0000-00000D590000}"/>
    <cellStyle name="Normal 9 2 3 4" xfId="24895" xr:uid="{00000000-0005-0000-0000-00000E590000}"/>
    <cellStyle name="Normal 9 2 3 5" xfId="25258" xr:uid="{00000000-0005-0000-0000-00000F590000}"/>
    <cellStyle name="Normal 9 2 4" xfId="8538" xr:uid="{00000000-0005-0000-0000-000010590000}"/>
    <cellStyle name="Normal 9 2 4 2" xfId="19826" xr:uid="{00000000-0005-0000-0000-000011590000}"/>
    <cellStyle name="Normal 9 2 5" xfId="6544" xr:uid="{00000000-0005-0000-0000-000012590000}"/>
    <cellStyle name="Normal 9 2 5 2" xfId="17832" xr:uid="{00000000-0005-0000-0000-000013590000}"/>
    <cellStyle name="Normal 9 2 6" xfId="15838" xr:uid="{00000000-0005-0000-0000-000014590000}"/>
    <cellStyle name="Normal 9 2 7" xfId="24179" xr:uid="{00000000-0005-0000-0000-000015590000}"/>
    <cellStyle name="Normal 9 2 8" xfId="24748" xr:uid="{00000000-0005-0000-0000-000016590000}"/>
    <cellStyle name="Normal 9 2 9" xfId="25064" xr:uid="{00000000-0005-0000-0000-000017590000}"/>
    <cellStyle name="Normal 9 3" xfId="11529" xr:uid="{00000000-0005-0000-0000-000018590000}"/>
    <cellStyle name="Normal 9 3 2" xfId="22817" xr:uid="{00000000-0005-0000-0000-000019590000}"/>
    <cellStyle name="Normal 9 3 2 2" xfId="24454" xr:uid="{00000000-0005-0000-0000-00001A590000}"/>
    <cellStyle name="Normal 9 3 2 2 2" xfId="24898" xr:uid="{00000000-0005-0000-0000-00001B590000}"/>
    <cellStyle name="Normal 9 3 2 2 3" xfId="25261" xr:uid="{00000000-0005-0000-0000-00001C590000}"/>
    <cellStyle name="Normal 9 3 2 3" xfId="24182" xr:uid="{00000000-0005-0000-0000-00001D590000}"/>
    <cellStyle name="Normal 9 3 2 4" xfId="24751" xr:uid="{00000000-0005-0000-0000-00001E590000}"/>
    <cellStyle name="Normal 9 3 2 5" xfId="25067" xr:uid="{00000000-0005-0000-0000-00001F590000}"/>
    <cellStyle name="Normal 9 3 3" xfId="24453" xr:uid="{00000000-0005-0000-0000-000020590000}"/>
    <cellStyle name="Normal 9 3 3 2" xfId="24897" xr:uid="{00000000-0005-0000-0000-000021590000}"/>
    <cellStyle name="Normal 9 3 3 3" xfId="25260" xr:uid="{00000000-0005-0000-0000-000022590000}"/>
    <cellStyle name="Normal 9 3 4" xfId="24181" xr:uid="{00000000-0005-0000-0000-000023590000}"/>
    <cellStyle name="Normal 9 3 5" xfId="24750" xr:uid="{00000000-0005-0000-0000-000024590000}"/>
    <cellStyle name="Normal 9 3 6" xfId="25066" xr:uid="{00000000-0005-0000-0000-000025590000}"/>
    <cellStyle name="Normal 9 4" xfId="9535" xr:uid="{00000000-0005-0000-0000-000026590000}"/>
    <cellStyle name="Normal 9 4 2" xfId="20823" xr:uid="{00000000-0005-0000-0000-000027590000}"/>
    <cellStyle name="Normal 9 4 2 2" xfId="24455" xr:uid="{00000000-0005-0000-0000-000028590000}"/>
    <cellStyle name="Normal 9 4 2 3" xfId="24899" xr:uid="{00000000-0005-0000-0000-000029590000}"/>
    <cellStyle name="Normal 9 4 2 4" xfId="25262" xr:uid="{00000000-0005-0000-0000-00002A590000}"/>
    <cellStyle name="Normal 9 4 3" xfId="24183" xr:uid="{00000000-0005-0000-0000-00002B590000}"/>
    <cellStyle name="Normal 9 4 4" xfId="24752" xr:uid="{00000000-0005-0000-0000-00002C590000}"/>
    <cellStyle name="Normal 9 4 5" xfId="25068" xr:uid="{00000000-0005-0000-0000-00002D590000}"/>
    <cellStyle name="Normal 9 5" xfId="7541" xr:uid="{00000000-0005-0000-0000-00002E590000}"/>
    <cellStyle name="Normal 9 5 2" xfId="18829" xr:uid="{00000000-0005-0000-0000-00002F590000}"/>
    <cellStyle name="Normal 9 5 3" xfId="24450" xr:uid="{00000000-0005-0000-0000-000030590000}"/>
    <cellStyle name="Normal 9 5 4" xfId="24894" xr:uid="{00000000-0005-0000-0000-000031590000}"/>
    <cellStyle name="Normal 9 5 5" xfId="25257" xr:uid="{00000000-0005-0000-0000-000032590000}"/>
    <cellStyle name="Normal 9 6" xfId="5547" xr:uid="{00000000-0005-0000-0000-000033590000}"/>
    <cellStyle name="Normal 9 6 2" xfId="16835" xr:uid="{00000000-0005-0000-0000-000034590000}"/>
    <cellStyle name="Normal 9 7" xfId="3313" xr:uid="{00000000-0005-0000-0000-000035590000}"/>
    <cellStyle name="Normal 9 7 2" xfId="14841" xr:uid="{00000000-0005-0000-0000-000036590000}"/>
    <cellStyle name="Normal 9 8" xfId="13618" xr:uid="{00000000-0005-0000-0000-000037590000}"/>
    <cellStyle name="Normal 9 9" xfId="13525" xr:uid="{00000000-0005-0000-0000-000038590000}"/>
    <cellStyle name="Normal 90" xfId="24941" xr:uid="{00000000-0005-0000-0000-000039590000}"/>
    <cellStyle name="Normal 91" xfId="24545" xr:uid="{00000000-0005-0000-0000-00003A590000}"/>
    <cellStyle name="Normal 92" xfId="1" xr:uid="{00000000-0005-0000-0000-00003B590000}"/>
    <cellStyle name="Normal 93" xfId="25276" xr:uid="{00000000-0005-0000-0000-00003C590000}"/>
    <cellStyle name="Normal 94" xfId="25295" xr:uid="{00000000-0005-0000-0000-00003D590000}"/>
    <cellStyle name="Normal 95" xfId="25455" xr:uid="{00000000-0005-0000-0000-00003E590000}"/>
    <cellStyle name="Normal 96" xfId="25748" xr:uid="{00000000-0005-0000-0000-00003F590000}"/>
    <cellStyle name="Normal 97" xfId="25754" xr:uid="{00000000-0005-0000-0000-000040590000}"/>
    <cellStyle name="Normal 98" xfId="25757" xr:uid="{00000000-0005-0000-0000-000041590000}"/>
    <cellStyle name="Normal 99" xfId="25759" xr:uid="{00000000-0005-0000-0000-000042590000}"/>
    <cellStyle name="Normal(0)" xfId="61" xr:uid="{00000000-0005-0000-0000-000043590000}"/>
    <cellStyle name="Normal_Advtise Exp" xfId="25742" xr:uid="{00000000-0005-0000-0000-000044590000}"/>
    <cellStyle name="Normal_Jan 08" xfId="25745" xr:uid="{00000000-0005-0000-0000-000045590000}"/>
    <cellStyle name="Normal_Page 10 - Type I-4 Normalize Uncollectible Exp" xfId="25741" xr:uid="{00000000-0005-0000-0000-000046590000}"/>
    <cellStyle name="Normal_vcap1299" xfId="25743" xr:uid="{00000000-0005-0000-0000-000047590000}"/>
    <cellStyle name="NormalHelv" xfId="577" xr:uid="{00000000-0005-0000-0000-000048590000}"/>
    <cellStyle name="Note 10" xfId="3314" xr:uid="{00000000-0005-0000-0000-000049590000}"/>
    <cellStyle name="Note 10 10" xfId="24753" xr:uid="{00000000-0005-0000-0000-00004A590000}"/>
    <cellStyle name="Note 10 11" xfId="25069" xr:uid="{00000000-0005-0000-0000-00004B590000}"/>
    <cellStyle name="Note 10 2" xfId="4548" xr:uid="{00000000-0005-0000-0000-00004C590000}"/>
    <cellStyle name="Note 10 2 2" xfId="12527" xr:uid="{00000000-0005-0000-0000-00004D590000}"/>
    <cellStyle name="Note 10 2 2 2" xfId="23815" xr:uid="{00000000-0005-0000-0000-00004E590000}"/>
    <cellStyle name="Note 10 2 3" xfId="10533" xr:uid="{00000000-0005-0000-0000-00004F590000}"/>
    <cellStyle name="Note 10 2 3 2" xfId="21821" xr:uid="{00000000-0005-0000-0000-000050590000}"/>
    <cellStyle name="Note 10 2 4" xfId="8539" xr:uid="{00000000-0005-0000-0000-000051590000}"/>
    <cellStyle name="Note 10 2 4 2" xfId="19827" xr:uid="{00000000-0005-0000-0000-000052590000}"/>
    <cellStyle name="Note 10 2 5" xfId="6545" xr:uid="{00000000-0005-0000-0000-000053590000}"/>
    <cellStyle name="Note 10 2 5 2" xfId="17833" xr:uid="{00000000-0005-0000-0000-000054590000}"/>
    <cellStyle name="Note 10 2 6" xfId="15839" xr:uid="{00000000-0005-0000-0000-000055590000}"/>
    <cellStyle name="Note 10 2 7" xfId="24456" xr:uid="{00000000-0005-0000-0000-000056590000}"/>
    <cellStyle name="Note 10 2 8" xfId="24900" xr:uid="{00000000-0005-0000-0000-000057590000}"/>
    <cellStyle name="Note 10 2 9" xfId="25263" xr:uid="{00000000-0005-0000-0000-000058590000}"/>
    <cellStyle name="Note 10 3" xfId="11530" xr:uid="{00000000-0005-0000-0000-000059590000}"/>
    <cellStyle name="Note 10 3 2" xfId="22818" xr:uid="{00000000-0005-0000-0000-00005A590000}"/>
    <cellStyle name="Note 10 4" xfId="9536" xr:uid="{00000000-0005-0000-0000-00005B590000}"/>
    <cellStyle name="Note 10 4 2" xfId="20824" xr:uid="{00000000-0005-0000-0000-00005C590000}"/>
    <cellStyle name="Note 10 5" xfId="7542" xr:uid="{00000000-0005-0000-0000-00005D590000}"/>
    <cellStyle name="Note 10 5 2" xfId="18830" xr:uid="{00000000-0005-0000-0000-00005E590000}"/>
    <cellStyle name="Note 10 6" xfId="5548" xr:uid="{00000000-0005-0000-0000-00005F590000}"/>
    <cellStyle name="Note 10 6 2" xfId="16836" xr:uid="{00000000-0005-0000-0000-000060590000}"/>
    <cellStyle name="Note 10 7" xfId="14842" xr:uid="{00000000-0005-0000-0000-000061590000}"/>
    <cellStyle name="Note 10 8" xfId="13526" xr:uid="{00000000-0005-0000-0000-000062590000}"/>
    <cellStyle name="Note 10 9" xfId="24185" xr:uid="{00000000-0005-0000-0000-000063590000}"/>
    <cellStyle name="Note 11" xfId="3315" xr:uid="{00000000-0005-0000-0000-000064590000}"/>
    <cellStyle name="Note 11 10" xfId="24754" xr:uid="{00000000-0005-0000-0000-000065590000}"/>
    <cellStyle name="Note 11 11" xfId="25070" xr:uid="{00000000-0005-0000-0000-000066590000}"/>
    <cellStyle name="Note 11 2" xfId="4549" xr:uid="{00000000-0005-0000-0000-000067590000}"/>
    <cellStyle name="Note 11 2 2" xfId="12528" xr:uid="{00000000-0005-0000-0000-000068590000}"/>
    <cellStyle name="Note 11 2 2 2" xfId="23816" xr:uid="{00000000-0005-0000-0000-000069590000}"/>
    <cellStyle name="Note 11 2 3" xfId="10534" xr:uid="{00000000-0005-0000-0000-00006A590000}"/>
    <cellStyle name="Note 11 2 3 2" xfId="21822" xr:uid="{00000000-0005-0000-0000-00006B590000}"/>
    <cellStyle name="Note 11 2 4" xfId="8540" xr:uid="{00000000-0005-0000-0000-00006C590000}"/>
    <cellStyle name="Note 11 2 4 2" xfId="19828" xr:uid="{00000000-0005-0000-0000-00006D590000}"/>
    <cellStyle name="Note 11 2 5" xfId="6546" xr:uid="{00000000-0005-0000-0000-00006E590000}"/>
    <cellStyle name="Note 11 2 5 2" xfId="17834" xr:uid="{00000000-0005-0000-0000-00006F590000}"/>
    <cellStyle name="Note 11 2 6" xfId="15840" xr:uid="{00000000-0005-0000-0000-000070590000}"/>
    <cellStyle name="Note 11 2 7" xfId="24457" xr:uid="{00000000-0005-0000-0000-000071590000}"/>
    <cellStyle name="Note 11 2 8" xfId="24901" xr:uid="{00000000-0005-0000-0000-000072590000}"/>
    <cellStyle name="Note 11 2 9" xfId="25264" xr:uid="{00000000-0005-0000-0000-000073590000}"/>
    <cellStyle name="Note 11 3" xfId="11531" xr:uid="{00000000-0005-0000-0000-000074590000}"/>
    <cellStyle name="Note 11 3 2" xfId="22819" xr:uid="{00000000-0005-0000-0000-000075590000}"/>
    <cellStyle name="Note 11 4" xfId="9537" xr:uid="{00000000-0005-0000-0000-000076590000}"/>
    <cellStyle name="Note 11 4 2" xfId="20825" xr:uid="{00000000-0005-0000-0000-000077590000}"/>
    <cellStyle name="Note 11 5" xfId="7543" xr:uid="{00000000-0005-0000-0000-000078590000}"/>
    <cellStyle name="Note 11 5 2" xfId="18831" xr:uid="{00000000-0005-0000-0000-000079590000}"/>
    <cellStyle name="Note 11 6" xfId="5549" xr:uid="{00000000-0005-0000-0000-00007A590000}"/>
    <cellStyle name="Note 11 6 2" xfId="16837" xr:uid="{00000000-0005-0000-0000-00007B590000}"/>
    <cellStyle name="Note 11 7" xfId="14843" xr:uid="{00000000-0005-0000-0000-00007C590000}"/>
    <cellStyle name="Note 11 8" xfId="13527" xr:uid="{00000000-0005-0000-0000-00007D590000}"/>
    <cellStyle name="Note 11 9" xfId="24186" xr:uid="{00000000-0005-0000-0000-00007E590000}"/>
    <cellStyle name="Note 12" xfId="3316" xr:uid="{00000000-0005-0000-0000-00007F590000}"/>
    <cellStyle name="Note 12 10" xfId="24755" xr:uid="{00000000-0005-0000-0000-000080590000}"/>
    <cellStyle name="Note 12 11" xfId="25071" xr:uid="{00000000-0005-0000-0000-000081590000}"/>
    <cellStyle name="Note 12 2" xfId="4550" xr:uid="{00000000-0005-0000-0000-000082590000}"/>
    <cellStyle name="Note 12 2 2" xfId="12529" xr:uid="{00000000-0005-0000-0000-000083590000}"/>
    <cellStyle name="Note 12 2 2 2" xfId="23817" xr:uid="{00000000-0005-0000-0000-000084590000}"/>
    <cellStyle name="Note 12 2 3" xfId="10535" xr:uid="{00000000-0005-0000-0000-000085590000}"/>
    <cellStyle name="Note 12 2 3 2" xfId="21823" xr:uid="{00000000-0005-0000-0000-000086590000}"/>
    <cellStyle name="Note 12 2 4" xfId="8541" xr:uid="{00000000-0005-0000-0000-000087590000}"/>
    <cellStyle name="Note 12 2 4 2" xfId="19829" xr:uid="{00000000-0005-0000-0000-000088590000}"/>
    <cellStyle name="Note 12 2 5" xfId="6547" xr:uid="{00000000-0005-0000-0000-000089590000}"/>
    <cellStyle name="Note 12 2 5 2" xfId="17835" xr:uid="{00000000-0005-0000-0000-00008A590000}"/>
    <cellStyle name="Note 12 2 6" xfId="15841" xr:uid="{00000000-0005-0000-0000-00008B590000}"/>
    <cellStyle name="Note 12 2 7" xfId="24458" xr:uid="{00000000-0005-0000-0000-00008C590000}"/>
    <cellStyle name="Note 12 2 8" xfId="24902" xr:uid="{00000000-0005-0000-0000-00008D590000}"/>
    <cellStyle name="Note 12 2 9" xfId="25265" xr:uid="{00000000-0005-0000-0000-00008E590000}"/>
    <cellStyle name="Note 12 3" xfId="11532" xr:uid="{00000000-0005-0000-0000-00008F590000}"/>
    <cellStyle name="Note 12 3 2" xfId="22820" xr:uid="{00000000-0005-0000-0000-000090590000}"/>
    <cellStyle name="Note 12 4" xfId="9538" xr:uid="{00000000-0005-0000-0000-000091590000}"/>
    <cellStyle name="Note 12 4 2" xfId="20826" xr:uid="{00000000-0005-0000-0000-000092590000}"/>
    <cellStyle name="Note 12 5" xfId="7544" xr:uid="{00000000-0005-0000-0000-000093590000}"/>
    <cellStyle name="Note 12 5 2" xfId="18832" xr:uid="{00000000-0005-0000-0000-000094590000}"/>
    <cellStyle name="Note 12 6" xfId="5550" xr:uid="{00000000-0005-0000-0000-000095590000}"/>
    <cellStyle name="Note 12 6 2" xfId="16838" xr:uid="{00000000-0005-0000-0000-000096590000}"/>
    <cellStyle name="Note 12 7" xfId="14844" xr:uid="{00000000-0005-0000-0000-000097590000}"/>
    <cellStyle name="Note 12 8" xfId="13528" xr:uid="{00000000-0005-0000-0000-000098590000}"/>
    <cellStyle name="Note 12 9" xfId="24187" xr:uid="{00000000-0005-0000-0000-000099590000}"/>
    <cellStyle name="Note 13" xfId="3317" xr:uid="{00000000-0005-0000-0000-00009A590000}"/>
    <cellStyle name="Note 13 2" xfId="4551" xr:uid="{00000000-0005-0000-0000-00009B590000}"/>
    <cellStyle name="Note 13 2 2" xfId="12530" xr:uid="{00000000-0005-0000-0000-00009C590000}"/>
    <cellStyle name="Note 13 2 2 2" xfId="23818" xr:uid="{00000000-0005-0000-0000-00009D590000}"/>
    <cellStyle name="Note 13 2 3" xfId="10536" xr:uid="{00000000-0005-0000-0000-00009E590000}"/>
    <cellStyle name="Note 13 2 3 2" xfId="21824" xr:uid="{00000000-0005-0000-0000-00009F590000}"/>
    <cellStyle name="Note 13 2 4" xfId="8542" xr:uid="{00000000-0005-0000-0000-0000A0590000}"/>
    <cellStyle name="Note 13 2 4 2" xfId="19830" xr:uid="{00000000-0005-0000-0000-0000A1590000}"/>
    <cellStyle name="Note 13 2 5" xfId="6548" xr:uid="{00000000-0005-0000-0000-0000A2590000}"/>
    <cellStyle name="Note 13 2 5 2" xfId="17836" xr:uid="{00000000-0005-0000-0000-0000A3590000}"/>
    <cellStyle name="Note 13 2 6" xfId="15842" xr:uid="{00000000-0005-0000-0000-0000A4590000}"/>
    <cellStyle name="Note 13 3" xfId="11533" xr:uid="{00000000-0005-0000-0000-0000A5590000}"/>
    <cellStyle name="Note 13 3 2" xfId="22821" xr:uid="{00000000-0005-0000-0000-0000A6590000}"/>
    <cellStyle name="Note 13 4" xfId="9539" xr:uid="{00000000-0005-0000-0000-0000A7590000}"/>
    <cellStyle name="Note 13 4 2" xfId="20827" xr:uid="{00000000-0005-0000-0000-0000A8590000}"/>
    <cellStyle name="Note 13 5" xfId="7545" xr:uid="{00000000-0005-0000-0000-0000A9590000}"/>
    <cellStyle name="Note 13 5 2" xfId="18833" xr:uid="{00000000-0005-0000-0000-0000AA590000}"/>
    <cellStyle name="Note 13 6" xfId="5551" xr:uid="{00000000-0005-0000-0000-0000AB590000}"/>
    <cellStyle name="Note 13 6 2" xfId="16839" xr:uid="{00000000-0005-0000-0000-0000AC590000}"/>
    <cellStyle name="Note 13 7" xfId="14845" xr:uid="{00000000-0005-0000-0000-0000AD590000}"/>
    <cellStyle name="Note 13 8" xfId="13529" xr:uid="{00000000-0005-0000-0000-0000AE590000}"/>
    <cellStyle name="Note 14" xfId="3318" xr:uid="{00000000-0005-0000-0000-0000AF590000}"/>
    <cellStyle name="Note 14 2" xfId="4552" xr:uid="{00000000-0005-0000-0000-0000B0590000}"/>
    <cellStyle name="Note 14 2 2" xfId="12531" xr:uid="{00000000-0005-0000-0000-0000B1590000}"/>
    <cellStyle name="Note 14 2 2 2" xfId="23819" xr:uid="{00000000-0005-0000-0000-0000B2590000}"/>
    <cellStyle name="Note 14 2 3" xfId="10537" xr:uid="{00000000-0005-0000-0000-0000B3590000}"/>
    <cellStyle name="Note 14 2 3 2" xfId="21825" xr:uid="{00000000-0005-0000-0000-0000B4590000}"/>
    <cellStyle name="Note 14 2 4" xfId="8543" xr:uid="{00000000-0005-0000-0000-0000B5590000}"/>
    <cellStyle name="Note 14 2 4 2" xfId="19831" xr:uid="{00000000-0005-0000-0000-0000B6590000}"/>
    <cellStyle name="Note 14 2 5" xfId="6549" xr:uid="{00000000-0005-0000-0000-0000B7590000}"/>
    <cellStyle name="Note 14 2 5 2" xfId="17837" xr:uid="{00000000-0005-0000-0000-0000B8590000}"/>
    <cellStyle name="Note 14 2 6" xfId="15843" xr:uid="{00000000-0005-0000-0000-0000B9590000}"/>
    <cellStyle name="Note 14 3" xfId="11534" xr:uid="{00000000-0005-0000-0000-0000BA590000}"/>
    <cellStyle name="Note 14 3 2" xfId="22822" xr:uid="{00000000-0005-0000-0000-0000BB590000}"/>
    <cellStyle name="Note 14 4" xfId="9540" xr:uid="{00000000-0005-0000-0000-0000BC590000}"/>
    <cellStyle name="Note 14 4 2" xfId="20828" xr:uid="{00000000-0005-0000-0000-0000BD590000}"/>
    <cellStyle name="Note 14 5" xfId="7546" xr:uid="{00000000-0005-0000-0000-0000BE590000}"/>
    <cellStyle name="Note 14 5 2" xfId="18834" xr:uid="{00000000-0005-0000-0000-0000BF590000}"/>
    <cellStyle name="Note 14 6" xfId="5552" xr:uid="{00000000-0005-0000-0000-0000C0590000}"/>
    <cellStyle name="Note 14 6 2" xfId="16840" xr:uid="{00000000-0005-0000-0000-0000C1590000}"/>
    <cellStyle name="Note 14 7" xfId="14846" xr:uid="{00000000-0005-0000-0000-0000C2590000}"/>
    <cellStyle name="Note 14 8" xfId="13530" xr:uid="{00000000-0005-0000-0000-0000C3590000}"/>
    <cellStyle name="Note 15" xfId="3319" xr:uid="{00000000-0005-0000-0000-0000C4590000}"/>
    <cellStyle name="Note 15 2" xfId="4553" xr:uid="{00000000-0005-0000-0000-0000C5590000}"/>
    <cellStyle name="Note 15 2 2" xfId="12532" xr:uid="{00000000-0005-0000-0000-0000C6590000}"/>
    <cellStyle name="Note 15 2 2 2" xfId="23820" xr:uid="{00000000-0005-0000-0000-0000C7590000}"/>
    <cellStyle name="Note 15 2 3" xfId="10538" xr:uid="{00000000-0005-0000-0000-0000C8590000}"/>
    <cellStyle name="Note 15 2 3 2" xfId="21826" xr:uid="{00000000-0005-0000-0000-0000C9590000}"/>
    <cellStyle name="Note 15 2 4" xfId="8544" xr:uid="{00000000-0005-0000-0000-0000CA590000}"/>
    <cellStyle name="Note 15 2 4 2" xfId="19832" xr:uid="{00000000-0005-0000-0000-0000CB590000}"/>
    <cellStyle name="Note 15 2 5" xfId="6550" xr:uid="{00000000-0005-0000-0000-0000CC590000}"/>
    <cellStyle name="Note 15 2 5 2" xfId="17838" xr:uid="{00000000-0005-0000-0000-0000CD590000}"/>
    <cellStyle name="Note 15 2 6" xfId="15844" xr:uid="{00000000-0005-0000-0000-0000CE590000}"/>
    <cellStyle name="Note 15 3" xfId="11535" xr:uid="{00000000-0005-0000-0000-0000CF590000}"/>
    <cellStyle name="Note 15 3 2" xfId="22823" xr:uid="{00000000-0005-0000-0000-0000D0590000}"/>
    <cellStyle name="Note 15 4" xfId="9541" xr:uid="{00000000-0005-0000-0000-0000D1590000}"/>
    <cellStyle name="Note 15 4 2" xfId="20829" xr:uid="{00000000-0005-0000-0000-0000D2590000}"/>
    <cellStyle name="Note 15 5" xfId="7547" xr:uid="{00000000-0005-0000-0000-0000D3590000}"/>
    <cellStyle name="Note 15 5 2" xfId="18835" xr:uid="{00000000-0005-0000-0000-0000D4590000}"/>
    <cellStyle name="Note 15 6" xfId="5553" xr:uid="{00000000-0005-0000-0000-0000D5590000}"/>
    <cellStyle name="Note 15 6 2" xfId="16841" xr:uid="{00000000-0005-0000-0000-0000D6590000}"/>
    <cellStyle name="Note 15 7" xfId="14847" xr:uid="{00000000-0005-0000-0000-0000D7590000}"/>
    <cellStyle name="Note 15 8" xfId="13531" xr:uid="{00000000-0005-0000-0000-0000D8590000}"/>
    <cellStyle name="Note 16" xfId="3320" xr:uid="{00000000-0005-0000-0000-0000D9590000}"/>
    <cellStyle name="Note 16 2" xfId="4554" xr:uid="{00000000-0005-0000-0000-0000DA590000}"/>
    <cellStyle name="Note 16 2 2" xfId="12533" xr:uid="{00000000-0005-0000-0000-0000DB590000}"/>
    <cellStyle name="Note 16 2 2 2" xfId="23821" xr:uid="{00000000-0005-0000-0000-0000DC590000}"/>
    <cellStyle name="Note 16 2 3" xfId="10539" xr:uid="{00000000-0005-0000-0000-0000DD590000}"/>
    <cellStyle name="Note 16 2 3 2" xfId="21827" xr:uid="{00000000-0005-0000-0000-0000DE590000}"/>
    <cellStyle name="Note 16 2 4" xfId="8545" xr:uid="{00000000-0005-0000-0000-0000DF590000}"/>
    <cellStyle name="Note 16 2 4 2" xfId="19833" xr:uid="{00000000-0005-0000-0000-0000E0590000}"/>
    <cellStyle name="Note 16 2 5" xfId="6551" xr:uid="{00000000-0005-0000-0000-0000E1590000}"/>
    <cellStyle name="Note 16 2 5 2" xfId="17839" xr:uid="{00000000-0005-0000-0000-0000E2590000}"/>
    <cellStyle name="Note 16 2 6" xfId="15845" xr:uid="{00000000-0005-0000-0000-0000E3590000}"/>
    <cellStyle name="Note 16 3" xfId="11536" xr:uid="{00000000-0005-0000-0000-0000E4590000}"/>
    <cellStyle name="Note 16 3 2" xfId="22824" xr:uid="{00000000-0005-0000-0000-0000E5590000}"/>
    <cellStyle name="Note 16 4" xfId="9542" xr:uid="{00000000-0005-0000-0000-0000E6590000}"/>
    <cellStyle name="Note 16 4 2" xfId="20830" xr:uid="{00000000-0005-0000-0000-0000E7590000}"/>
    <cellStyle name="Note 16 5" xfId="7548" xr:uid="{00000000-0005-0000-0000-0000E8590000}"/>
    <cellStyle name="Note 16 5 2" xfId="18836" xr:uid="{00000000-0005-0000-0000-0000E9590000}"/>
    <cellStyle name="Note 16 6" xfId="5554" xr:uid="{00000000-0005-0000-0000-0000EA590000}"/>
    <cellStyle name="Note 16 6 2" xfId="16842" xr:uid="{00000000-0005-0000-0000-0000EB590000}"/>
    <cellStyle name="Note 16 7" xfId="14848" xr:uid="{00000000-0005-0000-0000-0000EC590000}"/>
    <cellStyle name="Note 16 8" xfId="13532" xr:uid="{00000000-0005-0000-0000-0000ED590000}"/>
    <cellStyle name="Note 17" xfId="3321" xr:uid="{00000000-0005-0000-0000-0000EE590000}"/>
    <cellStyle name="Note 17 2" xfId="4555" xr:uid="{00000000-0005-0000-0000-0000EF590000}"/>
    <cellStyle name="Note 17 2 2" xfId="12534" xr:uid="{00000000-0005-0000-0000-0000F0590000}"/>
    <cellStyle name="Note 17 2 2 2" xfId="23822" xr:uid="{00000000-0005-0000-0000-0000F1590000}"/>
    <cellStyle name="Note 17 2 3" xfId="10540" xr:uid="{00000000-0005-0000-0000-0000F2590000}"/>
    <cellStyle name="Note 17 2 3 2" xfId="21828" xr:uid="{00000000-0005-0000-0000-0000F3590000}"/>
    <cellStyle name="Note 17 2 4" xfId="8546" xr:uid="{00000000-0005-0000-0000-0000F4590000}"/>
    <cellStyle name="Note 17 2 4 2" xfId="19834" xr:uid="{00000000-0005-0000-0000-0000F5590000}"/>
    <cellStyle name="Note 17 2 5" xfId="6552" xr:uid="{00000000-0005-0000-0000-0000F6590000}"/>
    <cellStyle name="Note 17 2 5 2" xfId="17840" xr:uid="{00000000-0005-0000-0000-0000F7590000}"/>
    <cellStyle name="Note 17 2 6" xfId="15846" xr:uid="{00000000-0005-0000-0000-0000F8590000}"/>
    <cellStyle name="Note 17 3" xfId="11537" xr:uid="{00000000-0005-0000-0000-0000F9590000}"/>
    <cellStyle name="Note 17 3 2" xfId="22825" xr:uid="{00000000-0005-0000-0000-0000FA590000}"/>
    <cellStyle name="Note 17 4" xfId="9543" xr:uid="{00000000-0005-0000-0000-0000FB590000}"/>
    <cellStyle name="Note 17 4 2" xfId="20831" xr:uid="{00000000-0005-0000-0000-0000FC590000}"/>
    <cellStyle name="Note 17 5" xfId="7549" xr:uid="{00000000-0005-0000-0000-0000FD590000}"/>
    <cellStyle name="Note 17 5 2" xfId="18837" xr:uid="{00000000-0005-0000-0000-0000FE590000}"/>
    <cellStyle name="Note 17 6" xfId="5555" xr:uid="{00000000-0005-0000-0000-0000FF590000}"/>
    <cellStyle name="Note 17 6 2" xfId="16843" xr:uid="{00000000-0005-0000-0000-0000005A0000}"/>
    <cellStyle name="Note 17 7" xfId="14849" xr:uid="{00000000-0005-0000-0000-0000015A0000}"/>
    <cellStyle name="Note 17 8" xfId="13533" xr:uid="{00000000-0005-0000-0000-0000025A0000}"/>
    <cellStyle name="Note 18" xfId="3322" xr:uid="{00000000-0005-0000-0000-0000035A0000}"/>
    <cellStyle name="Note 18 2" xfId="4556" xr:uid="{00000000-0005-0000-0000-0000045A0000}"/>
    <cellStyle name="Note 18 2 2" xfId="12535" xr:uid="{00000000-0005-0000-0000-0000055A0000}"/>
    <cellStyle name="Note 18 2 2 2" xfId="23823" xr:uid="{00000000-0005-0000-0000-0000065A0000}"/>
    <cellStyle name="Note 18 2 3" xfId="10541" xr:uid="{00000000-0005-0000-0000-0000075A0000}"/>
    <cellStyle name="Note 18 2 3 2" xfId="21829" xr:uid="{00000000-0005-0000-0000-0000085A0000}"/>
    <cellStyle name="Note 18 2 4" xfId="8547" xr:uid="{00000000-0005-0000-0000-0000095A0000}"/>
    <cellStyle name="Note 18 2 4 2" xfId="19835" xr:uid="{00000000-0005-0000-0000-00000A5A0000}"/>
    <cellStyle name="Note 18 2 5" xfId="6553" xr:uid="{00000000-0005-0000-0000-00000B5A0000}"/>
    <cellStyle name="Note 18 2 5 2" xfId="17841" xr:uid="{00000000-0005-0000-0000-00000C5A0000}"/>
    <cellStyle name="Note 18 2 6" xfId="15847" xr:uid="{00000000-0005-0000-0000-00000D5A0000}"/>
    <cellStyle name="Note 18 3" xfId="11538" xr:uid="{00000000-0005-0000-0000-00000E5A0000}"/>
    <cellStyle name="Note 18 3 2" xfId="22826" xr:uid="{00000000-0005-0000-0000-00000F5A0000}"/>
    <cellStyle name="Note 18 4" xfId="9544" xr:uid="{00000000-0005-0000-0000-0000105A0000}"/>
    <cellStyle name="Note 18 4 2" xfId="20832" xr:uid="{00000000-0005-0000-0000-0000115A0000}"/>
    <cellStyle name="Note 18 5" xfId="7550" xr:uid="{00000000-0005-0000-0000-0000125A0000}"/>
    <cellStyle name="Note 18 5 2" xfId="18838" xr:uid="{00000000-0005-0000-0000-0000135A0000}"/>
    <cellStyle name="Note 18 6" xfId="5556" xr:uid="{00000000-0005-0000-0000-0000145A0000}"/>
    <cellStyle name="Note 18 6 2" xfId="16844" xr:uid="{00000000-0005-0000-0000-0000155A0000}"/>
    <cellStyle name="Note 18 7" xfId="14850" xr:uid="{00000000-0005-0000-0000-0000165A0000}"/>
    <cellStyle name="Note 18 8" xfId="13534" xr:uid="{00000000-0005-0000-0000-0000175A0000}"/>
    <cellStyle name="Note 19" xfId="3323" xr:uid="{00000000-0005-0000-0000-0000185A0000}"/>
    <cellStyle name="Note 19 2" xfId="4557" xr:uid="{00000000-0005-0000-0000-0000195A0000}"/>
    <cellStyle name="Note 19 2 2" xfId="12536" xr:uid="{00000000-0005-0000-0000-00001A5A0000}"/>
    <cellStyle name="Note 19 2 2 2" xfId="23824" xr:uid="{00000000-0005-0000-0000-00001B5A0000}"/>
    <cellStyle name="Note 19 2 3" xfId="10542" xr:uid="{00000000-0005-0000-0000-00001C5A0000}"/>
    <cellStyle name="Note 19 2 3 2" xfId="21830" xr:uid="{00000000-0005-0000-0000-00001D5A0000}"/>
    <cellStyle name="Note 19 2 4" xfId="8548" xr:uid="{00000000-0005-0000-0000-00001E5A0000}"/>
    <cellStyle name="Note 19 2 4 2" xfId="19836" xr:uid="{00000000-0005-0000-0000-00001F5A0000}"/>
    <cellStyle name="Note 19 2 5" xfId="6554" xr:uid="{00000000-0005-0000-0000-0000205A0000}"/>
    <cellStyle name="Note 19 2 5 2" xfId="17842" xr:uid="{00000000-0005-0000-0000-0000215A0000}"/>
    <cellStyle name="Note 19 2 6" xfId="15848" xr:uid="{00000000-0005-0000-0000-0000225A0000}"/>
    <cellStyle name="Note 19 3" xfId="11539" xr:uid="{00000000-0005-0000-0000-0000235A0000}"/>
    <cellStyle name="Note 19 3 2" xfId="22827" xr:uid="{00000000-0005-0000-0000-0000245A0000}"/>
    <cellStyle name="Note 19 4" xfId="9545" xr:uid="{00000000-0005-0000-0000-0000255A0000}"/>
    <cellStyle name="Note 19 4 2" xfId="20833" xr:uid="{00000000-0005-0000-0000-0000265A0000}"/>
    <cellStyle name="Note 19 5" xfId="7551" xr:uid="{00000000-0005-0000-0000-0000275A0000}"/>
    <cellStyle name="Note 19 5 2" xfId="18839" xr:uid="{00000000-0005-0000-0000-0000285A0000}"/>
    <cellStyle name="Note 19 6" xfId="5557" xr:uid="{00000000-0005-0000-0000-0000295A0000}"/>
    <cellStyle name="Note 19 6 2" xfId="16845" xr:uid="{00000000-0005-0000-0000-00002A5A0000}"/>
    <cellStyle name="Note 19 7" xfId="14851" xr:uid="{00000000-0005-0000-0000-00002B5A0000}"/>
    <cellStyle name="Note 19 8" xfId="13535" xr:uid="{00000000-0005-0000-0000-00002C5A0000}"/>
    <cellStyle name="Note 2" xfId="3324" xr:uid="{00000000-0005-0000-0000-00002D5A0000}"/>
    <cellStyle name="Note 2 10" xfId="25072" xr:uid="{00000000-0005-0000-0000-00002E5A0000}"/>
    <cellStyle name="Note 2 10 2" xfId="25396" xr:uid="{00000000-0005-0000-0000-00002F5A0000}"/>
    <cellStyle name="Note 2 10 3" xfId="25676" xr:uid="{00000000-0005-0000-0000-0000305A0000}"/>
    <cellStyle name="Note 2 2" xfId="4558" xr:uid="{00000000-0005-0000-0000-0000315A0000}"/>
    <cellStyle name="Note 2 2 2" xfId="12537" xr:uid="{00000000-0005-0000-0000-0000325A0000}"/>
    <cellStyle name="Note 2 2 2 2" xfId="23825" xr:uid="{00000000-0005-0000-0000-0000335A0000}"/>
    <cellStyle name="Note 2 2 3" xfId="10543" xr:uid="{00000000-0005-0000-0000-0000345A0000}"/>
    <cellStyle name="Note 2 2 3 2" xfId="21831" xr:uid="{00000000-0005-0000-0000-0000355A0000}"/>
    <cellStyle name="Note 2 2 4" xfId="8549" xr:uid="{00000000-0005-0000-0000-0000365A0000}"/>
    <cellStyle name="Note 2 2 4 2" xfId="19837" xr:uid="{00000000-0005-0000-0000-0000375A0000}"/>
    <cellStyle name="Note 2 2 5" xfId="6555" xr:uid="{00000000-0005-0000-0000-0000385A0000}"/>
    <cellStyle name="Note 2 2 5 2" xfId="17843" xr:uid="{00000000-0005-0000-0000-0000395A0000}"/>
    <cellStyle name="Note 2 2 6" xfId="15849" xr:uid="{00000000-0005-0000-0000-00003A5A0000}"/>
    <cellStyle name="Note 2 2 7" xfId="24189" xr:uid="{00000000-0005-0000-0000-00003B5A0000}"/>
    <cellStyle name="Note 2 2 7 2" xfId="25413" xr:uid="{00000000-0005-0000-0000-00003C5A0000}"/>
    <cellStyle name="Note 2 2 7 3" xfId="25564" xr:uid="{00000000-0005-0000-0000-00003D5A0000}"/>
    <cellStyle name="Note 2 2 8" xfId="25073" xr:uid="{00000000-0005-0000-0000-00003E5A0000}"/>
    <cellStyle name="Note 2 2 8 2" xfId="25305" xr:uid="{00000000-0005-0000-0000-00003F5A0000}"/>
    <cellStyle name="Note 2 2 8 3" xfId="25677" xr:uid="{00000000-0005-0000-0000-0000405A0000}"/>
    <cellStyle name="Note 2 3" xfId="11540" xr:uid="{00000000-0005-0000-0000-0000415A0000}"/>
    <cellStyle name="Note 2 3 2" xfId="22828" xr:uid="{00000000-0005-0000-0000-0000425A0000}"/>
    <cellStyle name="Note 2 4" xfId="9546" xr:uid="{00000000-0005-0000-0000-0000435A0000}"/>
    <cellStyle name="Note 2 4 2" xfId="20834" xr:uid="{00000000-0005-0000-0000-0000445A0000}"/>
    <cellStyle name="Note 2 5" xfId="7552" xr:uid="{00000000-0005-0000-0000-0000455A0000}"/>
    <cellStyle name="Note 2 5 2" xfId="18840" xr:uid="{00000000-0005-0000-0000-0000465A0000}"/>
    <cellStyle name="Note 2 6" xfId="5558" xr:uid="{00000000-0005-0000-0000-0000475A0000}"/>
    <cellStyle name="Note 2 6 2" xfId="16846" xr:uid="{00000000-0005-0000-0000-0000485A0000}"/>
    <cellStyle name="Note 2 7" xfId="14852" xr:uid="{00000000-0005-0000-0000-0000495A0000}"/>
    <cellStyle name="Note 2 8" xfId="13536" xr:uid="{00000000-0005-0000-0000-00004A5A0000}"/>
    <cellStyle name="Note 2 9" xfId="24188" xr:uid="{00000000-0005-0000-0000-00004B5A0000}"/>
    <cellStyle name="Note 2 9 2" xfId="25311" xr:uid="{00000000-0005-0000-0000-00004C5A0000}"/>
    <cellStyle name="Note 2 9 3" xfId="25563" xr:uid="{00000000-0005-0000-0000-00004D5A0000}"/>
    <cellStyle name="Note 20" xfId="3325" xr:uid="{00000000-0005-0000-0000-00004E5A0000}"/>
    <cellStyle name="Note 20 2" xfId="4559" xr:uid="{00000000-0005-0000-0000-00004F5A0000}"/>
    <cellStyle name="Note 20 2 2" xfId="12538" xr:uid="{00000000-0005-0000-0000-0000505A0000}"/>
    <cellStyle name="Note 20 2 2 2" xfId="23826" xr:uid="{00000000-0005-0000-0000-0000515A0000}"/>
    <cellStyle name="Note 20 2 3" xfId="10544" xr:uid="{00000000-0005-0000-0000-0000525A0000}"/>
    <cellStyle name="Note 20 2 3 2" xfId="21832" xr:uid="{00000000-0005-0000-0000-0000535A0000}"/>
    <cellStyle name="Note 20 2 4" xfId="8550" xr:uid="{00000000-0005-0000-0000-0000545A0000}"/>
    <cellStyle name="Note 20 2 4 2" xfId="19838" xr:uid="{00000000-0005-0000-0000-0000555A0000}"/>
    <cellStyle name="Note 20 2 5" xfId="6556" xr:uid="{00000000-0005-0000-0000-0000565A0000}"/>
    <cellStyle name="Note 20 2 5 2" xfId="17844" xr:uid="{00000000-0005-0000-0000-0000575A0000}"/>
    <cellStyle name="Note 20 2 6" xfId="15850" xr:uid="{00000000-0005-0000-0000-0000585A0000}"/>
    <cellStyle name="Note 20 3" xfId="11541" xr:uid="{00000000-0005-0000-0000-0000595A0000}"/>
    <cellStyle name="Note 20 3 2" xfId="22829" xr:uid="{00000000-0005-0000-0000-00005A5A0000}"/>
    <cellStyle name="Note 20 4" xfId="9547" xr:uid="{00000000-0005-0000-0000-00005B5A0000}"/>
    <cellStyle name="Note 20 4 2" xfId="20835" xr:uid="{00000000-0005-0000-0000-00005C5A0000}"/>
    <cellStyle name="Note 20 5" xfId="7553" xr:uid="{00000000-0005-0000-0000-00005D5A0000}"/>
    <cellStyle name="Note 20 5 2" xfId="18841" xr:uid="{00000000-0005-0000-0000-00005E5A0000}"/>
    <cellStyle name="Note 20 6" xfId="5559" xr:uid="{00000000-0005-0000-0000-00005F5A0000}"/>
    <cellStyle name="Note 20 6 2" xfId="16847" xr:uid="{00000000-0005-0000-0000-0000605A0000}"/>
    <cellStyle name="Note 20 7" xfId="14853" xr:uid="{00000000-0005-0000-0000-0000615A0000}"/>
    <cellStyle name="Note 20 8" xfId="13537" xr:uid="{00000000-0005-0000-0000-0000625A0000}"/>
    <cellStyle name="Note 21" xfId="3326" xr:uid="{00000000-0005-0000-0000-0000635A0000}"/>
    <cellStyle name="Note 21 2" xfId="4560" xr:uid="{00000000-0005-0000-0000-0000645A0000}"/>
    <cellStyle name="Note 21 2 2" xfId="12539" xr:uid="{00000000-0005-0000-0000-0000655A0000}"/>
    <cellStyle name="Note 21 2 2 2" xfId="23827" xr:uid="{00000000-0005-0000-0000-0000665A0000}"/>
    <cellStyle name="Note 21 2 3" xfId="10545" xr:uid="{00000000-0005-0000-0000-0000675A0000}"/>
    <cellStyle name="Note 21 2 3 2" xfId="21833" xr:uid="{00000000-0005-0000-0000-0000685A0000}"/>
    <cellStyle name="Note 21 2 4" xfId="8551" xr:uid="{00000000-0005-0000-0000-0000695A0000}"/>
    <cellStyle name="Note 21 2 4 2" xfId="19839" xr:uid="{00000000-0005-0000-0000-00006A5A0000}"/>
    <cellStyle name="Note 21 2 5" xfId="6557" xr:uid="{00000000-0005-0000-0000-00006B5A0000}"/>
    <cellStyle name="Note 21 2 5 2" xfId="17845" xr:uid="{00000000-0005-0000-0000-00006C5A0000}"/>
    <cellStyle name="Note 21 2 6" xfId="15851" xr:uid="{00000000-0005-0000-0000-00006D5A0000}"/>
    <cellStyle name="Note 21 3" xfId="11542" xr:uid="{00000000-0005-0000-0000-00006E5A0000}"/>
    <cellStyle name="Note 21 3 2" xfId="22830" xr:uid="{00000000-0005-0000-0000-00006F5A0000}"/>
    <cellStyle name="Note 21 4" xfId="9548" xr:uid="{00000000-0005-0000-0000-0000705A0000}"/>
    <cellStyle name="Note 21 4 2" xfId="20836" xr:uid="{00000000-0005-0000-0000-0000715A0000}"/>
    <cellStyle name="Note 21 5" xfId="7554" xr:uid="{00000000-0005-0000-0000-0000725A0000}"/>
    <cellStyle name="Note 21 5 2" xfId="18842" xr:uid="{00000000-0005-0000-0000-0000735A0000}"/>
    <cellStyle name="Note 21 6" xfId="5560" xr:uid="{00000000-0005-0000-0000-0000745A0000}"/>
    <cellStyle name="Note 21 6 2" xfId="16848" xr:uid="{00000000-0005-0000-0000-0000755A0000}"/>
    <cellStyle name="Note 21 7" xfId="14854" xr:uid="{00000000-0005-0000-0000-0000765A0000}"/>
    <cellStyle name="Note 21 8" xfId="13538" xr:uid="{00000000-0005-0000-0000-0000775A0000}"/>
    <cellStyle name="Note 22" xfId="3327" xr:uid="{00000000-0005-0000-0000-0000785A0000}"/>
    <cellStyle name="Note 22 2" xfId="4561" xr:uid="{00000000-0005-0000-0000-0000795A0000}"/>
    <cellStyle name="Note 22 2 2" xfId="12540" xr:uid="{00000000-0005-0000-0000-00007A5A0000}"/>
    <cellStyle name="Note 22 2 2 2" xfId="23828" xr:uid="{00000000-0005-0000-0000-00007B5A0000}"/>
    <cellStyle name="Note 22 2 3" xfId="10546" xr:uid="{00000000-0005-0000-0000-00007C5A0000}"/>
    <cellStyle name="Note 22 2 3 2" xfId="21834" xr:uid="{00000000-0005-0000-0000-00007D5A0000}"/>
    <cellStyle name="Note 22 2 4" xfId="8552" xr:uid="{00000000-0005-0000-0000-00007E5A0000}"/>
    <cellStyle name="Note 22 2 4 2" xfId="19840" xr:uid="{00000000-0005-0000-0000-00007F5A0000}"/>
    <cellStyle name="Note 22 2 5" xfId="6558" xr:uid="{00000000-0005-0000-0000-0000805A0000}"/>
    <cellStyle name="Note 22 2 5 2" xfId="17846" xr:uid="{00000000-0005-0000-0000-0000815A0000}"/>
    <cellStyle name="Note 22 2 6" xfId="15852" xr:uid="{00000000-0005-0000-0000-0000825A0000}"/>
    <cellStyle name="Note 22 3" xfId="11543" xr:uid="{00000000-0005-0000-0000-0000835A0000}"/>
    <cellStyle name="Note 22 3 2" xfId="22831" xr:uid="{00000000-0005-0000-0000-0000845A0000}"/>
    <cellStyle name="Note 22 4" xfId="9549" xr:uid="{00000000-0005-0000-0000-0000855A0000}"/>
    <cellStyle name="Note 22 4 2" xfId="20837" xr:uid="{00000000-0005-0000-0000-0000865A0000}"/>
    <cellStyle name="Note 22 5" xfId="7555" xr:uid="{00000000-0005-0000-0000-0000875A0000}"/>
    <cellStyle name="Note 22 5 2" xfId="18843" xr:uid="{00000000-0005-0000-0000-0000885A0000}"/>
    <cellStyle name="Note 22 6" xfId="5561" xr:uid="{00000000-0005-0000-0000-0000895A0000}"/>
    <cellStyle name="Note 22 6 2" xfId="16849" xr:uid="{00000000-0005-0000-0000-00008A5A0000}"/>
    <cellStyle name="Note 22 7" xfId="14855" xr:uid="{00000000-0005-0000-0000-00008B5A0000}"/>
    <cellStyle name="Note 22 8" xfId="13539" xr:uid="{00000000-0005-0000-0000-00008C5A0000}"/>
    <cellStyle name="Note 23" xfId="3328" xr:uid="{00000000-0005-0000-0000-00008D5A0000}"/>
    <cellStyle name="Note 23 2" xfId="4562" xr:uid="{00000000-0005-0000-0000-00008E5A0000}"/>
    <cellStyle name="Note 23 2 2" xfId="12541" xr:uid="{00000000-0005-0000-0000-00008F5A0000}"/>
    <cellStyle name="Note 23 2 2 2" xfId="23829" xr:uid="{00000000-0005-0000-0000-0000905A0000}"/>
    <cellStyle name="Note 23 2 3" xfId="10547" xr:uid="{00000000-0005-0000-0000-0000915A0000}"/>
    <cellStyle name="Note 23 2 3 2" xfId="21835" xr:uid="{00000000-0005-0000-0000-0000925A0000}"/>
    <cellStyle name="Note 23 2 4" xfId="8553" xr:uid="{00000000-0005-0000-0000-0000935A0000}"/>
    <cellStyle name="Note 23 2 4 2" xfId="19841" xr:uid="{00000000-0005-0000-0000-0000945A0000}"/>
    <cellStyle name="Note 23 2 5" xfId="6559" xr:uid="{00000000-0005-0000-0000-0000955A0000}"/>
    <cellStyle name="Note 23 2 5 2" xfId="17847" xr:uid="{00000000-0005-0000-0000-0000965A0000}"/>
    <cellStyle name="Note 23 2 6" xfId="15853" xr:uid="{00000000-0005-0000-0000-0000975A0000}"/>
    <cellStyle name="Note 23 3" xfId="11544" xr:uid="{00000000-0005-0000-0000-0000985A0000}"/>
    <cellStyle name="Note 23 3 2" xfId="22832" xr:uid="{00000000-0005-0000-0000-0000995A0000}"/>
    <cellStyle name="Note 23 4" xfId="9550" xr:uid="{00000000-0005-0000-0000-00009A5A0000}"/>
    <cellStyle name="Note 23 4 2" xfId="20838" xr:uid="{00000000-0005-0000-0000-00009B5A0000}"/>
    <cellStyle name="Note 23 5" xfId="7556" xr:uid="{00000000-0005-0000-0000-00009C5A0000}"/>
    <cellStyle name="Note 23 5 2" xfId="18844" xr:uid="{00000000-0005-0000-0000-00009D5A0000}"/>
    <cellStyle name="Note 23 6" xfId="5562" xr:uid="{00000000-0005-0000-0000-00009E5A0000}"/>
    <cellStyle name="Note 23 6 2" xfId="16850" xr:uid="{00000000-0005-0000-0000-00009F5A0000}"/>
    <cellStyle name="Note 23 7" xfId="14856" xr:uid="{00000000-0005-0000-0000-0000A05A0000}"/>
    <cellStyle name="Note 23 8" xfId="13540" xr:uid="{00000000-0005-0000-0000-0000A15A0000}"/>
    <cellStyle name="Note 24" xfId="3329" xr:uid="{00000000-0005-0000-0000-0000A25A0000}"/>
    <cellStyle name="Note 24 2" xfId="4563" xr:uid="{00000000-0005-0000-0000-0000A35A0000}"/>
    <cellStyle name="Note 24 2 2" xfId="12542" xr:uid="{00000000-0005-0000-0000-0000A45A0000}"/>
    <cellStyle name="Note 24 2 2 2" xfId="23830" xr:uid="{00000000-0005-0000-0000-0000A55A0000}"/>
    <cellStyle name="Note 24 2 3" xfId="10548" xr:uid="{00000000-0005-0000-0000-0000A65A0000}"/>
    <cellStyle name="Note 24 2 3 2" xfId="21836" xr:uid="{00000000-0005-0000-0000-0000A75A0000}"/>
    <cellStyle name="Note 24 2 4" xfId="8554" xr:uid="{00000000-0005-0000-0000-0000A85A0000}"/>
    <cellStyle name="Note 24 2 4 2" xfId="19842" xr:uid="{00000000-0005-0000-0000-0000A95A0000}"/>
    <cellStyle name="Note 24 2 5" xfId="6560" xr:uid="{00000000-0005-0000-0000-0000AA5A0000}"/>
    <cellStyle name="Note 24 2 5 2" xfId="17848" xr:uid="{00000000-0005-0000-0000-0000AB5A0000}"/>
    <cellStyle name="Note 24 2 6" xfId="15854" xr:uid="{00000000-0005-0000-0000-0000AC5A0000}"/>
    <cellStyle name="Note 24 3" xfId="11545" xr:uid="{00000000-0005-0000-0000-0000AD5A0000}"/>
    <cellStyle name="Note 24 3 2" xfId="22833" xr:uid="{00000000-0005-0000-0000-0000AE5A0000}"/>
    <cellStyle name="Note 24 4" xfId="9551" xr:uid="{00000000-0005-0000-0000-0000AF5A0000}"/>
    <cellStyle name="Note 24 4 2" xfId="20839" xr:uid="{00000000-0005-0000-0000-0000B05A0000}"/>
    <cellStyle name="Note 24 5" xfId="7557" xr:uid="{00000000-0005-0000-0000-0000B15A0000}"/>
    <cellStyle name="Note 24 5 2" xfId="18845" xr:uid="{00000000-0005-0000-0000-0000B25A0000}"/>
    <cellStyle name="Note 24 6" xfId="5563" xr:uid="{00000000-0005-0000-0000-0000B35A0000}"/>
    <cellStyle name="Note 24 6 2" xfId="16851" xr:uid="{00000000-0005-0000-0000-0000B45A0000}"/>
    <cellStyle name="Note 24 7" xfId="14857" xr:uid="{00000000-0005-0000-0000-0000B55A0000}"/>
    <cellStyle name="Note 24 8" xfId="13541" xr:uid="{00000000-0005-0000-0000-0000B65A0000}"/>
    <cellStyle name="Note 25" xfId="3330" xr:uid="{00000000-0005-0000-0000-0000B75A0000}"/>
    <cellStyle name="Note 25 2" xfId="4564" xr:uid="{00000000-0005-0000-0000-0000B85A0000}"/>
    <cellStyle name="Note 25 2 2" xfId="12543" xr:uid="{00000000-0005-0000-0000-0000B95A0000}"/>
    <cellStyle name="Note 25 2 2 2" xfId="23831" xr:uid="{00000000-0005-0000-0000-0000BA5A0000}"/>
    <cellStyle name="Note 25 2 3" xfId="10549" xr:uid="{00000000-0005-0000-0000-0000BB5A0000}"/>
    <cellStyle name="Note 25 2 3 2" xfId="21837" xr:uid="{00000000-0005-0000-0000-0000BC5A0000}"/>
    <cellStyle name="Note 25 2 4" xfId="8555" xr:uid="{00000000-0005-0000-0000-0000BD5A0000}"/>
    <cellStyle name="Note 25 2 4 2" xfId="19843" xr:uid="{00000000-0005-0000-0000-0000BE5A0000}"/>
    <cellStyle name="Note 25 2 5" xfId="6561" xr:uid="{00000000-0005-0000-0000-0000BF5A0000}"/>
    <cellStyle name="Note 25 2 5 2" xfId="17849" xr:uid="{00000000-0005-0000-0000-0000C05A0000}"/>
    <cellStyle name="Note 25 2 6" xfId="15855" xr:uid="{00000000-0005-0000-0000-0000C15A0000}"/>
    <cellStyle name="Note 25 3" xfId="11546" xr:uid="{00000000-0005-0000-0000-0000C25A0000}"/>
    <cellStyle name="Note 25 3 2" xfId="22834" xr:uid="{00000000-0005-0000-0000-0000C35A0000}"/>
    <cellStyle name="Note 25 4" xfId="9552" xr:uid="{00000000-0005-0000-0000-0000C45A0000}"/>
    <cellStyle name="Note 25 4 2" xfId="20840" xr:uid="{00000000-0005-0000-0000-0000C55A0000}"/>
    <cellStyle name="Note 25 5" xfId="7558" xr:uid="{00000000-0005-0000-0000-0000C65A0000}"/>
    <cellStyle name="Note 25 5 2" xfId="18846" xr:uid="{00000000-0005-0000-0000-0000C75A0000}"/>
    <cellStyle name="Note 25 6" xfId="5564" xr:uid="{00000000-0005-0000-0000-0000C85A0000}"/>
    <cellStyle name="Note 25 6 2" xfId="16852" xr:uid="{00000000-0005-0000-0000-0000C95A0000}"/>
    <cellStyle name="Note 25 7" xfId="14858" xr:uid="{00000000-0005-0000-0000-0000CA5A0000}"/>
    <cellStyle name="Note 25 8" xfId="13542" xr:uid="{00000000-0005-0000-0000-0000CB5A0000}"/>
    <cellStyle name="Note 26" xfId="3331" xr:uid="{00000000-0005-0000-0000-0000CC5A0000}"/>
    <cellStyle name="Note 26 2" xfId="4565" xr:uid="{00000000-0005-0000-0000-0000CD5A0000}"/>
    <cellStyle name="Note 26 2 2" xfId="12544" xr:uid="{00000000-0005-0000-0000-0000CE5A0000}"/>
    <cellStyle name="Note 26 2 2 2" xfId="23832" xr:uid="{00000000-0005-0000-0000-0000CF5A0000}"/>
    <cellStyle name="Note 26 2 3" xfId="10550" xr:uid="{00000000-0005-0000-0000-0000D05A0000}"/>
    <cellStyle name="Note 26 2 3 2" xfId="21838" xr:uid="{00000000-0005-0000-0000-0000D15A0000}"/>
    <cellStyle name="Note 26 2 4" xfId="8556" xr:uid="{00000000-0005-0000-0000-0000D25A0000}"/>
    <cellStyle name="Note 26 2 4 2" xfId="19844" xr:uid="{00000000-0005-0000-0000-0000D35A0000}"/>
    <cellStyle name="Note 26 2 5" xfId="6562" xr:uid="{00000000-0005-0000-0000-0000D45A0000}"/>
    <cellStyle name="Note 26 2 5 2" xfId="17850" xr:uid="{00000000-0005-0000-0000-0000D55A0000}"/>
    <cellStyle name="Note 26 2 6" xfId="15856" xr:uid="{00000000-0005-0000-0000-0000D65A0000}"/>
    <cellStyle name="Note 26 3" xfId="11547" xr:uid="{00000000-0005-0000-0000-0000D75A0000}"/>
    <cellStyle name="Note 26 3 2" xfId="22835" xr:uid="{00000000-0005-0000-0000-0000D85A0000}"/>
    <cellStyle name="Note 26 4" xfId="9553" xr:uid="{00000000-0005-0000-0000-0000D95A0000}"/>
    <cellStyle name="Note 26 4 2" xfId="20841" xr:uid="{00000000-0005-0000-0000-0000DA5A0000}"/>
    <cellStyle name="Note 26 5" xfId="7559" xr:uid="{00000000-0005-0000-0000-0000DB5A0000}"/>
    <cellStyle name="Note 26 5 2" xfId="18847" xr:uid="{00000000-0005-0000-0000-0000DC5A0000}"/>
    <cellStyle name="Note 26 6" xfId="5565" xr:uid="{00000000-0005-0000-0000-0000DD5A0000}"/>
    <cellStyle name="Note 26 6 2" xfId="16853" xr:uid="{00000000-0005-0000-0000-0000DE5A0000}"/>
    <cellStyle name="Note 26 7" xfId="14859" xr:uid="{00000000-0005-0000-0000-0000DF5A0000}"/>
    <cellStyle name="Note 26 8" xfId="13543" xr:uid="{00000000-0005-0000-0000-0000E05A0000}"/>
    <cellStyle name="Note 27" xfId="3332" xr:uid="{00000000-0005-0000-0000-0000E15A0000}"/>
    <cellStyle name="Note 27 2" xfId="4566" xr:uid="{00000000-0005-0000-0000-0000E25A0000}"/>
    <cellStyle name="Note 27 2 2" xfId="12545" xr:uid="{00000000-0005-0000-0000-0000E35A0000}"/>
    <cellStyle name="Note 27 2 2 2" xfId="23833" xr:uid="{00000000-0005-0000-0000-0000E45A0000}"/>
    <cellStyle name="Note 27 2 3" xfId="10551" xr:uid="{00000000-0005-0000-0000-0000E55A0000}"/>
    <cellStyle name="Note 27 2 3 2" xfId="21839" xr:uid="{00000000-0005-0000-0000-0000E65A0000}"/>
    <cellStyle name="Note 27 2 4" xfId="8557" xr:uid="{00000000-0005-0000-0000-0000E75A0000}"/>
    <cellStyle name="Note 27 2 4 2" xfId="19845" xr:uid="{00000000-0005-0000-0000-0000E85A0000}"/>
    <cellStyle name="Note 27 2 5" xfId="6563" xr:uid="{00000000-0005-0000-0000-0000E95A0000}"/>
    <cellStyle name="Note 27 2 5 2" xfId="17851" xr:uid="{00000000-0005-0000-0000-0000EA5A0000}"/>
    <cellStyle name="Note 27 2 6" xfId="15857" xr:uid="{00000000-0005-0000-0000-0000EB5A0000}"/>
    <cellStyle name="Note 27 3" xfId="11548" xr:uid="{00000000-0005-0000-0000-0000EC5A0000}"/>
    <cellStyle name="Note 27 3 2" xfId="22836" xr:uid="{00000000-0005-0000-0000-0000ED5A0000}"/>
    <cellStyle name="Note 27 4" xfId="9554" xr:uid="{00000000-0005-0000-0000-0000EE5A0000}"/>
    <cellStyle name="Note 27 4 2" xfId="20842" xr:uid="{00000000-0005-0000-0000-0000EF5A0000}"/>
    <cellStyle name="Note 27 5" xfId="7560" xr:uid="{00000000-0005-0000-0000-0000F05A0000}"/>
    <cellStyle name="Note 27 5 2" xfId="18848" xr:uid="{00000000-0005-0000-0000-0000F15A0000}"/>
    <cellStyle name="Note 27 6" xfId="5566" xr:uid="{00000000-0005-0000-0000-0000F25A0000}"/>
    <cellStyle name="Note 27 6 2" xfId="16854" xr:uid="{00000000-0005-0000-0000-0000F35A0000}"/>
    <cellStyle name="Note 27 7" xfId="14860" xr:uid="{00000000-0005-0000-0000-0000F45A0000}"/>
    <cellStyle name="Note 27 8" xfId="13544" xr:uid="{00000000-0005-0000-0000-0000F55A0000}"/>
    <cellStyle name="Note 28" xfId="3333" xr:uid="{00000000-0005-0000-0000-0000F65A0000}"/>
    <cellStyle name="Note 28 2" xfId="4567" xr:uid="{00000000-0005-0000-0000-0000F75A0000}"/>
    <cellStyle name="Note 28 2 2" xfId="12546" xr:uid="{00000000-0005-0000-0000-0000F85A0000}"/>
    <cellStyle name="Note 28 2 2 2" xfId="23834" xr:uid="{00000000-0005-0000-0000-0000F95A0000}"/>
    <cellStyle name="Note 28 2 3" xfId="10552" xr:uid="{00000000-0005-0000-0000-0000FA5A0000}"/>
    <cellStyle name="Note 28 2 3 2" xfId="21840" xr:uid="{00000000-0005-0000-0000-0000FB5A0000}"/>
    <cellStyle name="Note 28 2 4" xfId="8558" xr:uid="{00000000-0005-0000-0000-0000FC5A0000}"/>
    <cellStyle name="Note 28 2 4 2" xfId="19846" xr:uid="{00000000-0005-0000-0000-0000FD5A0000}"/>
    <cellStyle name="Note 28 2 5" xfId="6564" xr:uid="{00000000-0005-0000-0000-0000FE5A0000}"/>
    <cellStyle name="Note 28 2 5 2" xfId="17852" xr:uid="{00000000-0005-0000-0000-0000FF5A0000}"/>
    <cellStyle name="Note 28 2 6" xfId="15858" xr:uid="{00000000-0005-0000-0000-0000005B0000}"/>
    <cellStyle name="Note 28 3" xfId="11549" xr:uid="{00000000-0005-0000-0000-0000015B0000}"/>
    <cellStyle name="Note 28 3 2" xfId="22837" xr:uid="{00000000-0005-0000-0000-0000025B0000}"/>
    <cellStyle name="Note 28 4" xfId="9555" xr:uid="{00000000-0005-0000-0000-0000035B0000}"/>
    <cellStyle name="Note 28 4 2" xfId="20843" xr:uid="{00000000-0005-0000-0000-0000045B0000}"/>
    <cellStyle name="Note 28 5" xfId="7561" xr:uid="{00000000-0005-0000-0000-0000055B0000}"/>
    <cellStyle name="Note 28 5 2" xfId="18849" xr:uid="{00000000-0005-0000-0000-0000065B0000}"/>
    <cellStyle name="Note 28 6" xfId="5567" xr:uid="{00000000-0005-0000-0000-0000075B0000}"/>
    <cellStyle name="Note 28 6 2" xfId="16855" xr:uid="{00000000-0005-0000-0000-0000085B0000}"/>
    <cellStyle name="Note 28 7" xfId="14861" xr:uid="{00000000-0005-0000-0000-0000095B0000}"/>
    <cellStyle name="Note 28 8" xfId="13545" xr:uid="{00000000-0005-0000-0000-00000A5B0000}"/>
    <cellStyle name="Note 29" xfId="3334" xr:uid="{00000000-0005-0000-0000-00000B5B0000}"/>
    <cellStyle name="Note 29 2" xfId="4568" xr:uid="{00000000-0005-0000-0000-00000C5B0000}"/>
    <cellStyle name="Note 29 2 2" xfId="12547" xr:uid="{00000000-0005-0000-0000-00000D5B0000}"/>
    <cellStyle name="Note 29 2 2 2" xfId="23835" xr:uid="{00000000-0005-0000-0000-00000E5B0000}"/>
    <cellStyle name="Note 29 2 3" xfId="10553" xr:uid="{00000000-0005-0000-0000-00000F5B0000}"/>
    <cellStyle name="Note 29 2 3 2" xfId="21841" xr:uid="{00000000-0005-0000-0000-0000105B0000}"/>
    <cellStyle name="Note 29 2 4" xfId="8559" xr:uid="{00000000-0005-0000-0000-0000115B0000}"/>
    <cellStyle name="Note 29 2 4 2" xfId="19847" xr:uid="{00000000-0005-0000-0000-0000125B0000}"/>
    <cellStyle name="Note 29 2 5" xfId="6565" xr:uid="{00000000-0005-0000-0000-0000135B0000}"/>
    <cellStyle name="Note 29 2 5 2" xfId="17853" xr:uid="{00000000-0005-0000-0000-0000145B0000}"/>
    <cellStyle name="Note 29 2 6" xfId="15859" xr:uid="{00000000-0005-0000-0000-0000155B0000}"/>
    <cellStyle name="Note 29 3" xfId="11550" xr:uid="{00000000-0005-0000-0000-0000165B0000}"/>
    <cellStyle name="Note 29 3 2" xfId="22838" xr:uid="{00000000-0005-0000-0000-0000175B0000}"/>
    <cellStyle name="Note 29 4" xfId="9556" xr:uid="{00000000-0005-0000-0000-0000185B0000}"/>
    <cellStyle name="Note 29 4 2" xfId="20844" xr:uid="{00000000-0005-0000-0000-0000195B0000}"/>
    <cellStyle name="Note 29 5" xfId="7562" xr:uid="{00000000-0005-0000-0000-00001A5B0000}"/>
    <cellStyle name="Note 29 5 2" xfId="18850" xr:uid="{00000000-0005-0000-0000-00001B5B0000}"/>
    <cellStyle name="Note 29 6" xfId="5568" xr:uid="{00000000-0005-0000-0000-00001C5B0000}"/>
    <cellStyle name="Note 29 6 2" xfId="16856" xr:uid="{00000000-0005-0000-0000-00001D5B0000}"/>
    <cellStyle name="Note 29 7" xfId="14862" xr:uid="{00000000-0005-0000-0000-00001E5B0000}"/>
    <cellStyle name="Note 29 8" xfId="13546" xr:uid="{00000000-0005-0000-0000-00001F5B0000}"/>
    <cellStyle name="Note 3" xfId="3335" xr:uid="{00000000-0005-0000-0000-0000205B0000}"/>
    <cellStyle name="Note 3 10" xfId="25074" xr:uid="{00000000-0005-0000-0000-0000215B0000}"/>
    <cellStyle name="Note 3 10 2" xfId="25408" xr:uid="{00000000-0005-0000-0000-0000225B0000}"/>
    <cellStyle name="Note 3 10 3" xfId="25678" xr:uid="{00000000-0005-0000-0000-0000235B0000}"/>
    <cellStyle name="Note 3 2" xfId="4569" xr:uid="{00000000-0005-0000-0000-0000245B0000}"/>
    <cellStyle name="Note 3 2 2" xfId="12548" xr:uid="{00000000-0005-0000-0000-0000255B0000}"/>
    <cellStyle name="Note 3 2 2 2" xfId="23836" xr:uid="{00000000-0005-0000-0000-0000265B0000}"/>
    <cellStyle name="Note 3 2 3" xfId="10554" xr:uid="{00000000-0005-0000-0000-0000275B0000}"/>
    <cellStyle name="Note 3 2 3 2" xfId="21842" xr:uid="{00000000-0005-0000-0000-0000285B0000}"/>
    <cellStyle name="Note 3 2 4" xfId="8560" xr:uid="{00000000-0005-0000-0000-0000295B0000}"/>
    <cellStyle name="Note 3 2 4 2" xfId="19848" xr:uid="{00000000-0005-0000-0000-00002A5B0000}"/>
    <cellStyle name="Note 3 2 5" xfId="6566" xr:uid="{00000000-0005-0000-0000-00002B5B0000}"/>
    <cellStyle name="Note 3 2 5 2" xfId="17854" xr:uid="{00000000-0005-0000-0000-00002C5B0000}"/>
    <cellStyle name="Note 3 2 6" xfId="15860" xr:uid="{00000000-0005-0000-0000-00002D5B0000}"/>
    <cellStyle name="Note 3 2 7" xfId="24191" xr:uid="{00000000-0005-0000-0000-00002E5B0000}"/>
    <cellStyle name="Note 3 2 7 2" xfId="25427" xr:uid="{00000000-0005-0000-0000-00002F5B0000}"/>
    <cellStyle name="Note 3 2 7 3" xfId="25566" xr:uid="{00000000-0005-0000-0000-0000305B0000}"/>
    <cellStyle name="Note 3 2 8" xfId="25075" xr:uid="{00000000-0005-0000-0000-0000315B0000}"/>
    <cellStyle name="Note 3 2 8 2" xfId="25321" xr:uid="{00000000-0005-0000-0000-0000325B0000}"/>
    <cellStyle name="Note 3 2 8 3" xfId="25679" xr:uid="{00000000-0005-0000-0000-0000335B0000}"/>
    <cellStyle name="Note 3 3" xfId="11551" xr:uid="{00000000-0005-0000-0000-0000345B0000}"/>
    <cellStyle name="Note 3 3 2" xfId="22839" xr:uid="{00000000-0005-0000-0000-0000355B0000}"/>
    <cellStyle name="Note 3 4" xfId="9557" xr:uid="{00000000-0005-0000-0000-0000365B0000}"/>
    <cellStyle name="Note 3 4 2" xfId="20845" xr:uid="{00000000-0005-0000-0000-0000375B0000}"/>
    <cellStyle name="Note 3 5" xfId="7563" xr:uid="{00000000-0005-0000-0000-0000385B0000}"/>
    <cellStyle name="Note 3 5 2" xfId="18851" xr:uid="{00000000-0005-0000-0000-0000395B0000}"/>
    <cellStyle name="Note 3 6" xfId="5569" xr:uid="{00000000-0005-0000-0000-00003A5B0000}"/>
    <cellStyle name="Note 3 6 2" xfId="16857" xr:uid="{00000000-0005-0000-0000-00003B5B0000}"/>
    <cellStyle name="Note 3 7" xfId="14863" xr:uid="{00000000-0005-0000-0000-00003C5B0000}"/>
    <cellStyle name="Note 3 8" xfId="13547" xr:uid="{00000000-0005-0000-0000-00003D5B0000}"/>
    <cellStyle name="Note 3 9" xfId="24190" xr:uid="{00000000-0005-0000-0000-00003E5B0000}"/>
    <cellStyle name="Note 3 9 2" xfId="25326" xr:uid="{00000000-0005-0000-0000-00003F5B0000}"/>
    <cellStyle name="Note 3 9 3" xfId="25565" xr:uid="{00000000-0005-0000-0000-0000405B0000}"/>
    <cellStyle name="Note 30" xfId="3336" xr:uid="{00000000-0005-0000-0000-0000415B0000}"/>
    <cellStyle name="Note 30 2" xfId="4570" xr:uid="{00000000-0005-0000-0000-0000425B0000}"/>
    <cellStyle name="Note 30 2 2" xfId="12549" xr:uid="{00000000-0005-0000-0000-0000435B0000}"/>
    <cellStyle name="Note 30 2 2 2" xfId="23837" xr:uid="{00000000-0005-0000-0000-0000445B0000}"/>
    <cellStyle name="Note 30 2 3" xfId="10555" xr:uid="{00000000-0005-0000-0000-0000455B0000}"/>
    <cellStyle name="Note 30 2 3 2" xfId="21843" xr:uid="{00000000-0005-0000-0000-0000465B0000}"/>
    <cellStyle name="Note 30 2 4" xfId="8561" xr:uid="{00000000-0005-0000-0000-0000475B0000}"/>
    <cellStyle name="Note 30 2 4 2" xfId="19849" xr:uid="{00000000-0005-0000-0000-0000485B0000}"/>
    <cellStyle name="Note 30 2 5" xfId="6567" xr:uid="{00000000-0005-0000-0000-0000495B0000}"/>
    <cellStyle name="Note 30 2 5 2" xfId="17855" xr:uid="{00000000-0005-0000-0000-00004A5B0000}"/>
    <cellStyle name="Note 30 2 6" xfId="15861" xr:uid="{00000000-0005-0000-0000-00004B5B0000}"/>
    <cellStyle name="Note 30 3" xfId="11552" xr:uid="{00000000-0005-0000-0000-00004C5B0000}"/>
    <cellStyle name="Note 30 3 2" xfId="22840" xr:uid="{00000000-0005-0000-0000-00004D5B0000}"/>
    <cellStyle name="Note 30 4" xfId="9558" xr:uid="{00000000-0005-0000-0000-00004E5B0000}"/>
    <cellStyle name="Note 30 4 2" xfId="20846" xr:uid="{00000000-0005-0000-0000-00004F5B0000}"/>
    <cellStyle name="Note 30 5" xfId="7564" xr:uid="{00000000-0005-0000-0000-0000505B0000}"/>
    <cellStyle name="Note 30 5 2" xfId="18852" xr:uid="{00000000-0005-0000-0000-0000515B0000}"/>
    <cellStyle name="Note 30 6" xfId="5570" xr:uid="{00000000-0005-0000-0000-0000525B0000}"/>
    <cellStyle name="Note 30 6 2" xfId="16858" xr:uid="{00000000-0005-0000-0000-0000535B0000}"/>
    <cellStyle name="Note 30 7" xfId="14864" xr:uid="{00000000-0005-0000-0000-0000545B0000}"/>
    <cellStyle name="Note 30 8" xfId="13548" xr:uid="{00000000-0005-0000-0000-0000555B0000}"/>
    <cellStyle name="Note 31" xfId="3337" xr:uid="{00000000-0005-0000-0000-0000565B0000}"/>
    <cellStyle name="Note 31 2" xfId="4571" xr:uid="{00000000-0005-0000-0000-0000575B0000}"/>
    <cellStyle name="Note 31 2 2" xfId="12550" xr:uid="{00000000-0005-0000-0000-0000585B0000}"/>
    <cellStyle name="Note 31 2 2 2" xfId="23838" xr:uid="{00000000-0005-0000-0000-0000595B0000}"/>
    <cellStyle name="Note 31 2 3" xfId="10556" xr:uid="{00000000-0005-0000-0000-00005A5B0000}"/>
    <cellStyle name="Note 31 2 3 2" xfId="21844" xr:uid="{00000000-0005-0000-0000-00005B5B0000}"/>
    <cellStyle name="Note 31 2 4" xfId="8562" xr:uid="{00000000-0005-0000-0000-00005C5B0000}"/>
    <cellStyle name="Note 31 2 4 2" xfId="19850" xr:uid="{00000000-0005-0000-0000-00005D5B0000}"/>
    <cellStyle name="Note 31 2 5" xfId="6568" xr:uid="{00000000-0005-0000-0000-00005E5B0000}"/>
    <cellStyle name="Note 31 2 5 2" xfId="17856" xr:uid="{00000000-0005-0000-0000-00005F5B0000}"/>
    <cellStyle name="Note 31 2 6" xfId="15862" xr:uid="{00000000-0005-0000-0000-0000605B0000}"/>
    <cellStyle name="Note 31 3" xfId="11553" xr:uid="{00000000-0005-0000-0000-0000615B0000}"/>
    <cellStyle name="Note 31 3 2" xfId="22841" xr:uid="{00000000-0005-0000-0000-0000625B0000}"/>
    <cellStyle name="Note 31 4" xfId="9559" xr:uid="{00000000-0005-0000-0000-0000635B0000}"/>
    <cellStyle name="Note 31 4 2" xfId="20847" xr:uid="{00000000-0005-0000-0000-0000645B0000}"/>
    <cellStyle name="Note 31 5" xfId="7565" xr:uid="{00000000-0005-0000-0000-0000655B0000}"/>
    <cellStyle name="Note 31 5 2" xfId="18853" xr:uid="{00000000-0005-0000-0000-0000665B0000}"/>
    <cellStyle name="Note 31 6" xfId="5571" xr:uid="{00000000-0005-0000-0000-0000675B0000}"/>
    <cellStyle name="Note 31 6 2" xfId="16859" xr:uid="{00000000-0005-0000-0000-0000685B0000}"/>
    <cellStyle name="Note 31 7" xfId="14865" xr:uid="{00000000-0005-0000-0000-0000695B0000}"/>
    <cellStyle name="Note 31 8" xfId="13549" xr:uid="{00000000-0005-0000-0000-00006A5B0000}"/>
    <cellStyle name="Note 32" xfId="3338" xr:uid="{00000000-0005-0000-0000-00006B5B0000}"/>
    <cellStyle name="Note 32 2" xfId="4572" xr:uid="{00000000-0005-0000-0000-00006C5B0000}"/>
    <cellStyle name="Note 32 2 2" xfId="12551" xr:uid="{00000000-0005-0000-0000-00006D5B0000}"/>
    <cellStyle name="Note 32 2 2 2" xfId="23839" xr:uid="{00000000-0005-0000-0000-00006E5B0000}"/>
    <cellStyle name="Note 32 2 3" xfId="10557" xr:uid="{00000000-0005-0000-0000-00006F5B0000}"/>
    <cellStyle name="Note 32 2 3 2" xfId="21845" xr:uid="{00000000-0005-0000-0000-0000705B0000}"/>
    <cellStyle name="Note 32 2 4" xfId="8563" xr:uid="{00000000-0005-0000-0000-0000715B0000}"/>
    <cellStyle name="Note 32 2 4 2" xfId="19851" xr:uid="{00000000-0005-0000-0000-0000725B0000}"/>
    <cellStyle name="Note 32 2 5" xfId="6569" xr:uid="{00000000-0005-0000-0000-0000735B0000}"/>
    <cellStyle name="Note 32 2 5 2" xfId="17857" xr:uid="{00000000-0005-0000-0000-0000745B0000}"/>
    <cellStyle name="Note 32 2 6" xfId="15863" xr:uid="{00000000-0005-0000-0000-0000755B0000}"/>
    <cellStyle name="Note 32 3" xfId="11554" xr:uid="{00000000-0005-0000-0000-0000765B0000}"/>
    <cellStyle name="Note 32 3 2" xfId="22842" xr:uid="{00000000-0005-0000-0000-0000775B0000}"/>
    <cellStyle name="Note 32 4" xfId="9560" xr:uid="{00000000-0005-0000-0000-0000785B0000}"/>
    <cellStyle name="Note 32 4 2" xfId="20848" xr:uid="{00000000-0005-0000-0000-0000795B0000}"/>
    <cellStyle name="Note 32 5" xfId="7566" xr:uid="{00000000-0005-0000-0000-00007A5B0000}"/>
    <cellStyle name="Note 32 5 2" xfId="18854" xr:uid="{00000000-0005-0000-0000-00007B5B0000}"/>
    <cellStyle name="Note 32 6" xfId="5572" xr:uid="{00000000-0005-0000-0000-00007C5B0000}"/>
    <cellStyle name="Note 32 6 2" xfId="16860" xr:uid="{00000000-0005-0000-0000-00007D5B0000}"/>
    <cellStyle name="Note 32 7" xfId="14866" xr:uid="{00000000-0005-0000-0000-00007E5B0000}"/>
    <cellStyle name="Note 32 8" xfId="13550" xr:uid="{00000000-0005-0000-0000-00007F5B0000}"/>
    <cellStyle name="Note 33" xfId="3339" xr:uid="{00000000-0005-0000-0000-0000805B0000}"/>
    <cellStyle name="Note 33 2" xfId="4573" xr:uid="{00000000-0005-0000-0000-0000815B0000}"/>
    <cellStyle name="Note 33 2 2" xfId="12552" xr:uid="{00000000-0005-0000-0000-0000825B0000}"/>
    <cellStyle name="Note 33 2 2 2" xfId="23840" xr:uid="{00000000-0005-0000-0000-0000835B0000}"/>
    <cellStyle name="Note 33 2 3" xfId="10558" xr:uid="{00000000-0005-0000-0000-0000845B0000}"/>
    <cellStyle name="Note 33 2 3 2" xfId="21846" xr:uid="{00000000-0005-0000-0000-0000855B0000}"/>
    <cellStyle name="Note 33 2 4" xfId="8564" xr:uid="{00000000-0005-0000-0000-0000865B0000}"/>
    <cellStyle name="Note 33 2 4 2" xfId="19852" xr:uid="{00000000-0005-0000-0000-0000875B0000}"/>
    <cellStyle name="Note 33 2 5" xfId="6570" xr:uid="{00000000-0005-0000-0000-0000885B0000}"/>
    <cellStyle name="Note 33 2 5 2" xfId="17858" xr:uid="{00000000-0005-0000-0000-0000895B0000}"/>
    <cellStyle name="Note 33 2 6" xfId="15864" xr:uid="{00000000-0005-0000-0000-00008A5B0000}"/>
    <cellStyle name="Note 33 3" xfId="11555" xr:uid="{00000000-0005-0000-0000-00008B5B0000}"/>
    <cellStyle name="Note 33 3 2" xfId="22843" xr:uid="{00000000-0005-0000-0000-00008C5B0000}"/>
    <cellStyle name="Note 33 4" xfId="9561" xr:uid="{00000000-0005-0000-0000-00008D5B0000}"/>
    <cellStyle name="Note 33 4 2" xfId="20849" xr:uid="{00000000-0005-0000-0000-00008E5B0000}"/>
    <cellStyle name="Note 33 5" xfId="7567" xr:uid="{00000000-0005-0000-0000-00008F5B0000}"/>
    <cellStyle name="Note 33 5 2" xfId="18855" xr:uid="{00000000-0005-0000-0000-0000905B0000}"/>
    <cellStyle name="Note 33 6" xfId="5573" xr:uid="{00000000-0005-0000-0000-0000915B0000}"/>
    <cellStyle name="Note 33 6 2" xfId="16861" xr:uid="{00000000-0005-0000-0000-0000925B0000}"/>
    <cellStyle name="Note 33 7" xfId="14867" xr:uid="{00000000-0005-0000-0000-0000935B0000}"/>
    <cellStyle name="Note 33 8" xfId="13551" xr:uid="{00000000-0005-0000-0000-0000945B0000}"/>
    <cellStyle name="Note 34" xfId="3340" xr:uid="{00000000-0005-0000-0000-0000955B0000}"/>
    <cellStyle name="Note 34 2" xfId="4574" xr:uid="{00000000-0005-0000-0000-0000965B0000}"/>
    <cellStyle name="Note 34 2 2" xfId="12553" xr:uid="{00000000-0005-0000-0000-0000975B0000}"/>
    <cellStyle name="Note 34 2 2 2" xfId="23841" xr:uid="{00000000-0005-0000-0000-0000985B0000}"/>
    <cellStyle name="Note 34 2 3" xfId="10559" xr:uid="{00000000-0005-0000-0000-0000995B0000}"/>
    <cellStyle name="Note 34 2 3 2" xfId="21847" xr:uid="{00000000-0005-0000-0000-00009A5B0000}"/>
    <cellStyle name="Note 34 2 4" xfId="8565" xr:uid="{00000000-0005-0000-0000-00009B5B0000}"/>
    <cellStyle name="Note 34 2 4 2" xfId="19853" xr:uid="{00000000-0005-0000-0000-00009C5B0000}"/>
    <cellStyle name="Note 34 2 5" xfId="6571" xr:uid="{00000000-0005-0000-0000-00009D5B0000}"/>
    <cellStyle name="Note 34 2 5 2" xfId="17859" xr:uid="{00000000-0005-0000-0000-00009E5B0000}"/>
    <cellStyle name="Note 34 2 6" xfId="15865" xr:uid="{00000000-0005-0000-0000-00009F5B0000}"/>
    <cellStyle name="Note 34 3" xfId="11556" xr:uid="{00000000-0005-0000-0000-0000A05B0000}"/>
    <cellStyle name="Note 34 3 2" xfId="22844" xr:uid="{00000000-0005-0000-0000-0000A15B0000}"/>
    <cellStyle name="Note 34 4" xfId="9562" xr:uid="{00000000-0005-0000-0000-0000A25B0000}"/>
    <cellStyle name="Note 34 4 2" xfId="20850" xr:uid="{00000000-0005-0000-0000-0000A35B0000}"/>
    <cellStyle name="Note 34 5" xfId="7568" xr:uid="{00000000-0005-0000-0000-0000A45B0000}"/>
    <cellStyle name="Note 34 5 2" xfId="18856" xr:uid="{00000000-0005-0000-0000-0000A55B0000}"/>
    <cellStyle name="Note 34 6" xfId="5574" xr:uid="{00000000-0005-0000-0000-0000A65B0000}"/>
    <cellStyle name="Note 34 6 2" xfId="16862" xr:uid="{00000000-0005-0000-0000-0000A75B0000}"/>
    <cellStyle name="Note 34 7" xfId="14868" xr:uid="{00000000-0005-0000-0000-0000A85B0000}"/>
    <cellStyle name="Note 34 8" xfId="13552" xr:uid="{00000000-0005-0000-0000-0000A95B0000}"/>
    <cellStyle name="Note 35" xfId="3341" xr:uid="{00000000-0005-0000-0000-0000AA5B0000}"/>
    <cellStyle name="Note 35 2" xfId="4575" xr:uid="{00000000-0005-0000-0000-0000AB5B0000}"/>
    <cellStyle name="Note 35 2 2" xfId="12554" xr:uid="{00000000-0005-0000-0000-0000AC5B0000}"/>
    <cellStyle name="Note 35 2 2 2" xfId="23842" xr:uid="{00000000-0005-0000-0000-0000AD5B0000}"/>
    <cellStyle name="Note 35 2 3" xfId="10560" xr:uid="{00000000-0005-0000-0000-0000AE5B0000}"/>
    <cellStyle name="Note 35 2 3 2" xfId="21848" xr:uid="{00000000-0005-0000-0000-0000AF5B0000}"/>
    <cellStyle name="Note 35 2 4" xfId="8566" xr:uid="{00000000-0005-0000-0000-0000B05B0000}"/>
    <cellStyle name="Note 35 2 4 2" xfId="19854" xr:uid="{00000000-0005-0000-0000-0000B15B0000}"/>
    <cellStyle name="Note 35 2 5" xfId="6572" xr:uid="{00000000-0005-0000-0000-0000B25B0000}"/>
    <cellStyle name="Note 35 2 5 2" xfId="17860" xr:uid="{00000000-0005-0000-0000-0000B35B0000}"/>
    <cellStyle name="Note 35 2 6" xfId="15866" xr:uid="{00000000-0005-0000-0000-0000B45B0000}"/>
    <cellStyle name="Note 35 3" xfId="11557" xr:uid="{00000000-0005-0000-0000-0000B55B0000}"/>
    <cellStyle name="Note 35 3 2" xfId="22845" xr:uid="{00000000-0005-0000-0000-0000B65B0000}"/>
    <cellStyle name="Note 35 4" xfId="9563" xr:uid="{00000000-0005-0000-0000-0000B75B0000}"/>
    <cellStyle name="Note 35 4 2" xfId="20851" xr:uid="{00000000-0005-0000-0000-0000B85B0000}"/>
    <cellStyle name="Note 35 5" xfId="7569" xr:uid="{00000000-0005-0000-0000-0000B95B0000}"/>
    <cellStyle name="Note 35 5 2" xfId="18857" xr:uid="{00000000-0005-0000-0000-0000BA5B0000}"/>
    <cellStyle name="Note 35 6" xfId="5575" xr:uid="{00000000-0005-0000-0000-0000BB5B0000}"/>
    <cellStyle name="Note 35 6 2" xfId="16863" xr:uid="{00000000-0005-0000-0000-0000BC5B0000}"/>
    <cellStyle name="Note 35 7" xfId="14869" xr:uid="{00000000-0005-0000-0000-0000BD5B0000}"/>
    <cellStyle name="Note 35 8" xfId="13553" xr:uid="{00000000-0005-0000-0000-0000BE5B0000}"/>
    <cellStyle name="Note 36" xfId="3342" xr:uid="{00000000-0005-0000-0000-0000BF5B0000}"/>
    <cellStyle name="Note 36 2" xfId="4576" xr:uid="{00000000-0005-0000-0000-0000C05B0000}"/>
    <cellStyle name="Note 36 2 2" xfId="12555" xr:uid="{00000000-0005-0000-0000-0000C15B0000}"/>
    <cellStyle name="Note 36 2 2 2" xfId="23843" xr:uid="{00000000-0005-0000-0000-0000C25B0000}"/>
    <cellStyle name="Note 36 2 3" xfId="10561" xr:uid="{00000000-0005-0000-0000-0000C35B0000}"/>
    <cellStyle name="Note 36 2 3 2" xfId="21849" xr:uid="{00000000-0005-0000-0000-0000C45B0000}"/>
    <cellStyle name="Note 36 2 4" xfId="8567" xr:uid="{00000000-0005-0000-0000-0000C55B0000}"/>
    <cellStyle name="Note 36 2 4 2" xfId="19855" xr:uid="{00000000-0005-0000-0000-0000C65B0000}"/>
    <cellStyle name="Note 36 2 5" xfId="6573" xr:uid="{00000000-0005-0000-0000-0000C75B0000}"/>
    <cellStyle name="Note 36 2 5 2" xfId="17861" xr:uid="{00000000-0005-0000-0000-0000C85B0000}"/>
    <cellStyle name="Note 36 2 6" xfId="15867" xr:uid="{00000000-0005-0000-0000-0000C95B0000}"/>
    <cellStyle name="Note 36 3" xfId="11558" xr:uid="{00000000-0005-0000-0000-0000CA5B0000}"/>
    <cellStyle name="Note 36 3 2" xfId="22846" xr:uid="{00000000-0005-0000-0000-0000CB5B0000}"/>
    <cellStyle name="Note 36 4" xfId="9564" xr:uid="{00000000-0005-0000-0000-0000CC5B0000}"/>
    <cellStyle name="Note 36 4 2" xfId="20852" xr:uid="{00000000-0005-0000-0000-0000CD5B0000}"/>
    <cellStyle name="Note 36 5" xfId="7570" xr:uid="{00000000-0005-0000-0000-0000CE5B0000}"/>
    <cellStyle name="Note 36 5 2" xfId="18858" xr:uid="{00000000-0005-0000-0000-0000CF5B0000}"/>
    <cellStyle name="Note 36 6" xfId="5576" xr:uid="{00000000-0005-0000-0000-0000D05B0000}"/>
    <cellStyle name="Note 36 6 2" xfId="16864" xr:uid="{00000000-0005-0000-0000-0000D15B0000}"/>
    <cellStyle name="Note 36 7" xfId="14870" xr:uid="{00000000-0005-0000-0000-0000D25B0000}"/>
    <cellStyle name="Note 36 8" xfId="13554" xr:uid="{00000000-0005-0000-0000-0000D35B0000}"/>
    <cellStyle name="Note 37" xfId="3343" xr:uid="{00000000-0005-0000-0000-0000D45B0000}"/>
    <cellStyle name="Note 37 2" xfId="4577" xr:uid="{00000000-0005-0000-0000-0000D55B0000}"/>
    <cellStyle name="Note 37 2 2" xfId="12556" xr:uid="{00000000-0005-0000-0000-0000D65B0000}"/>
    <cellStyle name="Note 37 2 2 2" xfId="23844" xr:uid="{00000000-0005-0000-0000-0000D75B0000}"/>
    <cellStyle name="Note 37 2 3" xfId="10562" xr:uid="{00000000-0005-0000-0000-0000D85B0000}"/>
    <cellStyle name="Note 37 2 3 2" xfId="21850" xr:uid="{00000000-0005-0000-0000-0000D95B0000}"/>
    <cellStyle name="Note 37 2 4" xfId="8568" xr:uid="{00000000-0005-0000-0000-0000DA5B0000}"/>
    <cellStyle name="Note 37 2 4 2" xfId="19856" xr:uid="{00000000-0005-0000-0000-0000DB5B0000}"/>
    <cellStyle name="Note 37 2 5" xfId="6574" xr:uid="{00000000-0005-0000-0000-0000DC5B0000}"/>
    <cellStyle name="Note 37 2 5 2" xfId="17862" xr:uid="{00000000-0005-0000-0000-0000DD5B0000}"/>
    <cellStyle name="Note 37 2 6" xfId="15868" xr:uid="{00000000-0005-0000-0000-0000DE5B0000}"/>
    <cellStyle name="Note 37 3" xfId="11559" xr:uid="{00000000-0005-0000-0000-0000DF5B0000}"/>
    <cellStyle name="Note 37 3 2" xfId="22847" xr:uid="{00000000-0005-0000-0000-0000E05B0000}"/>
    <cellStyle name="Note 37 4" xfId="9565" xr:uid="{00000000-0005-0000-0000-0000E15B0000}"/>
    <cellStyle name="Note 37 4 2" xfId="20853" xr:uid="{00000000-0005-0000-0000-0000E25B0000}"/>
    <cellStyle name="Note 37 5" xfId="7571" xr:uid="{00000000-0005-0000-0000-0000E35B0000}"/>
    <cellStyle name="Note 37 5 2" xfId="18859" xr:uid="{00000000-0005-0000-0000-0000E45B0000}"/>
    <cellStyle name="Note 37 6" xfId="5577" xr:uid="{00000000-0005-0000-0000-0000E55B0000}"/>
    <cellStyle name="Note 37 6 2" xfId="16865" xr:uid="{00000000-0005-0000-0000-0000E65B0000}"/>
    <cellStyle name="Note 37 7" xfId="14871" xr:uid="{00000000-0005-0000-0000-0000E75B0000}"/>
    <cellStyle name="Note 37 8" xfId="13555" xr:uid="{00000000-0005-0000-0000-0000E85B0000}"/>
    <cellStyle name="Note 38" xfId="3344" xr:uid="{00000000-0005-0000-0000-0000E95B0000}"/>
    <cellStyle name="Note 38 2" xfId="4578" xr:uid="{00000000-0005-0000-0000-0000EA5B0000}"/>
    <cellStyle name="Note 38 2 2" xfId="12557" xr:uid="{00000000-0005-0000-0000-0000EB5B0000}"/>
    <cellStyle name="Note 38 2 2 2" xfId="23845" xr:uid="{00000000-0005-0000-0000-0000EC5B0000}"/>
    <cellStyle name="Note 38 2 3" xfId="10563" xr:uid="{00000000-0005-0000-0000-0000ED5B0000}"/>
    <cellStyle name="Note 38 2 3 2" xfId="21851" xr:uid="{00000000-0005-0000-0000-0000EE5B0000}"/>
    <cellStyle name="Note 38 2 4" xfId="8569" xr:uid="{00000000-0005-0000-0000-0000EF5B0000}"/>
    <cellStyle name="Note 38 2 4 2" xfId="19857" xr:uid="{00000000-0005-0000-0000-0000F05B0000}"/>
    <cellStyle name="Note 38 2 5" xfId="6575" xr:uid="{00000000-0005-0000-0000-0000F15B0000}"/>
    <cellStyle name="Note 38 2 5 2" xfId="17863" xr:uid="{00000000-0005-0000-0000-0000F25B0000}"/>
    <cellStyle name="Note 38 2 6" xfId="15869" xr:uid="{00000000-0005-0000-0000-0000F35B0000}"/>
    <cellStyle name="Note 38 3" xfId="11560" xr:uid="{00000000-0005-0000-0000-0000F45B0000}"/>
    <cellStyle name="Note 38 3 2" xfId="22848" xr:uid="{00000000-0005-0000-0000-0000F55B0000}"/>
    <cellStyle name="Note 38 4" xfId="9566" xr:uid="{00000000-0005-0000-0000-0000F65B0000}"/>
    <cellStyle name="Note 38 4 2" xfId="20854" xr:uid="{00000000-0005-0000-0000-0000F75B0000}"/>
    <cellStyle name="Note 38 5" xfId="7572" xr:uid="{00000000-0005-0000-0000-0000F85B0000}"/>
    <cellStyle name="Note 38 5 2" xfId="18860" xr:uid="{00000000-0005-0000-0000-0000F95B0000}"/>
    <cellStyle name="Note 38 6" xfId="5578" xr:uid="{00000000-0005-0000-0000-0000FA5B0000}"/>
    <cellStyle name="Note 38 6 2" xfId="16866" xr:uid="{00000000-0005-0000-0000-0000FB5B0000}"/>
    <cellStyle name="Note 38 7" xfId="14872" xr:uid="{00000000-0005-0000-0000-0000FC5B0000}"/>
    <cellStyle name="Note 38 8" xfId="13556" xr:uid="{00000000-0005-0000-0000-0000FD5B0000}"/>
    <cellStyle name="Note 39" xfId="3345" xr:uid="{00000000-0005-0000-0000-0000FE5B0000}"/>
    <cellStyle name="Note 39 2" xfId="4579" xr:uid="{00000000-0005-0000-0000-0000FF5B0000}"/>
    <cellStyle name="Note 39 2 2" xfId="12558" xr:uid="{00000000-0005-0000-0000-0000005C0000}"/>
    <cellStyle name="Note 39 2 2 2" xfId="23846" xr:uid="{00000000-0005-0000-0000-0000015C0000}"/>
    <cellStyle name="Note 39 2 3" xfId="10564" xr:uid="{00000000-0005-0000-0000-0000025C0000}"/>
    <cellStyle name="Note 39 2 3 2" xfId="21852" xr:uid="{00000000-0005-0000-0000-0000035C0000}"/>
    <cellStyle name="Note 39 2 4" xfId="8570" xr:uid="{00000000-0005-0000-0000-0000045C0000}"/>
    <cellStyle name="Note 39 2 4 2" xfId="19858" xr:uid="{00000000-0005-0000-0000-0000055C0000}"/>
    <cellStyle name="Note 39 2 5" xfId="6576" xr:uid="{00000000-0005-0000-0000-0000065C0000}"/>
    <cellStyle name="Note 39 2 5 2" xfId="17864" xr:uid="{00000000-0005-0000-0000-0000075C0000}"/>
    <cellStyle name="Note 39 2 6" xfId="15870" xr:uid="{00000000-0005-0000-0000-0000085C0000}"/>
    <cellStyle name="Note 39 3" xfId="11561" xr:uid="{00000000-0005-0000-0000-0000095C0000}"/>
    <cellStyle name="Note 39 3 2" xfId="22849" xr:uid="{00000000-0005-0000-0000-00000A5C0000}"/>
    <cellStyle name="Note 39 4" xfId="9567" xr:uid="{00000000-0005-0000-0000-00000B5C0000}"/>
    <cellStyle name="Note 39 4 2" xfId="20855" xr:uid="{00000000-0005-0000-0000-00000C5C0000}"/>
    <cellStyle name="Note 39 5" xfId="7573" xr:uid="{00000000-0005-0000-0000-00000D5C0000}"/>
    <cellStyle name="Note 39 5 2" xfId="18861" xr:uid="{00000000-0005-0000-0000-00000E5C0000}"/>
    <cellStyle name="Note 39 6" xfId="5579" xr:uid="{00000000-0005-0000-0000-00000F5C0000}"/>
    <cellStyle name="Note 39 6 2" xfId="16867" xr:uid="{00000000-0005-0000-0000-0000105C0000}"/>
    <cellStyle name="Note 39 7" xfId="14873" xr:uid="{00000000-0005-0000-0000-0000115C0000}"/>
    <cellStyle name="Note 39 8" xfId="13557" xr:uid="{00000000-0005-0000-0000-0000125C0000}"/>
    <cellStyle name="Note 4" xfId="3346" xr:uid="{00000000-0005-0000-0000-0000135C0000}"/>
    <cellStyle name="Note 4 10" xfId="25076" xr:uid="{00000000-0005-0000-0000-0000145C0000}"/>
    <cellStyle name="Note 4 10 2" xfId="25421" xr:uid="{00000000-0005-0000-0000-0000155C0000}"/>
    <cellStyle name="Note 4 10 3" xfId="25680" xr:uid="{00000000-0005-0000-0000-0000165C0000}"/>
    <cellStyle name="Note 4 2" xfId="4580" xr:uid="{00000000-0005-0000-0000-0000175C0000}"/>
    <cellStyle name="Note 4 2 2" xfId="12559" xr:uid="{00000000-0005-0000-0000-0000185C0000}"/>
    <cellStyle name="Note 4 2 2 2" xfId="23847" xr:uid="{00000000-0005-0000-0000-0000195C0000}"/>
    <cellStyle name="Note 4 2 3" xfId="10565" xr:uid="{00000000-0005-0000-0000-00001A5C0000}"/>
    <cellStyle name="Note 4 2 3 2" xfId="21853" xr:uid="{00000000-0005-0000-0000-00001B5C0000}"/>
    <cellStyle name="Note 4 2 4" xfId="8571" xr:uid="{00000000-0005-0000-0000-00001C5C0000}"/>
    <cellStyle name="Note 4 2 4 2" xfId="19859" xr:uid="{00000000-0005-0000-0000-00001D5C0000}"/>
    <cellStyle name="Note 4 2 5" xfId="6577" xr:uid="{00000000-0005-0000-0000-00001E5C0000}"/>
    <cellStyle name="Note 4 2 5 2" xfId="17865" xr:uid="{00000000-0005-0000-0000-00001F5C0000}"/>
    <cellStyle name="Note 4 2 6" xfId="15871" xr:uid="{00000000-0005-0000-0000-0000205C0000}"/>
    <cellStyle name="Note 4 3" xfId="11562" xr:uid="{00000000-0005-0000-0000-0000215C0000}"/>
    <cellStyle name="Note 4 3 2" xfId="22850" xr:uid="{00000000-0005-0000-0000-0000225C0000}"/>
    <cellStyle name="Note 4 4" xfId="9568" xr:uid="{00000000-0005-0000-0000-0000235C0000}"/>
    <cellStyle name="Note 4 4 2" xfId="20856" xr:uid="{00000000-0005-0000-0000-0000245C0000}"/>
    <cellStyle name="Note 4 5" xfId="7574" xr:uid="{00000000-0005-0000-0000-0000255C0000}"/>
    <cellStyle name="Note 4 5 2" xfId="18862" xr:uid="{00000000-0005-0000-0000-0000265C0000}"/>
    <cellStyle name="Note 4 6" xfId="5580" xr:uid="{00000000-0005-0000-0000-0000275C0000}"/>
    <cellStyle name="Note 4 6 2" xfId="16868" xr:uid="{00000000-0005-0000-0000-0000285C0000}"/>
    <cellStyle name="Note 4 7" xfId="14874" xr:uid="{00000000-0005-0000-0000-0000295C0000}"/>
    <cellStyle name="Note 4 8" xfId="13558" xr:uid="{00000000-0005-0000-0000-00002A5C0000}"/>
    <cellStyle name="Note 4 9" xfId="24192" xr:uid="{00000000-0005-0000-0000-00002B5C0000}"/>
    <cellStyle name="Note 4 9 2" xfId="25343" xr:uid="{00000000-0005-0000-0000-00002C5C0000}"/>
    <cellStyle name="Note 4 9 3" xfId="25567" xr:uid="{00000000-0005-0000-0000-00002D5C0000}"/>
    <cellStyle name="Note 40" xfId="3347" xr:uid="{00000000-0005-0000-0000-00002E5C0000}"/>
    <cellStyle name="Note 40 2" xfId="4581" xr:uid="{00000000-0005-0000-0000-00002F5C0000}"/>
    <cellStyle name="Note 40 2 2" xfId="12560" xr:uid="{00000000-0005-0000-0000-0000305C0000}"/>
    <cellStyle name="Note 40 2 2 2" xfId="23848" xr:uid="{00000000-0005-0000-0000-0000315C0000}"/>
    <cellStyle name="Note 40 2 3" xfId="10566" xr:uid="{00000000-0005-0000-0000-0000325C0000}"/>
    <cellStyle name="Note 40 2 3 2" xfId="21854" xr:uid="{00000000-0005-0000-0000-0000335C0000}"/>
    <cellStyle name="Note 40 2 4" xfId="8572" xr:uid="{00000000-0005-0000-0000-0000345C0000}"/>
    <cellStyle name="Note 40 2 4 2" xfId="19860" xr:uid="{00000000-0005-0000-0000-0000355C0000}"/>
    <cellStyle name="Note 40 2 5" xfId="6578" xr:uid="{00000000-0005-0000-0000-0000365C0000}"/>
    <cellStyle name="Note 40 2 5 2" xfId="17866" xr:uid="{00000000-0005-0000-0000-0000375C0000}"/>
    <cellStyle name="Note 40 2 6" xfId="15872" xr:uid="{00000000-0005-0000-0000-0000385C0000}"/>
    <cellStyle name="Note 40 3" xfId="11563" xr:uid="{00000000-0005-0000-0000-0000395C0000}"/>
    <cellStyle name="Note 40 3 2" xfId="22851" xr:uid="{00000000-0005-0000-0000-00003A5C0000}"/>
    <cellStyle name="Note 40 4" xfId="9569" xr:uid="{00000000-0005-0000-0000-00003B5C0000}"/>
    <cellStyle name="Note 40 4 2" xfId="20857" xr:uid="{00000000-0005-0000-0000-00003C5C0000}"/>
    <cellStyle name="Note 40 5" xfId="7575" xr:uid="{00000000-0005-0000-0000-00003D5C0000}"/>
    <cellStyle name="Note 40 5 2" xfId="18863" xr:uid="{00000000-0005-0000-0000-00003E5C0000}"/>
    <cellStyle name="Note 40 6" xfId="5581" xr:uid="{00000000-0005-0000-0000-00003F5C0000}"/>
    <cellStyle name="Note 40 6 2" xfId="16869" xr:uid="{00000000-0005-0000-0000-0000405C0000}"/>
    <cellStyle name="Note 40 7" xfId="14875" xr:uid="{00000000-0005-0000-0000-0000415C0000}"/>
    <cellStyle name="Note 40 8" xfId="13559" xr:uid="{00000000-0005-0000-0000-0000425C0000}"/>
    <cellStyle name="Note 41" xfId="3348" xr:uid="{00000000-0005-0000-0000-0000435C0000}"/>
    <cellStyle name="Note 41 2" xfId="4582" xr:uid="{00000000-0005-0000-0000-0000445C0000}"/>
    <cellStyle name="Note 41 2 2" xfId="12561" xr:uid="{00000000-0005-0000-0000-0000455C0000}"/>
    <cellStyle name="Note 41 2 2 2" xfId="23849" xr:uid="{00000000-0005-0000-0000-0000465C0000}"/>
    <cellStyle name="Note 41 2 3" xfId="10567" xr:uid="{00000000-0005-0000-0000-0000475C0000}"/>
    <cellStyle name="Note 41 2 3 2" xfId="21855" xr:uid="{00000000-0005-0000-0000-0000485C0000}"/>
    <cellStyle name="Note 41 2 4" xfId="8573" xr:uid="{00000000-0005-0000-0000-0000495C0000}"/>
    <cellStyle name="Note 41 2 4 2" xfId="19861" xr:uid="{00000000-0005-0000-0000-00004A5C0000}"/>
    <cellStyle name="Note 41 2 5" xfId="6579" xr:uid="{00000000-0005-0000-0000-00004B5C0000}"/>
    <cellStyle name="Note 41 2 5 2" xfId="17867" xr:uid="{00000000-0005-0000-0000-00004C5C0000}"/>
    <cellStyle name="Note 41 2 6" xfId="15873" xr:uid="{00000000-0005-0000-0000-00004D5C0000}"/>
    <cellStyle name="Note 41 3" xfId="11564" xr:uid="{00000000-0005-0000-0000-00004E5C0000}"/>
    <cellStyle name="Note 41 3 2" xfId="22852" xr:uid="{00000000-0005-0000-0000-00004F5C0000}"/>
    <cellStyle name="Note 41 4" xfId="9570" xr:uid="{00000000-0005-0000-0000-0000505C0000}"/>
    <cellStyle name="Note 41 4 2" xfId="20858" xr:uid="{00000000-0005-0000-0000-0000515C0000}"/>
    <cellStyle name="Note 41 5" xfId="7576" xr:uid="{00000000-0005-0000-0000-0000525C0000}"/>
    <cellStyle name="Note 41 5 2" xfId="18864" xr:uid="{00000000-0005-0000-0000-0000535C0000}"/>
    <cellStyle name="Note 41 6" xfId="5582" xr:uid="{00000000-0005-0000-0000-0000545C0000}"/>
    <cellStyle name="Note 41 6 2" xfId="16870" xr:uid="{00000000-0005-0000-0000-0000555C0000}"/>
    <cellStyle name="Note 41 7" xfId="14876" xr:uid="{00000000-0005-0000-0000-0000565C0000}"/>
    <cellStyle name="Note 41 8" xfId="13560" xr:uid="{00000000-0005-0000-0000-0000575C0000}"/>
    <cellStyle name="Note 42" xfId="3349" xr:uid="{00000000-0005-0000-0000-0000585C0000}"/>
    <cellStyle name="Note 42 2" xfId="4583" xr:uid="{00000000-0005-0000-0000-0000595C0000}"/>
    <cellStyle name="Note 42 2 2" xfId="12562" xr:uid="{00000000-0005-0000-0000-00005A5C0000}"/>
    <cellStyle name="Note 42 2 2 2" xfId="23850" xr:uid="{00000000-0005-0000-0000-00005B5C0000}"/>
    <cellStyle name="Note 42 2 3" xfId="10568" xr:uid="{00000000-0005-0000-0000-00005C5C0000}"/>
    <cellStyle name="Note 42 2 3 2" xfId="21856" xr:uid="{00000000-0005-0000-0000-00005D5C0000}"/>
    <cellStyle name="Note 42 2 4" xfId="8574" xr:uid="{00000000-0005-0000-0000-00005E5C0000}"/>
    <cellStyle name="Note 42 2 4 2" xfId="19862" xr:uid="{00000000-0005-0000-0000-00005F5C0000}"/>
    <cellStyle name="Note 42 2 5" xfId="6580" xr:uid="{00000000-0005-0000-0000-0000605C0000}"/>
    <cellStyle name="Note 42 2 5 2" xfId="17868" xr:uid="{00000000-0005-0000-0000-0000615C0000}"/>
    <cellStyle name="Note 42 2 6" xfId="15874" xr:uid="{00000000-0005-0000-0000-0000625C0000}"/>
    <cellStyle name="Note 42 3" xfId="11565" xr:uid="{00000000-0005-0000-0000-0000635C0000}"/>
    <cellStyle name="Note 42 3 2" xfId="22853" xr:uid="{00000000-0005-0000-0000-0000645C0000}"/>
    <cellStyle name="Note 42 4" xfId="9571" xr:uid="{00000000-0005-0000-0000-0000655C0000}"/>
    <cellStyle name="Note 42 4 2" xfId="20859" xr:uid="{00000000-0005-0000-0000-0000665C0000}"/>
    <cellStyle name="Note 42 5" xfId="7577" xr:uid="{00000000-0005-0000-0000-0000675C0000}"/>
    <cellStyle name="Note 42 5 2" xfId="18865" xr:uid="{00000000-0005-0000-0000-0000685C0000}"/>
    <cellStyle name="Note 42 6" xfId="5583" xr:uid="{00000000-0005-0000-0000-0000695C0000}"/>
    <cellStyle name="Note 42 6 2" xfId="16871" xr:uid="{00000000-0005-0000-0000-00006A5C0000}"/>
    <cellStyle name="Note 42 7" xfId="14877" xr:uid="{00000000-0005-0000-0000-00006B5C0000}"/>
    <cellStyle name="Note 42 8" xfId="13561" xr:uid="{00000000-0005-0000-0000-00006C5C0000}"/>
    <cellStyle name="Note 43" xfId="3350" xr:uid="{00000000-0005-0000-0000-00006D5C0000}"/>
    <cellStyle name="Note 43 2" xfId="4584" xr:uid="{00000000-0005-0000-0000-00006E5C0000}"/>
    <cellStyle name="Note 43 2 2" xfId="12563" xr:uid="{00000000-0005-0000-0000-00006F5C0000}"/>
    <cellStyle name="Note 43 2 2 2" xfId="23851" xr:uid="{00000000-0005-0000-0000-0000705C0000}"/>
    <cellStyle name="Note 43 2 3" xfId="10569" xr:uid="{00000000-0005-0000-0000-0000715C0000}"/>
    <cellStyle name="Note 43 2 3 2" xfId="21857" xr:uid="{00000000-0005-0000-0000-0000725C0000}"/>
    <cellStyle name="Note 43 2 4" xfId="8575" xr:uid="{00000000-0005-0000-0000-0000735C0000}"/>
    <cellStyle name="Note 43 2 4 2" xfId="19863" xr:uid="{00000000-0005-0000-0000-0000745C0000}"/>
    <cellStyle name="Note 43 2 5" xfId="6581" xr:uid="{00000000-0005-0000-0000-0000755C0000}"/>
    <cellStyle name="Note 43 2 5 2" xfId="17869" xr:uid="{00000000-0005-0000-0000-0000765C0000}"/>
    <cellStyle name="Note 43 2 6" xfId="15875" xr:uid="{00000000-0005-0000-0000-0000775C0000}"/>
    <cellStyle name="Note 43 3" xfId="11566" xr:uid="{00000000-0005-0000-0000-0000785C0000}"/>
    <cellStyle name="Note 43 3 2" xfId="22854" xr:uid="{00000000-0005-0000-0000-0000795C0000}"/>
    <cellStyle name="Note 43 4" xfId="9572" xr:uid="{00000000-0005-0000-0000-00007A5C0000}"/>
    <cellStyle name="Note 43 4 2" xfId="20860" xr:uid="{00000000-0005-0000-0000-00007B5C0000}"/>
    <cellStyle name="Note 43 5" xfId="7578" xr:uid="{00000000-0005-0000-0000-00007C5C0000}"/>
    <cellStyle name="Note 43 5 2" xfId="18866" xr:uid="{00000000-0005-0000-0000-00007D5C0000}"/>
    <cellStyle name="Note 43 6" xfId="5584" xr:uid="{00000000-0005-0000-0000-00007E5C0000}"/>
    <cellStyle name="Note 43 6 2" xfId="16872" xr:uid="{00000000-0005-0000-0000-00007F5C0000}"/>
    <cellStyle name="Note 43 7" xfId="14878" xr:uid="{00000000-0005-0000-0000-0000805C0000}"/>
    <cellStyle name="Note 43 8" xfId="13562" xr:uid="{00000000-0005-0000-0000-0000815C0000}"/>
    <cellStyle name="Note 44" xfId="3351" xr:uid="{00000000-0005-0000-0000-0000825C0000}"/>
    <cellStyle name="Note 44 2" xfId="4585" xr:uid="{00000000-0005-0000-0000-0000835C0000}"/>
    <cellStyle name="Note 44 2 2" xfId="12564" xr:uid="{00000000-0005-0000-0000-0000845C0000}"/>
    <cellStyle name="Note 44 2 2 2" xfId="23852" xr:uid="{00000000-0005-0000-0000-0000855C0000}"/>
    <cellStyle name="Note 44 2 3" xfId="10570" xr:uid="{00000000-0005-0000-0000-0000865C0000}"/>
    <cellStyle name="Note 44 2 3 2" xfId="21858" xr:uid="{00000000-0005-0000-0000-0000875C0000}"/>
    <cellStyle name="Note 44 2 4" xfId="8576" xr:uid="{00000000-0005-0000-0000-0000885C0000}"/>
    <cellStyle name="Note 44 2 4 2" xfId="19864" xr:uid="{00000000-0005-0000-0000-0000895C0000}"/>
    <cellStyle name="Note 44 2 5" xfId="6582" xr:uid="{00000000-0005-0000-0000-00008A5C0000}"/>
    <cellStyle name="Note 44 2 5 2" xfId="17870" xr:uid="{00000000-0005-0000-0000-00008B5C0000}"/>
    <cellStyle name="Note 44 2 6" xfId="15876" xr:uid="{00000000-0005-0000-0000-00008C5C0000}"/>
    <cellStyle name="Note 44 3" xfId="11567" xr:uid="{00000000-0005-0000-0000-00008D5C0000}"/>
    <cellStyle name="Note 44 3 2" xfId="22855" xr:uid="{00000000-0005-0000-0000-00008E5C0000}"/>
    <cellStyle name="Note 44 4" xfId="9573" xr:uid="{00000000-0005-0000-0000-00008F5C0000}"/>
    <cellStyle name="Note 44 4 2" xfId="20861" xr:uid="{00000000-0005-0000-0000-0000905C0000}"/>
    <cellStyle name="Note 44 5" xfId="7579" xr:uid="{00000000-0005-0000-0000-0000915C0000}"/>
    <cellStyle name="Note 44 5 2" xfId="18867" xr:uid="{00000000-0005-0000-0000-0000925C0000}"/>
    <cellStyle name="Note 44 6" xfId="5585" xr:uid="{00000000-0005-0000-0000-0000935C0000}"/>
    <cellStyle name="Note 44 6 2" xfId="16873" xr:uid="{00000000-0005-0000-0000-0000945C0000}"/>
    <cellStyle name="Note 44 7" xfId="14879" xr:uid="{00000000-0005-0000-0000-0000955C0000}"/>
    <cellStyle name="Note 44 8" xfId="13563" xr:uid="{00000000-0005-0000-0000-0000965C0000}"/>
    <cellStyle name="Note 45" xfId="3352" xr:uid="{00000000-0005-0000-0000-0000975C0000}"/>
    <cellStyle name="Note 45 2" xfId="4586" xr:uid="{00000000-0005-0000-0000-0000985C0000}"/>
    <cellStyle name="Note 45 2 2" xfId="12565" xr:uid="{00000000-0005-0000-0000-0000995C0000}"/>
    <cellStyle name="Note 45 2 2 2" xfId="23853" xr:uid="{00000000-0005-0000-0000-00009A5C0000}"/>
    <cellStyle name="Note 45 2 3" xfId="10571" xr:uid="{00000000-0005-0000-0000-00009B5C0000}"/>
    <cellStyle name="Note 45 2 3 2" xfId="21859" xr:uid="{00000000-0005-0000-0000-00009C5C0000}"/>
    <cellStyle name="Note 45 2 4" xfId="8577" xr:uid="{00000000-0005-0000-0000-00009D5C0000}"/>
    <cellStyle name="Note 45 2 4 2" xfId="19865" xr:uid="{00000000-0005-0000-0000-00009E5C0000}"/>
    <cellStyle name="Note 45 2 5" xfId="6583" xr:uid="{00000000-0005-0000-0000-00009F5C0000}"/>
    <cellStyle name="Note 45 2 5 2" xfId="17871" xr:uid="{00000000-0005-0000-0000-0000A05C0000}"/>
    <cellStyle name="Note 45 2 6" xfId="15877" xr:uid="{00000000-0005-0000-0000-0000A15C0000}"/>
    <cellStyle name="Note 45 3" xfId="11568" xr:uid="{00000000-0005-0000-0000-0000A25C0000}"/>
    <cellStyle name="Note 45 3 2" xfId="22856" xr:uid="{00000000-0005-0000-0000-0000A35C0000}"/>
    <cellStyle name="Note 45 4" xfId="9574" xr:uid="{00000000-0005-0000-0000-0000A45C0000}"/>
    <cellStyle name="Note 45 4 2" xfId="20862" xr:uid="{00000000-0005-0000-0000-0000A55C0000}"/>
    <cellStyle name="Note 45 5" xfId="7580" xr:uid="{00000000-0005-0000-0000-0000A65C0000}"/>
    <cellStyle name="Note 45 5 2" xfId="18868" xr:uid="{00000000-0005-0000-0000-0000A75C0000}"/>
    <cellStyle name="Note 45 6" xfId="5586" xr:uid="{00000000-0005-0000-0000-0000A85C0000}"/>
    <cellStyle name="Note 45 6 2" xfId="16874" xr:uid="{00000000-0005-0000-0000-0000A95C0000}"/>
    <cellStyle name="Note 45 7" xfId="14880" xr:uid="{00000000-0005-0000-0000-0000AA5C0000}"/>
    <cellStyle name="Note 45 8" xfId="13564" xr:uid="{00000000-0005-0000-0000-0000AB5C0000}"/>
    <cellStyle name="Note 46" xfId="3353" xr:uid="{00000000-0005-0000-0000-0000AC5C0000}"/>
    <cellStyle name="Note 46 2" xfId="4587" xr:uid="{00000000-0005-0000-0000-0000AD5C0000}"/>
    <cellStyle name="Note 46 2 2" xfId="12566" xr:uid="{00000000-0005-0000-0000-0000AE5C0000}"/>
    <cellStyle name="Note 46 2 2 2" xfId="23854" xr:uid="{00000000-0005-0000-0000-0000AF5C0000}"/>
    <cellStyle name="Note 46 2 3" xfId="10572" xr:uid="{00000000-0005-0000-0000-0000B05C0000}"/>
    <cellStyle name="Note 46 2 3 2" xfId="21860" xr:uid="{00000000-0005-0000-0000-0000B15C0000}"/>
    <cellStyle name="Note 46 2 4" xfId="8578" xr:uid="{00000000-0005-0000-0000-0000B25C0000}"/>
    <cellStyle name="Note 46 2 4 2" xfId="19866" xr:uid="{00000000-0005-0000-0000-0000B35C0000}"/>
    <cellStyle name="Note 46 2 5" xfId="6584" xr:uid="{00000000-0005-0000-0000-0000B45C0000}"/>
    <cellStyle name="Note 46 2 5 2" xfId="17872" xr:uid="{00000000-0005-0000-0000-0000B55C0000}"/>
    <cellStyle name="Note 46 2 6" xfId="15878" xr:uid="{00000000-0005-0000-0000-0000B65C0000}"/>
    <cellStyle name="Note 46 3" xfId="11569" xr:uid="{00000000-0005-0000-0000-0000B75C0000}"/>
    <cellStyle name="Note 46 3 2" xfId="22857" xr:uid="{00000000-0005-0000-0000-0000B85C0000}"/>
    <cellStyle name="Note 46 4" xfId="9575" xr:uid="{00000000-0005-0000-0000-0000B95C0000}"/>
    <cellStyle name="Note 46 4 2" xfId="20863" xr:uid="{00000000-0005-0000-0000-0000BA5C0000}"/>
    <cellStyle name="Note 46 5" xfId="7581" xr:uid="{00000000-0005-0000-0000-0000BB5C0000}"/>
    <cellStyle name="Note 46 5 2" xfId="18869" xr:uid="{00000000-0005-0000-0000-0000BC5C0000}"/>
    <cellStyle name="Note 46 6" xfId="5587" xr:uid="{00000000-0005-0000-0000-0000BD5C0000}"/>
    <cellStyle name="Note 46 6 2" xfId="16875" xr:uid="{00000000-0005-0000-0000-0000BE5C0000}"/>
    <cellStyle name="Note 46 7" xfId="14881" xr:uid="{00000000-0005-0000-0000-0000BF5C0000}"/>
    <cellStyle name="Note 46 8" xfId="13565" xr:uid="{00000000-0005-0000-0000-0000C05C0000}"/>
    <cellStyle name="Note 47" xfId="3354" xr:uid="{00000000-0005-0000-0000-0000C15C0000}"/>
    <cellStyle name="Note 47 2" xfId="4588" xr:uid="{00000000-0005-0000-0000-0000C25C0000}"/>
    <cellStyle name="Note 47 2 2" xfId="12567" xr:uid="{00000000-0005-0000-0000-0000C35C0000}"/>
    <cellStyle name="Note 47 2 2 2" xfId="23855" xr:uid="{00000000-0005-0000-0000-0000C45C0000}"/>
    <cellStyle name="Note 47 2 3" xfId="10573" xr:uid="{00000000-0005-0000-0000-0000C55C0000}"/>
    <cellStyle name="Note 47 2 3 2" xfId="21861" xr:uid="{00000000-0005-0000-0000-0000C65C0000}"/>
    <cellStyle name="Note 47 2 4" xfId="8579" xr:uid="{00000000-0005-0000-0000-0000C75C0000}"/>
    <cellStyle name="Note 47 2 4 2" xfId="19867" xr:uid="{00000000-0005-0000-0000-0000C85C0000}"/>
    <cellStyle name="Note 47 2 5" xfId="6585" xr:uid="{00000000-0005-0000-0000-0000C95C0000}"/>
    <cellStyle name="Note 47 2 5 2" xfId="17873" xr:uid="{00000000-0005-0000-0000-0000CA5C0000}"/>
    <cellStyle name="Note 47 2 6" xfId="15879" xr:uid="{00000000-0005-0000-0000-0000CB5C0000}"/>
    <cellStyle name="Note 47 3" xfId="11570" xr:uid="{00000000-0005-0000-0000-0000CC5C0000}"/>
    <cellStyle name="Note 47 3 2" xfId="22858" xr:uid="{00000000-0005-0000-0000-0000CD5C0000}"/>
    <cellStyle name="Note 47 4" xfId="9576" xr:uid="{00000000-0005-0000-0000-0000CE5C0000}"/>
    <cellStyle name="Note 47 4 2" xfId="20864" xr:uid="{00000000-0005-0000-0000-0000CF5C0000}"/>
    <cellStyle name="Note 47 5" xfId="7582" xr:uid="{00000000-0005-0000-0000-0000D05C0000}"/>
    <cellStyle name="Note 47 5 2" xfId="18870" xr:uid="{00000000-0005-0000-0000-0000D15C0000}"/>
    <cellStyle name="Note 47 6" xfId="5588" xr:uid="{00000000-0005-0000-0000-0000D25C0000}"/>
    <cellStyle name="Note 47 6 2" xfId="16876" xr:uid="{00000000-0005-0000-0000-0000D35C0000}"/>
    <cellStyle name="Note 47 7" xfId="14882" xr:uid="{00000000-0005-0000-0000-0000D45C0000}"/>
    <cellStyle name="Note 47 8" xfId="13566" xr:uid="{00000000-0005-0000-0000-0000D55C0000}"/>
    <cellStyle name="Note 48" xfId="3355" xr:uid="{00000000-0005-0000-0000-0000D65C0000}"/>
    <cellStyle name="Note 48 2" xfId="4589" xr:uid="{00000000-0005-0000-0000-0000D75C0000}"/>
    <cellStyle name="Note 48 2 2" xfId="12568" xr:uid="{00000000-0005-0000-0000-0000D85C0000}"/>
    <cellStyle name="Note 48 2 2 2" xfId="23856" xr:uid="{00000000-0005-0000-0000-0000D95C0000}"/>
    <cellStyle name="Note 48 2 3" xfId="10574" xr:uid="{00000000-0005-0000-0000-0000DA5C0000}"/>
    <cellStyle name="Note 48 2 3 2" xfId="21862" xr:uid="{00000000-0005-0000-0000-0000DB5C0000}"/>
    <cellStyle name="Note 48 2 4" xfId="8580" xr:uid="{00000000-0005-0000-0000-0000DC5C0000}"/>
    <cellStyle name="Note 48 2 4 2" xfId="19868" xr:uid="{00000000-0005-0000-0000-0000DD5C0000}"/>
    <cellStyle name="Note 48 2 5" xfId="6586" xr:uid="{00000000-0005-0000-0000-0000DE5C0000}"/>
    <cellStyle name="Note 48 2 5 2" xfId="17874" xr:uid="{00000000-0005-0000-0000-0000DF5C0000}"/>
    <cellStyle name="Note 48 2 6" xfId="15880" xr:uid="{00000000-0005-0000-0000-0000E05C0000}"/>
    <cellStyle name="Note 48 3" xfId="11571" xr:uid="{00000000-0005-0000-0000-0000E15C0000}"/>
    <cellStyle name="Note 48 3 2" xfId="22859" xr:uid="{00000000-0005-0000-0000-0000E25C0000}"/>
    <cellStyle name="Note 48 4" xfId="9577" xr:uid="{00000000-0005-0000-0000-0000E35C0000}"/>
    <cellStyle name="Note 48 4 2" xfId="20865" xr:uid="{00000000-0005-0000-0000-0000E45C0000}"/>
    <cellStyle name="Note 48 5" xfId="7583" xr:uid="{00000000-0005-0000-0000-0000E55C0000}"/>
    <cellStyle name="Note 48 5 2" xfId="18871" xr:uid="{00000000-0005-0000-0000-0000E65C0000}"/>
    <cellStyle name="Note 48 6" xfId="5589" xr:uid="{00000000-0005-0000-0000-0000E75C0000}"/>
    <cellStyle name="Note 48 6 2" xfId="16877" xr:uid="{00000000-0005-0000-0000-0000E85C0000}"/>
    <cellStyle name="Note 48 7" xfId="14883" xr:uid="{00000000-0005-0000-0000-0000E95C0000}"/>
    <cellStyle name="Note 48 8" xfId="13567" xr:uid="{00000000-0005-0000-0000-0000EA5C0000}"/>
    <cellStyle name="Note 49" xfId="3356" xr:uid="{00000000-0005-0000-0000-0000EB5C0000}"/>
    <cellStyle name="Note 49 2" xfId="4590" xr:uid="{00000000-0005-0000-0000-0000EC5C0000}"/>
    <cellStyle name="Note 49 2 2" xfId="12569" xr:uid="{00000000-0005-0000-0000-0000ED5C0000}"/>
    <cellStyle name="Note 49 2 2 2" xfId="23857" xr:uid="{00000000-0005-0000-0000-0000EE5C0000}"/>
    <cellStyle name="Note 49 2 3" xfId="10575" xr:uid="{00000000-0005-0000-0000-0000EF5C0000}"/>
    <cellStyle name="Note 49 2 3 2" xfId="21863" xr:uid="{00000000-0005-0000-0000-0000F05C0000}"/>
    <cellStyle name="Note 49 2 4" xfId="8581" xr:uid="{00000000-0005-0000-0000-0000F15C0000}"/>
    <cellStyle name="Note 49 2 4 2" xfId="19869" xr:uid="{00000000-0005-0000-0000-0000F25C0000}"/>
    <cellStyle name="Note 49 2 5" xfId="6587" xr:uid="{00000000-0005-0000-0000-0000F35C0000}"/>
    <cellStyle name="Note 49 2 5 2" xfId="17875" xr:uid="{00000000-0005-0000-0000-0000F45C0000}"/>
    <cellStyle name="Note 49 2 6" xfId="15881" xr:uid="{00000000-0005-0000-0000-0000F55C0000}"/>
    <cellStyle name="Note 49 3" xfId="11572" xr:uid="{00000000-0005-0000-0000-0000F65C0000}"/>
    <cellStyle name="Note 49 3 2" xfId="22860" xr:uid="{00000000-0005-0000-0000-0000F75C0000}"/>
    <cellStyle name="Note 49 4" xfId="9578" xr:uid="{00000000-0005-0000-0000-0000F85C0000}"/>
    <cellStyle name="Note 49 4 2" xfId="20866" xr:uid="{00000000-0005-0000-0000-0000F95C0000}"/>
    <cellStyle name="Note 49 5" xfId="7584" xr:uid="{00000000-0005-0000-0000-0000FA5C0000}"/>
    <cellStyle name="Note 49 5 2" xfId="18872" xr:uid="{00000000-0005-0000-0000-0000FB5C0000}"/>
    <cellStyle name="Note 49 6" xfId="5590" xr:uid="{00000000-0005-0000-0000-0000FC5C0000}"/>
    <cellStyle name="Note 49 6 2" xfId="16878" xr:uid="{00000000-0005-0000-0000-0000FD5C0000}"/>
    <cellStyle name="Note 49 7" xfId="14884" xr:uid="{00000000-0005-0000-0000-0000FE5C0000}"/>
    <cellStyle name="Note 49 8" xfId="13568" xr:uid="{00000000-0005-0000-0000-0000FF5C0000}"/>
    <cellStyle name="Note 5" xfId="3357" xr:uid="{00000000-0005-0000-0000-0000005D0000}"/>
    <cellStyle name="Note 5 10" xfId="25077" xr:uid="{00000000-0005-0000-0000-0000015D0000}"/>
    <cellStyle name="Note 5 10 2" xfId="25338" xr:uid="{00000000-0005-0000-0000-0000025D0000}"/>
    <cellStyle name="Note 5 10 3" xfId="25681" xr:uid="{00000000-0005-0000-0000-0000035D0000}"/>
    <cellStyle name="Note 5 2" xfId="4591" xr:uid="{00000000-0005-0000-0000-0000045D0000}"/>
    <cellStyle name="Note 5 2 2" xfId="12570" xr:uid="{00000000-0005-0000-0000-0000055D0000}"/>
    <cellStyle name="Note 5 2 2 2" xfId="23858" xr:uid="{00000000-0005-0000-0000-0000065D0000}"/>
    <cellStyle name="Note 5 2 3" xfId="10576" xr:uid="{00000000-0005-0000-0000-0000075D0000}"/>
    <cellStyle name="Note 5 2 3 2" xfId="21864" xr:uid="{00000000-0005-0000-0000-0000085D0000}"/>
    <cellStyle name="Note 5 2 4" xfId="8582" xr:uid="{00000000-0005-0000-0000-0000095D0000}"/>
    <cellStyle name="Note 5 2 4 2" xfId="19870" xr:uid="{00000000-0005-0000-0000-00000A5D0000}"/>
    <cellStyle name="Note 5 2 5" xfId="6588" xr:uid="{00000000-0005-0000-0000-00000B5D0000}"/>
    <cellStyle name="Note 5 2 5 2" xfId="17876" xr:uid="{00000000-0005-0000-0000-00000C5D0000}"/>
    <cellStyle name="Note 5 2 6" xfId="15882" xr:uid="{00000000-0005-0000-0000-00000D5D0000}"/>
    <cellStyle name="Note 5 3" xfId="11573" xr:uid="{00000000-0005-0000-0000-00000E5D0000}"/>
    <cellStyle name="Note 5 3 2" xfId="22861" xr:uid="{00000000-0005-0000-0000-00000F5D0000}"/>
    <cellStyle name="Note 5 4" xfId="9579" xr:uid="{00000000-0005-0000-0000-0000105D0000}"/>
    <cellStyle name="Note 5 4 2" xfId="20867" xr:uid="{00000000-0005-0000-0000-0000115D0000}"/>
    <cellStyle name="Note 5 5" xfId="7585" xr:uid="{00000000-0005-0000-0000-0000125D0000}"/>
    <cellStyle name="Note 5 5 2" xfId="18873" xr:uid="{00000000-0005-0000-0000-0000135D0000}"/>
    <cellStyle name="Note 5 6" xfId="5591" xr:uid="{00000000-0005-0000-0000-0000145D0000}"/>
    <cellStyle name="Note 5 6 2" xfId="16879" xr:uid="{00000000-0005-0000-0000-0000155D0000}"/>
    <cellStyle name="Note 5 7" xfId="14885" xr:uid="{00000000-0005-0000-0000-0000165D0000}"/>
    <cellStyle name="Note 5 8" xfId="13569" xr:uid="{00000000-0005-0000-0000-0000175D0000}"/>
    <cellStyle name="Note 5 9" xfId="24193" xr:uid="{00000000-0005-0000-0000-0000185D0000}"/>
    <cellStyle name="Note 5 9 2" xfId="25444" xr:uid="{00000000-0005-0000-0000-0000195D0000}"/>
    <cellStyle name="Note 5 9 3" xfId="25568" xr:uid="{00000000-0005-0000-0000-00001A5D0000}"/>
    <cellStyle name="Note 50" xfId="3358" xr:uid="{00000000-0005-0000-0000-00001B5D0000}"/>
    <cellStyle name="Note 50 2" xfId="4592" xr:uid="{00000000-0005-0000-0000-00001C5D0000}"/>
    <cellStyle name="Note 50 2 2" xfId="12571" xr:uid="{00000000-0005-0000-0000-00001D5D0000}"/>
    <cellStyle name="Note 50 2 2 2" xfId="23859" xr:uid="{00000000-0005-0000-0000-00001E5D0000}"/>
    <cellStyle name="Note 50 2 3" xfId="10577" xr:uid="{00000000-0005-0000-0000-00001F5D0000}"/>
    <cellStyle name="Note 50 2 3 2" xfId="21865" xr:uid="{00000000-0005-0000-0000-0000205D0000}"/>
    <cellStyle name="Note 50 2 4" xfId="8583" xr:uid="{00000000-0005-0000-0000-0000215D0000}"/>
    <cellStyle name="Note 50 2 4 2" xfId="19871" xr:uid="{00000000-0005-0000-0000-0000225D0000}"/>
    <cellStyle name="Note 50 2 5" xfId="6589" xr:uid="{00000000-0005-0000-0000-0000235D0000}"/>
    <cellStyle name="Note 50 2 5 2" xfId="17877" xr:uid="{00000000-0005-0000-0000-0000245D0000}"/>
    <cellStyle name="Note 50 2 6" xfId="15883" xr:uid="{00000000-0005-0000-0000-0000255D0000}"/>
    <cellStyle name="Note 50 3" xfId="11574" xr:uid="{00000000-0005-0000-0000-0000265D0000}"/>
    <cellStyle name="Note 50 3 2" xfId="22862" xr:uid="{00000000-0005-0000-0000-0000275D0000}"/>
    <cellStyle name="Note 50 4" xfId="9580" xr:uid="{00000000-0005-0000-0000-0000285D0000}"/>
    <cellStyle name="Note 50 4 2" xfId="20868" xr:uid="{00000000-0005-0000-0000-0000295D0000}"/>
    <cellStyle name="Note 50 5" xfId="7586" xr:uid="{00000000-0005-0000-0000-00002A5D0000}"/>
    <cellStyle name="Note 50 5 2" xfId="18874" xr:uid="{00000000-0005-0000-0000-00002B5D0000}"/>
    <cellStyle name="Note 50 6" xfId="5592" xr:uid="{00000000-0005-0000-0000-00002C5D0000}"/>
    <cellStyle name="Note 50 6 2" xfId="16880" xr:uid="{00000000-0005-0000-0000-00002D5D0000}"/>
    <cellStyle name="Note 50 7" xfId="14886" xr:uid="{00000000-0005-0000-0000-00002E5D0000}"/>
    <cellStyle name="Note 50 8" xfId="13570" xr:uid="{00000000-0005-0000-0000-00002F5D0000}"/>
    <cellStyle name="Note 51" xfId="3359" xr:uid="{00000000-0005-0000-0000-0000305D0000}"/>
    <cellStyle name="Note 51 2" xfId="4593" xr:uid="{00000000-0005-0000-0000-0000315D0000}"/>
    <cellStyle name="Note 51 2 2" xfId="12572" xr:uid="{00000000-0005-0000-0000-0000325D0000}"/>
    <cellStyle name="Note 51 2 2 2" xfId="23860" xr:uid="{00000000-0005-0000-0000-0000335D0000}"/>
    <cellStyle name="Note 51 2 3" xfId="10578" xr:uid="{00000000-0005-0000-0000-0000345D0000}"/>
    <cellStyle name="Note 51 2 3 2" xfId="21866" xr:uid="{00000000-0005-0000-0000-0000355D0000}"/>
    <cellStyle name="Note 51 2 4" xfId="8584" xr:uid="{00000000-0005-0000-0000-0000365D0000}"/>
    <cellStyle name="Note 51 2 4 2" xfId="19872" xr:uid="{00000000-0005-0000-0000-0000375D0000}"/>
    <cellStyle name="Note 51 2 5" xfId="6590" xr:uid="{00000000-0005-0000-0000-0000385D0000}"/>
    <cellStyle name="Note 51 2 5 2" xfId="17878" xr:uid="{00000000-0005-0000-0000-0000395D0000}"/>
    <cellStyle name="Note 51 2 6" xfId="15884" xr:uid="{00000000-0005-0000-0000-00003A5D0000}"/>
    <cellStyle name="Note 51 3" xfId="11575" xr:uid="{00000000-0005-0000-0000-00003B5D0000}"/>
    <cellStyle name="Note 51 3 2" xfId="22863" xr:uid="{00000000-0005-0000-0000-00003C5D0000}"/>
    <cellStyle name="Note 51 4" xfId="9581" xr:uid="{00000000-0005-0000-0000-00003D5D0000}"/>
    <cellStyle name="Note 51 4 2" xfId="20869" xr:uid="{00000000-0005-0000-0000-00003E5D0000}"/>
    <cellStyle name="Note 51 5" xfId="7587" xr:uid="{00000000-0005-0000-0000-00003F5D0000}"/>
    <cellStyle name="Note 51 5 2" xfId="18875" xr:uid="{00000000-0005-0000-0000-0000405D0000}"/>
    <cellStyle name="Note 51 6" xfId="5593" xr:uid="{00000000-0005-0000-0000-0000415D0000}"/>
    <cellStyle name="Note 51 6 2" xfId="16881" xr:uid="{00000000-0005-0000-0000-0000425D0000}"/>
    <cellStyle name="Note 51 7" xfId="14887" xr:uid="{00000000-0005-0000-0000-0000435D0000}"/>
    <cellStyle name="Note 51 8" xfId="13571" xr:uid="{00000000-0005-0000-0000-0000445D0000}"/>
    <cellStyle name="Note 52" xfId="3360" xr:uid="{00000000-0005-0000-0000-0000455D0000}"/>
    <cellStyle name="Note 52 2" xfId="4594" xr:uid="{00000000-0005-0000-0000-0000465D0000}"/>
    <cellStyle name="Note 52 2 2" xfId="12573" xr:uid="{00000000-0005-0000-0000-0000475D0000}"/>
    <cellStyle name="Note 52 2 2 2" xfId="23861" xr:uid="{00000000-0005-0000-0000-0000485D0000}"/>
    <cellStyle name="Note 52 2 3" xfId="10579" xr:uid="{00000000-0005-0000-0000-0000495D0000}"/>
    <cellStyle name="Note 52 2 3 2" xfId="21867" xr:uid="{00000000-0005-0000-0000-00004A5D0000}"/>
    <cellStyle name="Note 52 2 4" xfId="8585" xr:uid="{00000000-0005-0000-0000-00004B5D0000}"/>
    <cellStyle name="Note 52 2 4 2" xfId="19873" xr:uid="{00000000-0005-0000-0000-00004C5D0000}"/>
    <cellStyle name="Note 52 2 5" xfId="6591" xr:uid="{00000000-0005-0000-0000-00004D5D0000}"/>
    <cellStyle name="Note 52 2 5 2" xfId="17879" xr:uid="{00000000-0005-0000-0000-00004E5D0000}"/>
    <cellStyle name="Note 52 2 6" xfId="15885" xr:uid="{00000000-0005-0000-0000-00004F5D0000}"/>
    <cellStyle name="Note 52 3" xfId="11576" xr:uid="{00000000-0005-0000-0000-0000505D0000}"/>
    <cellStyle name="Note 52 3 2" xfId="22864" xr:uid="{00000000-0005-0000-0000-0000515D0000}"/>
    <cellStyle name="Note 52 4" xfId="9582" xr:uid="{00000000-0005-0000-0000-0000525D0000}"/>
    <cellStyle name="Note 52 4 2" xfId="20870" xr:uid="{00000000-0005-0000-0000-0000535D0000}"/>
    <cellStyle name="Note 52 5" xfId="7588" xr:uid="{00000000-0005-0000-0000-0000545D0000}"/>
    <cellStyle name="Note 52 5 2" xfId="18876" xr:uid="{00000000-0005-0000-0000-0000555D0000}"/>
    <cellStyle name="Note 52 6" xfId="5594" xr:uid="{00000000-0005-0000-0000-0000565D0000}"/>
    <cellStyle name="Note 52 6 2" xfId="16882" xr:uid="{00000000-0005-0000-0000-0000575D0000}"/>
    <cellStyle name="Note 52 7" xfId="14888" xr:uid="{00000000-0005-0000-0000-0000585D0000}"/>
    <cellStyle name="Note 52 8" xfId="13572" xr:uid="{00000000-0005-0000-0000-0000595D0000}"/>
    <cellStyle name="Note 53" xfId="3361" xr:uid="{00000000-0005-0000-0000-00005A5D0000}"/>
    <cellStyle name="Note 53 2" xfId="4595" xr:uid="{00000000-0005-0000-0000-00005B5D0000}"/>
    <cellStyle name="Note 53 2 2" xfId="12574" xr:uid="{00000000-0005-0000-0000-00005C5D0000}"/>
    <cellStyle name="Note 53 2 2 2" xfId="23862" xr:uid="{00000000-0005-0000-0000-00005D5D0000}"/>
    <cellStyle name="Note 53 2 3" xfId="10580" xr:uid="{00000000-0005-0000-0000-00005E5D0000}"/>
    <cellStyle name="Note 53 2 3 2" xfId="21868" xr:uid="{00000000-0005-0000-0000-00005F5D0000}"/>
    <cellStyle name="Note 53 2 4" xfId="8586" xr:uid="{00000000-0005-0000-0000-0000605D0000}"/>
    <cellStyle name="Note 53 2 4 2" xfId="19874" xr:uid="{00000000-0005-0000-0000-0000615D0000}"/>
    <cellStyle name="Note 53 2 5" xfId="6592" xr:uid="{00000000-0005-0000-0000-0000625D0000}"/>
    <cellStyle name="Note 53 2 5 2" xfId="17880" xr:uid="{00000000-0005-0000-0000-0000635D0000}"/>
    <cellStyle name="Note 53 2 6" xfId="15886" xr:uid="{00000000-0005-0000-0000-0000645D0000}"/>
    <cellStyle name="Note 53 3" xfId="11577" xr:uid="{00000000-0005-0000-0000-0000655D0000}"/>
    <cellStyle name="Note 53 3 2" xfId="22865" xr:uid="{00000000-0005-0000-0000-0000665D0000}"/>
    <cellStyle name="Note 53 4" xfId="9583" xr:uid="{00000000-0005-0000-0000-0000675D0000}"/>
    <cellStyle name="Note 53 4 2" xfId="20871" xr:uid="{00000000-0005-0000-0000-0000685D0000}"/>
    <cellStyle name="Note 53 5" xfId="7589" xr:uid="{00000000-0005-0000-0000-0000695D0000}"/>
    <cellStyle name="Note 53 5 2" xfId="18877" xr:uid="{00000000-0005-0000-0000-00006A5D0000}"/>
    <cellStyle name="Note 53 6" xfId="5595" xr:uid="{00000000-0005-0000-0000-00006B5D0000}"/>
    <cellStyle name="Note 53 6 2" xfId="16883" xr:uid="{00000000-0005-0000-0000-00006C5D0000}"/>
    <cellStyle name="Note 53 7" xfId="14889" xr:uid="{00000000-0005-0000-0000-00006D5D0000}"/>
    <cellStyle name="Note 53 8" xfId="13573" xr:uid="{00000000-0005-0000-0000-00006E5D0000}"/>
    <cellStyle name="Note 54" xfId="3362" xr:uid="{00000000-0005-0000-0000-00006F5D0000}"/>
    <cellStyle name="Note 54 2" xfId="4596" xr:uid="{00000000-0005-0000-0000-0000705D0000}"/>
    <cellStyle name="Note 54 2 2" xfId="12575" xr:uid="{00000000-0005-0000-0000-0000715D0000}"/>
    <cellStyle name="Note 54 2 2 2" xfId="23863" xr:uid="{00000000-0005-0000-0000-0000725D0000}"/>
    <cellStyle name="Note 54 2 3" xfId="10581" xr:uid="{00000000-0005-0000-0000-0000735D0000}"/>
    <cellStyle name="Note 54 2 3 2" xfId="21869" xr:uid="{00000000-0005-0000-0000-0000745D0000}"/>
    <cellStyle name="Note 54 2 4" xfId="8587" xr:uid="{00000000-0005-0000-0000-0000755D0000}"/>
    <cellStyle name="Note 54 2 4 2" xfId="19875" xr:uid="{00000000-0005-0000-0000-0000765D0000}"/>
    <cellStyle name="Note 54 2 5" xfId="6593" xr:uid="{00000000-0005-0000-0000-0000775D0000}"/>
    <cellStyle name="Note 54 2 5 2" xfId="17881" xr:uid="{00000000-0005-0000-0000-0000785D0000}"/>
    <cellStyle name="Note 54 2 6" xfId="15887" xr:uid="{00000000-0005-0000-0000-0000795D0000}"/>
    <cellStyle name="Note 54 3" xfId="11578" xr:uid="{00000000-0005-0000-0000-00007A5D0000}"/>
    <cellStyle name="Note 54 3 2" xfId="22866" xr:uid="{00000000-0005-0000-0000-00007B5D0000}"/>
    <cellStyle name="Note 54 4" xfId="9584" xr:uid="{00000000-0005-0000-0000-00007C5D0000}"/>
    <cellStyle name="Note 54 4 2" xfId="20872" xr:uid="{00000000-0005-0000-0000-00007D5D0000}"/>
    <cellStyle name="Note 54 5" xfId="7590" xr:uid="{00000000-0005-0000-0000-00007E5D0000}"/>
    <cellStyle name="Note 54 5 2" xfId="18878" xr:uid="{00000000-0005-0000-0000-00007F5D0000}"/>
    <cellStyle name="Note 54 6" xfId="5596" xr:uid="{00000000-0005-0000-0000-0000805D0000}"/>
    <cellStyle name="Note 54 6 2" xfId="16884" xr:uid="{00000000-0005-0000-0000-0000815D0000}"/>
    <cellStyle name="Note 54 7" xfId="14890" xr:uid="{00000000-0005-0000-0000-0000825D0000}"/>
    <cellStyle name="Note 54 8" xfId="13574" xr:uid="{00000000-0005-0000-0000-0000835D0000}"/>
    <cellStyle name="Note 55" xfId="3363" xr:uid="{00000000-0005-0000-0000-0000845D0000}"/>
    <cellStyle name="Note 55 2" xfId="4597" xr:uid="{00000000-0005-0000-0000-0000855D0000}"/>
    <cellStyle name="Note 55 2 2" xfId="12576" xr:uid="{00000000-0005-0000-0000-0000865D0000}"/>
    <cellStyle name="Note 55 2 2 2" xfId="23864" xr:uid="{00000000-0005-0000-0000-0000875D0000}"/>
    <cellStyle name="Note 55 2 3" xfId="10582" xr:uid="{00000000-0005-0000-0000-0000885D0000}"/>
    <cellStyle name="Note 55 2 3 2" xfId="21870" xr:uid="{00000000-0005-0000-0000-0000895D0000}"/>
    <cellStyle name="Note 55 2 4" xfId="8588" xr:uid="{00000000-0005-0000-0000-00008A5D0000}"/>
    <cellStyle name="Note 55 2 4 2" xfId="19876" xr:uid="{00000000-0005-0000-0000-00008B5D0000}"/>
    <cellStyle name="Note 55 2 5" xfId="6594" xr:uid="{00000000-0005-0000-0000-00008C5D0000}"/>
    <cellStyle name="Note 55 2 5 2" xfId="17882" xr:uid="{00000000-0005-0000-0000-00008D5D0000}"/>
    <cellStyle name="Note 55 2 6" xfId="15888" xr:uid="{00000000-0005-0000-0000-00008E5D0000}"/>
    <cellStyle name="Note 55 3" xfId="11579" xr:uid="{00000000-0005-0000-0000-00008F5D0000}"/>
    <cellStyle name="Note 55 3 2" xfId="22867" xr:uid="{00000000-0005-0000-0000-0000905D0000}"/>
    <cellStyle name="Note 55 4" xfId="9585" xr:uid="{00000000-0005-0000-0000-0000915D0000}"/>
    <cellStyle name="Note 55 4 2" xfId="20873" xr:uid="{00000000-0005-0000-0000-0000925D0000}"/>
    <cellStyle name="Note 55 5" xfId="7591" xr:uid="{00000000-0005-0000-0000-0000935D0000}"/>
    <cellStyle name="Note 55 5 2" xfId="18879" xr:uid="{00000000-0005-0000-0000-0000945D0000}"/>
    <cellStyle name="Note 55 6" xfId="5597" xr:uid="{00000000-0005-0000-0000-0000955D0000}"/>
    <cellStyle name="Note 55 6 2" xfId="16885" xr:uid="{00000000-0005-0000-0000-0000965D0000}"/>
    <cellStyle name="Note 55 7" xfId="14891" xr:uid="{00000000-0005-0000-0000-0000975D0000}"/>
    <cellStyle name="Note 55 8" xfId="13575" xr:uid="{00000000-0005-0000-0000-0000985D0000}"/>
    <cellStyle name="Note 56" xfId="3364" xr:uid="{00000000-0005-0000-0000-0000995D0000}"/>
    <cellStyle name="Note 56 2" xfId="4598" xr:uid="{00000000-0005-0000-0000-00009A5D0000}"/>
    <cellStyle name="Note 56 2 2" xfId="12577" xr:uid="{00000000-0005-0000-0000-00009B5D0000}"/>
    <cellStyle name="Note 56 2 2 2" xfId="23865" xr:uid="{00000000-0005-0000-0000-00009C5D0000}"/>
    <cellStyle name="Note 56 2 3" xfId="10583" xr:uid="{00000000-0005-0000-0000-00009D5D0000}"/>
    <cellStyle name="Note 56 2 3 2" xfId="21871" xr:uid="{00000000-0005-0000-0000-00009E5D0000}"/>
    <cellStyle name="Note 56 2 4" xfId="8589" xr:uid="{00000000-0005-0000-0000-00009F5D0000}"/>
    <cellStyle name="Note 56 2 4 2" xfId="19877" xr:uid="{00000000-0005-0000-0000-0000A05D0000}"/>
    <cellStyle name="Note 56 2 5" xfId="6595" xr:uid="{00000000-0005-0000-0000-0000A15D0000}"/>
    <cellStyle name="Note 56 2 5 2" xfId="17883" xr:uid="{00000000-0005-0000-0000-0000A25D0000}"/>
    <cellStyle name="Note 56 2 6" xfId="15889" xr:uid="{00000000-0005-0000-0000-0000A35D0000}"/>
    <cellStyle name="Note 56 3" xfId="11580" xr:uid="{00000000-0005-0000-0000-0000A45D0000}"/>
    <cellStyle name="Note 56 3 2" xfId="22868" xr:uid="{00000000-0005-0000-0000-0000A55D0000}"/>
    <cellStyle name="Note 56 4" xfId="9586" xr:uid="{00000000-0005-0000-0000-0000A65D0000}"/>
    <cellStyle name="Note 56 4 2" xfId="20874" xr:uid="{00000000-0005-0000-0000-0000A75D0000}"/>
    <cellStyle name="Note 56 5" xfId="7592" xr:uid="{00000000-0005-0000-0000-0000A85D0000}"/>
    <cellStyle name="Note 56 5 2" xfId="18880" xr:uid="{00000000-0005-0000-0000-0000A95D0000}"/>
    <cellStyle name="Note 56 6" xfId="5598" xr:uid="{00000000-0005-0000-0000-0000AA5D0000}"/>
    <cellStyle name="Note 56 6 2" xfId="16886" xr:uid="{00000000-0005-0000-0000-0000AB5D0000}"/>
    <cellStyle name="Note 56 7" xfId="14892" xr:uid="{00000000-0005-0000-0000-0000AC5D0000}"/>
    <cellStyle name="Note 56 8" xfId="13576" xr:uid="{00000000-0005-0000-0000-0000AD5D0000}"/>
    <cellStyle name="Note 57" xfId="3365" xr:uid="{00000000-0005-0000-0000-0000AE5D0000}"/>
    <cellStyle name="Note 57 2" xfId="4599" xr:uid="{00000000-0005-0000-0000-0000AF5D0000}"/>
    <cellStyle name="Note 57 2 2" xfId="12578" xr:uid="{00000000-0005-0000-0000-0000B05D0000}"/>
    <cellStyle name="Note 57 2 2 2" xfId="23866" xr:uid="{00000000-0005-0000-0000-0000B15D0000}"/>
    <cellStyle name="Note 57 2 3" xfId="10584" xr:uid="{00000000-0005-0000-0000-0000B25D0000}"/>
    <cellStyle name="Note 57 2 3 2" xfId="21872" xr:uid="{00000000-0005-0000-0000-0000B35D0000}"/>
    <cellStyle name="Note 57 2 4" xfId="8590" xr:uid="{00000000-0005-0000-0000-0000B45D0000}"/>
    <cellStyle name="Note 57 2 4 2" xfId="19878" xr:uid="{00000000-0005-0000-0000-0000B55D0000}"/>
    <cellStyle name="Note 57 2 5" xfId="6596" xr:uid="{00000000-0005-0000-0000-0000B65D0000}"/>
    <cellStyle name="Note 57 2 5 2" xfId="17884" xr:uid="{00000000-0005-0000-0000-0000B75D0000}"/>
    <cellStyle name="Note 57 2 6" xfId="15890" xr:uid="{00000000-0005-0000-0000-0000B85D0000}"/>
    <cellStyle name="Note 57 3" xfId="11581" xr:uid="{00000000-0005-0000-0000-0000B95D0000}"/>
    <cellStyle name="Note 57 3 2" xfId="22869" xr:uid="{00000000-0005-0000-0000-0000BA5D0000}"/>
    <cellStyle name="Note 57 4" xfId="9587" xr:uid="{00000000-0005-0000-0000-0000BB5D0000}"/>
    <cellStyle name="Note 57 4 2" xfId="20875" xr:uid="{00000000-0005-0000-0000-0000BC5D0000}"/>
    <cellStyle name="Note 57 5" xfId="7593" xr:uid="{00000000-0005-0000-0000-0000BD5D0000}"/>
    <cellStyle name="Note 57 5 2" xfId="18881" xr:uid="{00000000-0005-0000-0000-0000BE5D0000}"/>
    <cellStyle name="Note 57 6" xfId="5599" xr:uid="{00000000-0005-0000-0000-0000BF5D0000}"/>
    <cellStyle name="Note 57 6 2" xfId="16887" xr:uid="{00000000-0005-0000-0000-0000C05D0000}"/>
    <cellStyle name="Note 57 7" xfId="14893" xr:uid="{00000000-0005-0000-0000-0000C15D0000}"/>
    <cellStyle name="Note 57 8" xfId="13577" xr:uid="{00000000-0005-0000-0000-0000C25D0000}"/>
    <cellStyle name="Note 58" xfId="3366" xr:uid="{00000000-0005-0000-0000-0000C35D0000}"/>
    <cellStyle name="Note 58 2" xfId="4600" xr:uid="{00000000-0005-0000-0000-0000C45D0000}"/>
    <cellStyle name="Note 58 2 2" xfId="12579" xr:uid="{00000000-0005-0000-0000-0000C55D0000}"/>
    <cellStyle name="Note 58 2 2 2" xfId="23867" xr:uid="{00000000-0005-0000-0000-0000C65D0000}"/>
    <cellStyle name="Note 58 2 3" xfId="10585" xr:uid="{00000000-0005-0000-0000-0000C75D0000}"/>
    <cellStyle name="Note 58 2 3 2" xfId="21873" xr:uid="{00000000-0005-0000-0000-0000C85D0000}"/>
    <cellStyle name="Note 58 2 4" xfId="8591" xr:uid="{00000000-0005-0000-0000-0000C95D0000}"/>
    <cellStyle name="Note 58 2 4 2" xfId="19879" xr:uid="{00000000-0005-0000-0000-0000CA5D0000}"/>
    <cellStyle name="Note 58 2 5" xfId="6597" xr:uid="{00000000-0005-0000-0000-0000CB5D0000}"/>
    <cellStyle name="Note 58 2 5 2" xfId="17885" xr:uid="{00000000-0005-0000-0000-0000CC5D0000}"/>
    <cellStyle name="Note 58 2 6" xfId="15891" xr:uid="{00000000-0005-0000-0000-0000CD5D0000}"/>
    <cellStyle name="Note 58 3" xfId="11582" xr:uid="{00000000-0005-0000-0000-0000CE5D0000}"/>
    <cellStyle name="Note 58 3 2" xfId="22870" xr:uid="{00000000-0005-0000-0000-0000CF5D0000}"/>
    <cellStyle name="Note 58 4" xfId="9588" xr:uid="{00000000-0005-0000-0000-0000D05D0000}"/>
    <cellStyle name="Note 58 4 2" xfId="20876" xr:uid="{00000000-0005-0000-0000-0000D15D0000}"/>
    <cellStyle name="Note 58 5" xfId="7594" xr:uid="{00000000-0005-0000-0000-0000D25D0000}"/>
    <cellStyle name="Note 58 5 2" xfId="18882" xr:uid="{00000000-0005-0000-0000-0000D35D0000}"/>
    <cellStyle name="Note 58 6" xfId="5600" xr:uid="{00000000-0005-0000-0000-0000D45D0000}"/>
    <cellStyle name="Note 58 6 2" xfId="16888" xr:uid="{00000000-0005-0000-0000-0000D55D0000}"/>
    <cellStyle name="Note 58 7" xfId="14894" xr:uid="{00000000-0005-0000-0000-0000D65D0000}"/>
    <cellStyle name="Note 58 8" xfId="13578" xr:uid="{00000000-0005-0000-0000-0000D75D0000}"/>
    <cellStyle name="Note 59" xfId="3367" xr:uid="{00000000-0005-0000-0000-0000D85D0000}"/>
    <cellStyle name="Note 59 2" xfId="4601" xr:uid="{00000000-0005-0000-0000-0000D95D0000}"/>
    <cellStyle name="Note 59 2 2" xfId="12580" xr:uid="{00000000-0005-0000-0000-0000DA5D0000}"/>
    <cellStyle name="Note 59 2 2 2" xfId="23868" xr:uid="{00000000-0005-0000-0000-0000DB5D0000}"/>
    <cellStyle name="Note 59 2 3" xfId="10586" xr:uid="{00000000-0005-0000-0000-0000DC5D0000}"/>
    <cellStyle name="Note 59 2 3 2" xfId="21874" xr:uid="{00000000-0005-0000-0000-0000DD5D0000}"/>
    <cellStyle name="Note 59 2 4" xfId="8592" xr:uid="{00000000-0005-0000-0000-0000DE5D0000}"/>
    <cellStyle name="Note 59 2 4 2" xfId="19880" xr:uid="{00000000-0005-0000-0000-0000DF5D0000}"/>
    <cellStyle name="Note 59 2 5" xfId="6598" xr:uid="{00000000-0005-0000-0000-0000E05D0000}"/>
    <cellStyle name="Note 59 2 5 2" xfId="17886" xr:uid="{00000000-0005-0000-0000-0000E15D0000}"/>
    <cellStyle name="Note 59 2 6" xfId="15892" xr:uid="{00000000-0005-0000-0000-0000E25D0000}"/>
    <cellStyle name="Note 59 3" xfId="11583" xr:uid="{00000000-0005-0000-0000-0000E35D0000}"/>
    <cellStyle name="Note 59 3 2" xfId="22871" xr:uid="{00000000-0005-0000-0000-0000E45D0000}"/>
    <cellStyle name="Note 59 4" xfId="9589" xr:uid="{00000000-0005-0000-0000-0000E55D0000}"/>
    <cellStyle name="Note 59 4 2" xfId="20877" xr:uid="{00000000-0005-0000-0000-0000E65D0000}"/>
    <cellStyle name="Note 59 5" xfId="7595" xr:uid="{00000000-0005-0000-0000-0000E75D0000}"/>
    <cellStyle name="Note 59 5 2" xfId="18883" xr:uid="{00000000-0005-0000-0000-0000E85D0000}"/>
    <cellStyle name="Note 59 6" xfId="5601" xr:uid="{00000000-0005-0000-0000-0000E95D0000}"/>
    <cellStyle name="Note 59 6 2" xfId="16889" xr:uid="{00000000-0005-0000-0000-0000EA5D0000}"/>
    <cellStyle name="Note 59 7" xfId="14895" xr:uid="{00000000-0005-0000-0000-0000EB5D0000}"/>
    <cellStyle name="Note 59 8" xfId="13579" xr:uid="{00000000-0005-0000-0000-0000EC5D0000}"/>
    <cellStyle name="Note 6" xfId="3368" xr:uid="{00000000-0005-0000-0000-0000ED5D0000}"/>
    <cellStyle name="Note 6 10" xfId="24756" xr:uid="{00000000-0005-0000-0000-0000EE5D0000}"/>
    <cellStyle name="Note 6 11" xfId="25078" xr:uid="{00000000-0005-0000-0000-0000EF5D0000}"/>
    <cellStyle name="Note 6 2" xfId="4602" xr:uid="{00000000-0005-0000-0000-0000F05D0000}"/>
    <cellStyle name="Note 6 2 2" xfId="12581" xr:uid="{00000000-0005-0000-0000-0000F15D0000}"/>
    <cellStyle name="Note 6 2 2 2" xfId="23869" xr:uid="{00000000-0005-0000-0000-0000F25D0000}"/>
    <cellStyle name="Note 6 2 3" xfId="10587" xr:uid="{00000000-0005-0000-0000-0000F35D0000}"/>
    <cellStyle name="Note 6 2 3 2" xfId="21875" xr:uid="{00000000-0005-0000-0000-0000F45D0000}"/>
    <cellStyle name="Note 6 2 4" xfId="8593" xr:uid="{00000000-0005-0000-0000-0000F55D0000}"/>
    <cellStyle name="Note 6 2 4 2" xfId="19881" xr:uid="{00000000-0005-0000-0000-0000F65D0000}"/>
    <cellStyle name="Note 6 2 5" xfId="6599" xr:uid="{00000000-0005-0000-0000-0000F75D0000}"/>
    <cellStyle name="Note 6 2 5 2" xfId="17887" xr:uid="{00000000-0005-0000-0000-0000F85D0000}"/>
    <cellStyle name="Note 6 2 6" xfId="15893" xr:uid="{00000000-0005-0000-0000-0000F95D0000}"/>
    <cellStyle name="Note 6 2 7" xfId="24460" xr:uid="{00000000-0005-0000-0000-0000FA5D0000}"/>
    <cellStyle name="Note 6 2 8" xfId="24904" xr:uid="{00000000-0005-0000-0000-0000FB5D0000}"/>
    <cellStyle name="Note 6 2 9" xfId="25266" xr:uid="{00000000-0005-0000-0000-0000FC5D0000}"/>
    <cellStyle name="Note 6 3" xfId="11584" xr:uid="{00000000-0005-0000-0000-0000FD5D0000}"/>
    <cellStyle name="Note 6 3 2" xfId="22872" xr:uid="{00000000-0005-0000-0000-0000FE5D0000}"/>
    <cellStyle name="Note 6 4" xfId="9590" xr:uid="{00000000-0005-0000-0000-0000FF5D0000}"/>
    <cellStyle name="Note 6 4 2" xfId="20878" xr:uid="{00000000-0005-0000-0000-0000005E0000}"/>
    <cellStyle name="Note 6 5" xfId="7596" xr:uid="{00000000-0005-0000-0000-0000015E0000}"/>
    <cellStyle name="Note 6 5 2" xfId="18884" xr:uid="{00000000-0005-0000-0000-0000025E0000}"/>
    <cellStyle name="Note 6 6" xfId="5602" xr:uid="{00000000-0005-0000-0000-0000035E0000}"/>
    <cellStyle name="Note 6 6 2" xfId="16890" xr:uid="{00000000-0005-0000-0000-0000045E0000}"/>
    <cellStyle name="Note 6 7" xfId="14896" xr:uid="{00000000-0005-0000-0000-0000055E0000}"/>
    <cellStyle name="Note 6 8" xfId="13580" xr:uid="{00000000-0005-0000-0000-0000065E0000}"/>
    <cellStyle name="Note 6 9" xfId="24194" xr:uid="{00000000-0005-0000-0000-0000075E0000}"/>
    <cellStyle name="Note 60" xfId="3369" xr:uid="{00000000-0005-0000-0000-0000085E0000}"/>
    <cellStyle name="Note 60 2" xfId="4603" xr:uid="{00000000-0005-0000-0000-0000095E0000}"/>
    <cellStyle name="Note 60 2 2" xfId="12582" xr:uid="{00000000-0005-0000-0000-00000A5E0000}"/>
    <cellStyle name="Note 60 2 2 2" xfId="23870" xr:uid="{00000000-0005-0000-0000-00000B5E0000}"/>
    <cellStyle name="Note 60 2 3" xfId="10588" xr:uid="{00000000-0005-0000-0000-00000C5E0000}"/>
    <cellStyle name="Note 60 2 3 2" xfId="21876" xr:uid="{00000000-0005-0000-0000-00000D5E0000}"/>
    <cellStyle name="Note 60 2 4" xfId="8594" xr:uid="{00000000-0005-0000-0000-00000E5E0000}"/>
    <cellStyle name="Note 60 2 4 2" xfId="19882" xr:uid="{00000000-0005-0000-0000-00000F5E0000}"/>
    <cellStyle name="Note 60 2 5" xfId="6600" xr:uid="{00000000-0005-0000-0000-0000105E0000}"/>
    <cellStyle name="Note 60 2 5 2" xfId="17888" xr:uid="{00000000-0005-0000-0000-0000115E0000}"/>
    <cellStyle name="Note 60 2 6" xfId="15894" xr:uid="{00000000-0005-0000-0000-0000125E0000}"/>
    <cellStyle name="Note 60 3" xfId="11585" xr:uid="{00000000-0005-0000-0000-0000135E0000}"/>
    <cellStyle name="Note 60 3 2" xfId="22873" xr:uid="{00000000-0005-0000-0000-0000145E0000}"/>
    <cellStyle name="Note 60 4" xfId="9591" xr:uid="{00000000-0005-0000-0000-0000155E0000}"/>
    <cellStyle name="Note 60 4 2" xfId="20879" xr:uid="{00000000-0005-0000-0000-0000165E0000}"/>
    <cellStyle name="Note 60 5" xfId="7597" xr:uid="{00000000-0005-0000-0000-0000175E0000}"/>
    <cellStyle name="Note 60 5 2" xfId="18885" xr:uid="{00000000-0005-0000-0000-0000185E0000}"/>
    <cellStyle name="Note 60 6" xfId="5603" xr:uid="{00000000-0005-0000-0000-0000195E0000}"/>
    <cellStyle name="Note 60 6 2" xfId="16891" xr:uid="{00000000-0005-0000-0000-00001A5E0000}"/>
    <cellStyle name="Note 60 7" xfId="14897" xr:uid="{00000000-0005-0000-0000-00001B5E0000}"/>
    <cellStyle name="Note 60 8" xfId="13581" xr:uid="{00000000-0005-0000-0000-00001C5E0000}"/>
    <cellStyle name="Note 61" xfId="3370" xr:uid="{00000000-0005-0000-0000-00001D5E0000}"/>
    <cellStyle name="Note 61 2" xfId="4604" xr:uid="{00000000-0005-0000-0000-00001E5E0000}"/>
    <cellStyle name="Note 61 2 2" xfId="12583" xr:uid="{00000000-0005-0000-0000-00001F5E0000}"/>
    <cellStyle name="Note 61 2 2 2" xfId="23871" xr:uid="{00000000-0005-0000-0000-0000205E0000}"/>
    <cellStyle name="Note 61 2 3" xfId="10589" xr:uid="{00000000-0005-0000-0000-0000215E0000}"/>
    <cellStyle name="Note 61 2 3 2" xfId="21877" xr:uid="{00000000-0005-0000-0000-0000225E0000}"/>
    <cellStyle name="Note 61 2 4" xfId="8595" xr:uid="{00000000-0005-0000-0000-0000235E0000}"/>
    <cellStyle name="Note 61 2 4 2" xfId="19883" xr:uid="{00000000-0005-0000-0000-0000245E0000}"/>
    <cellStyle name="Note 61 2 5" xfId="6601" xr:uid="{00000000-0005-0000-0000-0000255E0000}"/>
    <cellStyle name="Note 61 2 5 2" xfId="17889" xr:uid="{00000000-0005-0000-0000-0000265E0000}"/>
    <cellStyle name="Note 61 2 6" xfId="15895" xr:uid="{00000000-0005-0000-0000-0000275E0000}"/>
    <cellStyle name="Note 61 3" xfId="11586" xr:uid="{00000000-0005-0000-0000-0000285E0000}"/>
    <cellStyle name="Note 61 3 2" xfId="22874" xr:uid="{00000000-0005-0000-0000-0000295E0000}"/>
    <cellStyle name="Note 61 4" xfId="9592" xr:uid="{00000000-0005-0000-0000-00002A5E0000}"/>
    <cellStyle name="Note 61 4 2" xfId="20880" xr:uid="{00000000-0005-0000-0000-00002B5E0000}"/>
    <cellStyle name="Note 61 5" xfId="7598" xr:uid="{00000000-0005-0000-0000-00002C5E0000}"/>
    <cellStyle name="Note 61 5 2" xfId="18886" xr:uid="{00000000-0005-0000-0000-00002D5E0000}"/>
    <cellStyle name="Note 61 6" xfId="5604" xr:uid="{00000000-0005-0000-0000-00002E5E0000}"/>
    <cellStyle name="Note 61 6 2" xfId="16892" xr:uid="{00000000-0005-0000-0000-00002F5E0000}"/>
    <cellStyle name="Note 61 7" xfId="14898" xr:uid="{00000000-0005-0000-0000-0000305E0000}"/>
    <cellStyle name="Note 61 8" xfId="13582" xr:uid="{00000000-0005-0000-0000-0000315E0000}"/>
    <cellStyle name="Note 62" xfId="3371" xr:uid="{00000000-0005-0000-0000-0000325E0000}"/>
    <cellStyle name="Note 62 2" xfId="4605" xr:uid="{00000000-0005-0000-0000-0000335E0000}"/>
    <cellStyle name="Note 62 2 2" xfId="12584" xr:uid="{00000000-0005-0000-0000-0000345E0000}"/>
    <cellStyle name="Note 62 2 2 2" xfId="23872" xr:uid="{00000000-0005-0000-0000-0000355E0000}"/>
    <cellStyle name="Note 62 2 3" xfId="10590" xr:uid="{00000000-0005-0000-0000-0000365E0000}"/>
    <cellStyle name="Note 62 2 3 2" xfId="21878" xr:uid="{00000000-0005-0000-0000-0000375E0000}"/>
    <cellStyle name="Note 62 2 4" xfId="8596" xr:uid="{00000000-0005-0000-0000-0000385E0000}"/>
    <cellStyle name="Note 62 2 4 2" xfId="19884" xr:uid="{00000000-0005-0000-0000-0000395E0000}"/>
    <cellStyle name="Note 62 2 5" xfId="6602" xr:uid="{00000000-0005-0000-0000-00003A5E0000}"/>
    <cellStyle name="Note 62 2 5 2" xfId="17890" xr:uid="{00000000-0005-0000-0000-00003B5E0000}"/>
    <cellStyle name="Note 62 2 6" xfId="15896" xr:uid="{00000000-0005-0000-0000-00003C5E0000}"/>
    <cellStyle name="Note 62 3" xfId="11587" xr:uid="{00000000-0005-0000-0000-00003D5E0000}"/>
    <cellStyle name="Note 62 3 2" xfId="22875" xr:uid="{00000000-0005-0000-0000-00003E5E0000}"/>
    <cellStyle name="Note 62 4" xfId="9593" xr:uid="{00000000-0005-0000-0000-00003F5E0000}"/>
    <cellStyle name="Note 62 4 2" xfId="20881" xr:uid="{00000000-0005-0000-0000-0000405E0000}"/>
    <cellStyle name="Note 62 5" xfId="7599" xr:uid="{00000000-0005-0000-0000-0000415E0000}"/>
    <cellStyle name="Note 62 5 2" xfId="18887" xr:uid="{00000000-0005-0000-0000-0000425E0000}"/>
    <cellStyle name="Note 62 6" xfId="5605" xr:uid="{00000000-0005-0000-0000-0000435E0000}"/>
    <cellStyle name="Note 62 6 2" xfId="16893" xr:uid="{00000000-0005-0000-0000-0000445E0000}"/>
    <cellStyle name="Note 62 7" xfId="14899" xr:uid="{00000000-0005-0000-0000-0000455E0000}"/>
    <cellStyle name="Note 62 8" xfId="13583" xr:uid="{00000000-0005-0000-0000-0000465E0000}"/>
    <cellStyle name="Note 63" xfId="3372" xr:uid="{00000000-0005-0000-0000-0000475E0000}"/>
    <cellStyle name="Note 63 2" xfId="4606" xr:uid="{00000000-0005-0000-0000-0000485E0000}"/>
    <cellStyle name="Note 63 2 2" xfId="12585" xr:uid="{00000000-0005-0000-0000-0000495E0000}"/>
    <cellStyle name="Note 63 2 2 2" xfId="23873" xr:uid="{00000000-0005-0000-0000-00004A5E0000}"/>
    <cellStyle name="Note 63 2 3" xfId="10591" xr:uid="{00000000-0005-0000-0000-00004B5E0000}"/>
    <cellStyle name="Note 63 2 3 2" xfId="21879" xr:uid="{00000000-0005-0000-0000-00004C5E0000}"/>
    <cellStyle name="Note 63 2 4" xfId="8597" xr:uid="{00000000-0005-0000-0000-00004D5E0000}"/>
    <cellStyle name="Note 63 2 4 2" xfId="19885" xr:uid="{00000000-0005-0000-0000-00004E5E0000}"/>
    <cellStyle name="Note 63 2 5" xfId="6603" xr:uid="{00000000-0005-0000-0000-00004F5E0000}"/>
    <cellStyle name="Note 63 2 5 2" xfId="17891" xr:uid="{00000000-0005-0000-0000-0000505E0000}"/>
    <cellStyle name="Note 63 2 6" xfId="15897" xr:uid="{00000000-0005-0000-0000-0000515E0000}"/>
    <cellStyle name="Note 63 3" xfId="11588" xr:uid="{00000000-0005-0000-0000-0000525E0000}"/>
    <cellStyle name="Note 63 3 2" xfId="22876" xr:uid="{00000000-0005-0000-0000-0000535E0000}"/>
    <cellStyle name="Note 63 4" xfId="9594" xr:uid="{00000000-0005-0000-0000-0000545E0000}"/>
    <cellStyle name="Note 63 4 2" xfId="20882" xr:uid="{00000000-0005-0000-0000-0000555E0000}"/>
    <cellStyle name="Note 63 5" xfId="7600" xr:uid="{00000000-0005-0000-0000-0000565E0000}"/>
    <cellStyle name="Note 63 5 2" xfId="18888" xr:uid="{00000000-0005-0000-0000-0000575E0000}"/>
    <cellStyle name="Note 63 6" xfId="5606" xr:uid="{00000000-0005-0000-0000-0000585E0000}"/>
    <cellStyle name="Note 63 6 2" xfId="16894" xr:uid="{00000000-0005-0000-0000-0000595E0000}"/>
    <cellStyle name="Note 63 7" xfId="14900" xr:uid="{00000000-0005-0000-0000-00005A5E0000}"/>
    <cellStyle name="Note 63 8" xfId="13584" xr:uid="{00000000-0005-0000-0000-00005B5E0000}"/>
    <cellStyle name="Note 64" xfId="3373" xr:uid="{00000000-0005-0000-0000-00005C5E0000}"/>
    <cellStyle name="Note 64 2" xfId="4607" xr:uid="{00000000-0005-0000-0000-00005D5E0000}"/>
    <cellStyle name="Note 64 2 2" xfId="12586" xr:uid="{00000000-0005-0000-0000-00005E5E0000}"/>
    <cellStyle name="Note 64 2 2 2" xfId="23874" xr:uid="{00000000-0005-0000-0000-00005F5E0000}"/>
    <cellStyle name="Note 64 2 3" xfId="10592" xr:uid="{00000000-0005-0000-0000-0000605E0000}"/>
    <cellStyle name="Note 64 2 3 2" xfId="21880" xr:uid="{00000000-0005-0000-0000-0000615E0000}"/>
    <cellStyle name="Note 64 2 4" xfId="8598" xr:uid="{00000000-0005-0000-0000-0000625E0000}"/>
    <cellStyle name="Note 64 2 4 2" xfId="19886" xr:uid="{00000000-0005-0000-0000-0000635E0000}"/>
    <cellStyle name="Note 64 2 5" xfId="6604" xr:uid="{00000000-0005-0000-0000-0000645E0000}"/>
    <cellStyle name="Note 64 2 5 2" xfId="17892" xr:uid="{00000000-0005-0000-0000-0000655E0000}"/>
    <cellStyle name="Note 64 2 6" xfId="15898" xr:uid="{00000000-0005-0000-0000-0000665E0000}"/>
    <cellStyle name="Note 64 3" xfId="11589" xr:uid="{00000000-0005-0000-0000-0000675E0000}"/>
    <cellStyle name="Note 64 3 2" xfId="22877" xr:uid="{00000000-0005-0000-0000-0000685E0000}"/>
    <cellStyle name="Note 64 4" xfId="9595" xr:uid="{00000000-0005-0000-0000-0000695E0000}"/>
    <cellStyle name="Note 64 4 2" xfId="20883" xr:uid="{00000000-0005-0000-0000-00006A5E0000}"/>
    <cellStyle name="Note 64 5" xfId="7601" xr:uid="{00000000-0005-0000-0000-00006B5E0000}"/>
    <cellStyle name="Note 64 5 2" xfId="18889" xr:uid="{00000000-0005-0000-0000-00006C5E0000}"/>
    <cellStyle name="Note 64 6" xfId="5607" xr:uid="{00000000-0005-0000-0000-00006D5E0000}"/>
    <cellStyle name="Note 64 6 2" xfId="16895" xr:uid="{00000000-0005-0000-0000-00006E5E0000}"/>
    <cellStyle name="Note 64 7" xfId="14901" xr:uid="{00000000-0005-0000-0000-00006F5E0000}"/>
    <cellStyle name="Note 64 8" xfId="13585" xr:uid="{00000000-0005-0000-0000-0000705E0000}"/>
    <cellStyle name="Note 65" xfId="3374" xr:uid="{00000000-0005-0000-0000-0000715E0000}"/>
    <cellStyle name="Note 65 2" xfId="4608" xr:uid="{00000000-0005-0000-0000-0000725E0000}"/>
    <cellStyle name="Note 65 2 2" xfId="12587" xr:uid="{00000000-0005-0000-0000-0000735E0000}"/>
    <cellStyle name="Note 65 2 2 2" xfId="23875" xr:uid="{00000000-0005-0000-0000-0000745E0000}"/>
    <cellStyle name="Note 65 2 3" xfId="10593" xr:uid="{00000000-0005-0000-0000-0000755E0000}"/>
    <cellStyle name="Note 65 2 3 2" xfId="21881" xr:uid="{00000000-0005-0000-0000-0000765E0000}"/>
    <cellStyle name="Note 65 2 4" xfId="8599" xr:uid="{00000000-0005-0000-0000-0000775E0000}"/>
    <cellStyle name="Note 65 2 4 2" xfId="19887" xr:uid="{00000000-0005-0000-0000-0000785E0000}"/>
    <cellStyle name="Note 65 2 5" xfId="6605" xr:uid="{00000000-0005-0000-0000-0000795E0000}"/>
    <cellStyle name="Note 65 2 5 2" xfId="17893" xr:uid="{00000000-0005-0000-0000-00007A5E0000}"/>
    <cellStyle name="Note 65 2 6" xfId="15899" xr:uid="{00000000-0005-0000-0000-00007B5E0000}"/>
    <cellStyle name="Note 65 3" xfId="11590" xr:uid="{00000000-0005-0000-0000-00007C5E0000}"/>
    <cellStyle name="Note 65 3 2" xfId="22878" xr:uid="{00000000-0005-0000-0000-00007D5E0000}"/>
    <cellStyle name="Note 65 4" xfId="9596" xr:uid="{00000000-0005-0000-0000-00007E5E0000}"/>
    <cellStyle name="Note 65 4 2" xfId="20884" xr:uid="{00000000-0005-0000-0000-00007F5E0000}"/>
    <cellStyle name="Note 65 5" xfId="7602" xr:uid="{00000000-0005-0000-0000-0000805E0000}"/>
    <cellStyle name="Note 65 5 2" xfId="18890" xr:uid="{00000000-0005-0000-0000-0000815E0000}"/>
    <cellStyle name="Note 65 6" xfId="5608" xr:uid="{00000000-0005-0000-0000-0000825E0000}"/>
    <cellStyle name="Note 65 6 2" xfId="16896" xr:uid="{00000000-0005-0000-0000-0000835E0000}"/>
    <cellStyle name="Note 65 7" xfId="14902" xr:uid="{00000000-0005-0000-0000-0000845E0000}"/>
    <cellStyle name="Note 65 8" xfId="13586" xr:uid="{00000000-0005-0000-0000-0000855E0000}"/>
    <cellStyle name="Note 66" xfId="3375" xr:uid="{00000000-0005-0000-0000-0000865E0000}"/>
    <cellStyle name="Note 66 2" xfId="4609" xr:uid="{00000000-0005-0000-0000-0000875E0000}"/>
    <cellStyle name="Note 66 2 2" xfId="12588" xr:uid="{00000000-0005-0000-0000-0000885E0000}"/>
    <cellStyle name="Note 66 2 2 2" xfId="23876" xr:uid="{00000000-0005-0000-0000-0000895E0000}"/>
    <cellStyle name="Note 66 2 3" xfId="10594" xr:uid="{00000000-0005-0000-0000-00008A5E0000}"/>
    <cellStyle name="Note 66 2 3 2" xfId="21882" xr:uid="{00000000-0005-0000-0000-00008B5E0000}"/>
    <cellStyle name="Note 66 2 4" xfId="8600" xr:uid="{00000000-0005-0000-0000-00008C5E0000}"/>
    <cellStyle name="Note 66 2 4 2" xfId="19888" xr:uid="{00000000-0005-0000-0000-00008D5E0000}"/>
    <cellStyle name="Note 66 2 5" xfId="6606" xr:uid="{00000000-0005-0000-0000-00008E5E0000}"/>
    <cellStyle name="Note 66 2 5 2" xfId="17894" xr:uid="{00000000-0005-0000-0000-00008F5E0000}"/>
    <cellStyle name="Note 66 2 6" xfId="15900" xr:uid="{00000000-0005-0000-0000-0000905E0000}"/>
    <cellStyle name="Note 66 3" xfId="11591" xr:uid="{00000000-0005-0000-0000-0000915E0000}"/>
    <cellStyle name="Note 66 3 2" xfId="22879" xr:uid="{00000000-0005-0000-0000-0000925E0000}"/>
    <cellStyle name="Note 66 4" xfId="9597" xr:uid="{00000000-0005-0000-0000-0000935E0000}"/>
    <cellStyle name="Note 66 4 2" xfId="20885" xr:uid="{00000000-0005-0000-0000-0000945E0000}"/>
    <cellStyle name="Note 66 5" xfId="7603" xr:uid="{00000000-0005-0000-0000-0000955E0000}"/>
    <cellStyle name="Note 66 5 2" xfId="18891" xr:uid="{00000000-0005-0000-0000-0000965E0000}"/>
    <cellStyle name="Note 66 6" xfId="5609" xr:uid="{00000000-0005-0000-0000-0000975E0000}"/>
    <cellStyle name="Note 66 6 2" xfId="16897" xr:uid="{00000000-0005-0000-0000-0000985E0000}"/>
    <cellStyle name="Note 66 7" xfId="14903" xr:uid="{00000000-0005-0000-0000-0000995E0000}"/>
    <cellStyle name="Note 66 8" xfId="13587" xr:uid="{00000000-0005-0000-0000-00009A5E0000}"/>
    <cellStyle name="Note 67" xfId="3376" xr:uid="{00000000-0005-0000-0000-00009B5E0000}"/>
    <cellStyle name="Note 67 2" xfId="4610" xr:uid="{00000000-0005-0000-0000-00009C5E0000}"/>
    <cellStyle name="Note 67 2 2" xfId="12589" xr:uid="{00000000-0005-0000-0000-00009D5E0000}"/>
    <cellStyle name="Note 67 2 2 2" xfId="23877" xr:uid="{00000000-0005-0000-0000-00009E5E0000}"/>
    <cellStyle name="Note 67 2 3" xfId="10595" xr:uid="{00000000-0005-0000-0000-00009F5E0000}"/>
    <cellStyle name="Note 67 2 3 2" xfId="21883" xr:uid="{00000000-0005-0000-0000-0000A05E0000}"/>
    <cellStyle name="Note 67 2 4" xfId="8601" xr:uid="{00000000-0005-0000-0000-0000A15E0000}"/>
    <cellStyle name="Note 67 2 4 2" xfId="19889" xr:uid="{00000000-0005-0000-0000-0000A25E0000}"/>
    <cellStyle name="Note 67 2 5" xfId="6607" xr:uid="{00000000-0005-0000-0000-0000A35E0000}"/>
    <cellStyle name="Note 67 2 5 2" xfId="17895" xr:uid="{00000000-0005-0000-0000-0000A45E0000}"/>
    <cellStyle name="Note 67 2 6" xfId="15901" xr:uid="{00000000-0005-0000-0000-0000A55E0000}"/>
    <cellStyle name="Note 67 3" xfId="11592" xr:uid="{00000000-0005-0000-0000-0000A65E0000}"/>
    <cellStyle name="Note 67 3 2" xfId="22880" xr:uid="{00000000-0005-0000-0000-0000A75E0000}"/>
    <cellStyle name="Note 67 4" xfId="9598" xr:uid="{00000000-0005-0000-0000-0000A85E0000}"/>
    <cellStyle name="Note 67 4 2" xfId="20886" xr:uid="{00000000-0005-0000-0000-0000A95E0000}"/>
    <cellStyle name="Note 67 5" xfId="7604" xr:uid="{00000000-0005-0000-0000-0000AA5E0000}"/>
    <cellStyle name="Note 67 5 2" xfId="18892" xr:uid="{00000000-0005-0000-0000-0000AB5E0000}"/>
    <cellStyle name="Note 67 6" xfId="5610" xr:uid="{00000000-0005-0000-0000-0000AC5E0000}"/>
    <cellStyle name="Note 67 6 2" xfId="16898" xr:uid="{00000000-0005-0000-0000-0000AD5E0000}"/>
    <cellStyle name="Note 67 7" xfId="14904" xr:uid="{00000000-0005-0000-0000-0000AE5E0000}"/>
    <cellStyle name="Note 67 8" xfId="13588" xr:uid="{00000000-0005-0000-0000-0000AF5E0000}"/>
    <cellStyle name="Note 68" xfId="3377" xr:uid="{00000000-0005-0000-0000-0000B05E0000}"/>
    <cellStyle name="Note 68 2" xfId="4611" xr:uid="{00000000-0005-0000-0000-0000B15E0000}"/>
    <cellStyle name="Note 68 2 2" xfId="12590" xr:uid="{00000000-0005-0000-0000-0000B25E0000}"/>
    <cellStyle name="Note 68 2 2 2" xfId="23878" xr:uid="{00000000-0005-0000-0000-0000B35E0000}"/>
    <cellStyle name="Note 68 2 3" xfId="10596" xr:uid="{00000000-0005-0000-0000-0000B45E0000}"/>
    <cellStyle name="Note 68 2 3 2" xfId="21884" xr:uid="{00000000-0005-0000-0000-0000B55E0000}"/>
    <cellStyle name="Note 68 2 4" xfId="8602" xr:uid="{00000000-0005-0000-0000-0000B65E0000}"/>
    <cellStyle name="Note 68 2 4 2" xfId="19890" xr:uid="{00000000-0005-0000-0000-0000B75E0000}"/>
    <cellStyle name="Note 68 2 5" xfId="6608" xr:uid="{00000000-0005-0000-0000-0000B85E0000}"/>
    <cellStyle name="Note 68 2 5 2" xfId="17896" xr:uid="{00000000-0005-0000-0000-0000B95E0000}"/>
    <cellStyle name="Note 68 2 6" xfId="15902" xr:uid="{00000000-0005-0000-0000-0000BA5E0000}"/>
    <cellStyle name="Note 68 3" xfId="11593" xr:uid="{00000000-0005-0000-0000-0000BB5E0000}"/>
    <cellStyle name="Note 68 3 2" xfId="22881" xr:uid="{00000000-0005-0000-0000-0000BC5E0000}"/>
    <cellStyle name="Note 68 4" xfId="9599" xr:uid="{00000000-0005-0000-0000-0000BD5E0000}"/>
    <cellStyle name="Note 68 4 2" xfId="20887" xr:uid="{00000000-0005-0000-0000-0000BE5E0000}"/>
    <cellStyle name="Note 68 5" xfId="7605" xr:uid="{00000000-0005-0000-0000-0000BF5E0000}"/>
    <cellStyle name="Note 68 5 2" xfId="18893" xr:uid="{00000000-0005-0000-0000-0000C05E0000}"/>
    <cellStyle name="Note 68 6" xfId="5611" xr:uid="{00000000-0005-0000-0000-0000C15E0000}"/>
    <cellStyle name="Note 68 6 2" xfId="16899" xr:uid="{00000000-0005-0000-0000-0000C25E0000}"/>
    <cellStyle name="Note 68 7" xfId="14905" xr:uid="{00000000-0005-0000-0000-0000C35E0000}"/>
    <cellStyle name="Note 68 8" xfId="13589" xr:uid="{00000000-0005-0000-0000-0000C45E0000}"/>
    <cellStyle name="Note 69" xfId="3378" xr:uid="{00000000-0005-0000-0000-0000C55E0000}"/>
    <cellStyle name="Note 69 2" xfId="4612" xr:uid="{00000000-0005-0000-0000-0000C65E0000}"/>
    <cellStyle name="Note 69 2 2" xfId="12591" xr:uid="{00000000-0005-0000-0000-0000C75E0000}"/>
    <cellStyle name="Note 69 2 2 2" xfId="23879" xr:uid="{00000000-0005-0000-0000-0000C85E0000}"/>
    <cellStyle name="Note 69 2 3" xfId="10597" xr:uid="{00000000-0005-0000-0000-0000C95E0000}"/>
    <cellStyle name="Note 69 2 3 2" xfId="21885" xr:uid="{00000000-0005-0000-0000-0000CA5E0000}"/>
    <cellStyle name="Note 69 2 4" xfId="8603" xr:uid="{00000000-0005-0000-0000-0000CB5E0000}"/>
    <cellStyle name="Note 69 2 4 2" xfId="19891" xr:uid="{00000000-0005-0000-0000-0000CC5E0000}"/>
    <cellStyle name="Note 69 2 5" xfId="6609" xr:uid="{00000000-0005-0000-0000-0000CD5E0000}"/>
    <cellStyle name="Note 69 2 5 2" xfId="17897" xr:uid="{00000000-0005-0000-0000-0000CE5E0000}"/>
    <cellStyle name="Note 69 2 6" xfId="15903" xr:uid="{00000000-0005-0000-0000-0000CF5E0000}"/>
    <cellStyle name="Note 69 3" xfId="11594" xr:uid="{00000000-0005-0000-0000-0000D05E0000}"/>
    <cellStyle name="Note 69 3 2" xfId="22882" xr:uid="{00000000-0005-0000-0000-0000D15E0000}"/>
    <cellStyle name="Note 69 4" xfId="9600" xr:uid="{00000000-0005-0000-0000-0000D25E0000}"/>
    <cellStyle name="Note 69 4 2" xfId="20888" xr:uid="{00000000-0005-0000-0000-0000D35E0000}"/>
    <cellStyle name="Note 69 5" xfId="7606" xr:uid="{00000000-0005-0000-0000-0000D45E0000}"/>
    <cellStyle name="Note 69 5 2" xfId="18894" xr:uid="{00000000-0005-0000-0000-0000D55E0000}"/>
    <cellStyle name="Note 69 6" xfId="5612" xr:uid="{00000000-0005-0000-0000-0000D65E0000}"/>
    <cellStyle name="Note 69 6 2" xfId="16900" xr:uid="{00000000-0005-0000-0000-0000D75E0000}"/>
    <cellStyle name="Note 69 7" xfId="14906" xr:uid="{00000000-0005-0000-0000-0000D85E0000}"/>
    <cellStyle name="Note 69 8" xfId="13590" xr:uid="{00000000-0005-0000-0000-0000D95E0000}"/>
    <cellStyle name="Note 7" xfId="3379" xr:uid="{00000000-0005-0000-0000-0000DA5E0000}"/>
    <cellStyle name="Note 7 10" xfId="24757" xr:uid="{00000000-0005-0000-0000-0000DB5E0000}"/>
    <cellStyle name="Note 7 11" xfId="25079" xr:uid="{00000000-0005-0000-0000-0000DC5E0000}"/>
    <cellStyle name="Note 7 2" xfId="4613" xr:uid="{00000000-0005-0000-0000-0000DD5E0000}"/>
    <cellStyle name="Note 7 2 2" xfId="12592" xr:uid="{00000000-0005-0000-0000-0000DE5E0000}"/>
    <cellStyle name="Note 7 2 2 2" xfId="23880" xr:uid="{00000000-0005-0000-0000-0000DF5E0000}"/>
    <cellStyle name="Note 7 2 3" xfId="10598" xr:uid="{00000000-0005-0000-0000-0000E05E0000}"/>
    <cellStyle name="Note 7 2 3 2" xfId="21886" xr:uid="{00000000-0005-0000-0000-0000E15E0000}"/>
    <cellStyle name="Note 7 2 4" xfId="8604" xr:uid="{00000000-0005-0000-0000-0000E25E0000}"/>
    <cellStyle name="Note 7 2 4 2" xfId="19892" xr:uid="{00000000-0005-0000-0000-0000E35E0000}"/>
    <cellStyle name="Note 7 2 5" xfId="6610" xr:uid="{00000000-0005-0000-0000-0000E45E0000}"/>
    <cellStyle name="Note 7 2 5 2" xfId="17898" xr:uid="{00000000-0005-0000-0000-0000E55E0000}"/>
    <cellStyle name="Note 7 2 6" xfId="15904" xr:uid="{00000000-0005-0000-0000-0000E65E0000}"/>
    <cellStyle name="Note 7 2 7" xfId="24461" xr:uid="{00000000-0005-0000-0000-0000E75E0000}"/>
    <cellStyle name="Note 7 2 8" xfId="24905" xr:uid="{00000000-0005-0000-0000-0000E85E0000}"/>
    <cellStyle name="Note 7 2 9" xfId="25267" xr:uid="{00000000-0005-0000-0000-0000E95E0000}"/>
    <cellStyle name="Note 7 3" xfId="11595" xr:uid="{00000000-0005-0000-0000-0000EA5E0000}"/>
    <cellStyle name="Note 7 3 2" xfId="22883" xr:uid="{00000000-0005-0000-0000-0000EB5E0000}"/>
    <cellStyle name="Note 7 4" xfId="9601" xr:uid="{00000000-0005-0000-0000-0000EC5E0000}"/>
    <cellStyle name="Note 7 4 2" xfId="20889" xr:uid="{00000000-0005-0000-0000-0000ED5E0000}"/>
    <cellStyle name="Note 7 5" xfId="7607" xr:uid="{00000000-0005-0000-0000-0000EE5E0000}"/>
    <cellStyle name="Note 7 5 2" xfId="18895" xr:uid="{00000000-0005-0000-0000-0000EF5E0000}"/>
    <cellStyle name="Note 7 6" xfId="5613" xr:uid="{00000000-0005-0000-0000-0000F05E0000}"/>
    <cellStyle name="Note 7 6 2" xfId="16901" xr:uid="{00000000-0005-0000-0000-0000F15E0000}"/>
    <cellStyle name="Note 7 7" xfId="14907" xr:uid="{00000000-0005-0000-0000-0000F25E0000}"/>
    <cellStyle name="Note 7 8" xfId="13591" xr:uid="{00000000-0005-0000-0000-0000F35E0000}"/>
    <cellStyle name="Note 7 9" xfId="24195" xr:uid="{00000000-0005-0000-0000-0000F45E0000}"/>
    <cellStyle name="Note 70" xfId="3380" xr:uid="{00000000-0005-0000-0000-0000F55E0000}"/>
    <cellStyle name="Note 70 2" xfId="4614" xr:uid="{00000000-0005-0000-0000-0000F65E0000}"/>
    <cellStyle name="Note 70 2 2" xfId="12593" xr:uid="{00000000-0005-0000-0000-0000F75E0000}"/>
    <cellStyle name="Note 70 2 2 2" xfId="23881" xr:uid="{00000000-0005-0000-0000-0000F85E0000}"/>
    <cellStyle name="Note 70 2 3" xfId="10599" xr:uid="{00000000-0005-0000-0000-0000F95E0000}"/>
    <cellStyle name="Note 70 2 3 2" xfId="21887" xr:uid="{00000000-0005-0000-0000-0000FA5E0000}"/>
    <cellStyle name="Note 70 2 4" xfId="8605" xr:uid="{00000000-0005-0000-0000-0000FB5E0000}"/>
    <cellStyle name="Note 70 2 4 2" xfId="19893" xr:uid="{00000000-0005-0000-0000-0000FC5E0000}"/>
    <cellStyle name="Note 70 2 5" xfId="6611" xr:uid="{00000000-0005-0000-0000-0000FD5E0000}"/>
    <cellStyle name="Note 70 2 5 2" xfId="17899" xr:uid="{00000000-0005-0000-0000-0000FE5E0000}"/>
    <cellStyle name="Note 70 2 6" xfId="15905" xr:uid="{00000000-0005-0000-0000-0000FF5E0000}"/>
    <cellStyle name="Note 70 3" xfId="11596" xr:uid="{00000000-0005-0000-0000-0000005F0000}"/>
    <cellStyle name="Note 70 3 2" xfId="22884" xr:uid="{00000000-0005-0000-0000-0000015F0000}"/>
    <cellStyle name="Note 70 4" xfId="9602" xr:uid="{00000000-0005-0000-0000-0000025F0000}"/>
    <cellStyle name="Note 70 4 2" xfId="20890" xr:uid="{00000000-0005-0000-0000-0000035F0000}"/>
    <cellStyle name="Note 70 5" xfId="7608" xr:uid="{00000000-0005-0000-0000-0000045F0000}"/>
    <cellStyle name="Note 70 5 2" xfId="18896" xr:uid="{00000000-0005-0000-0000-0000055F0000}"/>
    <cellStyle name="Note 70 6" xfId="5614" xr:uid="{00000000-0005-0000-0000-0000065F0000}"/>
    <cellStyle name="Note 70 6 2" xfId="16902" xr:uid="{00000000-0005-0000-0000-0000075F0000}"/>
    <cellStyle name="Note 70 7" xfId="14908" xr:uid="{00000000-0005-0000-0000-0000085F0000}"/>
    <cellStyle name="Note 70 8" xfId="13592" xr:uid="{00000000-0005-0000-0000-0000095F0000}"/>
    <cellStyle name="Note 71" xfId="3381" xr:uid="{00000000-0005-0000-0000-00000A5F0000}"/>
    <cellStyle name="Note 71 2" xfId="4615" xr:uid="{00000000-0005-0000-0000-00000B5F0000}"/>
    <cellStyle name="Note 71 2 2" xfId="12594" xr:uid="{00000000-0005-0000-0000-00000C5F0000}"/>
    <cellStyle name="Note 71 2 2 2" xfId="23882" xr:uid="{00000000-0005-0000-0000-00000D5F0000}"/>
    <cellStyle name="Note 71 2 3" xfId="10600" xr:uid="{00000000-0005-0000-0000-00000E5F0000}"/>
    <cellStyle name="Note 71 2 3 2" xfId="21888" xr:uid="{00000000-0005-0000-0000-00000F5F0000}"/>
    <cellStyle name="Note 71 2 4" xfId="8606" xr:uid="{00000000-0005-0000-0000-0000105F0000}"/>
    <cellStyle name="Note 71 2 4 2" xfId="19894" xr:uid="{00000000-0005-0000-0000-0000115F0000}"/>
    <cellStyle name="Note 71 2 5" xfId="6612" xr:uid="{00000000-0005-0000-0000-0000125F0000}"/>
    <cellStyle name="Note 71 2 5 2" xfId="17900" xr:uid="{00000000-0005-0000-0000-0000135F0000}"/>
    <cellStyle name="Note 71 2 6" xfId="15906" xr:uid="{00000000-0005-0000-0000-0000145F0000}"/>
    <cellStyle name="Note 71 3" xfId="11597" xr:uid="{00000000-0005-0000-0000-0000155F0000}"/>
    <cellStyle name="Note 71 3 2" xfId="22885" xr:uid="{00000000-0005-0000-0000-0000165F0000}"/>
    <cellStyle name="Note 71 4" xfId="9603" xr:uid="{00000000-0005-0000-0000-0000175F0000}"/>
    <cellStyle name="Note 71 4 2" xfId="20891" xr:uid="{00000000-0005-0000-0000-0000185F0000}"/>
    <cellStyle name="Note 71 5" xfId="7609" xr:uid="{00000000-0005-0000-0000-0000195F0000}"/>
    <cellStyle name="Note 71 5 2" xfId="18897" xr:uid="{00000000-0005-0000-0000-00001A5F0000}"/>
    <cellStyle name="Note 71 6" xfId="5615" xr:uid="{00000000-0005-0000-0000-00001B5F0000}"/>
    <cellStyle name="Note 71 6 2" xfId="16903" xr:uid="{00000000-0005-0000-0000-00001C5F0000}"/>
    <cellStyle name="Note 71 7" xfId="14909" xr:uid="{00000000-0005-0000-0000-00001D5F0000}"/>
    <cellStyle name="Note 71 8" xfId="13593" xr:uid="{00000000-0005-0000-0000-00001E5F0000}"/>
    <cellStyle name="Note 72" xfId="3382" xr:uid="{00000000-0005-0000-0000-00001F5F0000}"/>
    <cellStyle name="Note 72 2" xfId="4616" xr:uid="{00000000-0005-0000-0000-0000205F0000}"/>
    <cellStyle name="Note 72 2 2" xfId="12595" xr:uid="{00000000-0005-0000-0000-0000215F0000}"/>
    <cellStyle name="Note 72 2 2 2" xfId="23883" xr:uid="{00000000-0005-0000-0000-0000225F0000}"/>
    <cellStyle name="Note 72 2 3" xfId="10601" xr:uid="{00000000-0005-0000-0000-0000235F0000}"/>
    <cellStyle name="Note 72 2 3 2" xfId="21889" xr:uid="{00000000-0005-0000-0000-0000245F0000}"/>
    <cellStyle name="Note 72 2 4" xfId="8607" xr:uid="{00000000-0005-0000-0000-0000255F0000}"/>
    <cellStyle name="Note 72 2 4 2" xfId="19895" xr:uid="{00000000-0005-0000-0000-0000265F0000}"/>
    <cellStyle name="Note 72 2 5" xfId="6613" xr:uid="{00000000-0005-0000-0000-0000275F0000}"/>
    <cellStyle name="Note 72 2 5 2" xfId="17901" xr:uid="{00000000-0005-0000-0000-0000285F0000}"/>
    <cellStyle name="Note 72 2 6" xfId="15907" xr:uid="{00000000-0005-0000-0000-0000295F0000}"/>
    <cellStyle name="Note 72 3" xfId="11598" xr:uid="{00000000-0005-0000-0000-00002A5F0000}"/>
    <cellStyle name="Note 72 3 2" xfId="22886" xr:uid="{00000000-0005-0000-0000-00002B5F0000}"/>
    <cellStyle name="Note 72 4" xfId="9604" xr:uid="{00000000-0005-0000-0000-00002C5F0000}"/>
    <cellStyle name="Note 72 4 2" xfId="20892" xr:uid="{00000000-0005-0000-0000-00002D5F0000}"/>
    <cellStyle name="Note 72 5" xfId="7610" xr:uid="{00000000-0005-0000-0000-00002E5F0000}"/>
    <cellStyle name="Note 72 5 2" xfId="18898" xr:uid="{00000000-0005-0000-0000-00002F5F0000}"/>
    <cellStyle name="Note 72 6" xfId="5616" xr:uid="{00000000-0005-0000-0000-0000305F0000}"/>
    <cellStyle name="Note 72 6 2" xfId="16904" xr:uid="{00000000-0005-0000-0000-0000315F0000}"/>
    <cellStyle name="Note 72 7" xfId="14910" xr:uid="{00000000-0005-0000-0000-0000325F0000}"/>
    <cellStyle name="Note 72 8" xfId="13594" xr:uid="{00000000-0005-0000-0000-0000335F0000}"/>
    <cellStyle name="Note 8" xfId="3383" xr:uid="{00000000-0005-0000-0000-0000345F0000}"/>
    <cellStyle name="Note 8 10" xfId="24758" xr:uid="{00000000-0005-0000-0000-0000355F0000}"/>
    <cellStyle name="Note 8 11" xfId="25080" xr:uid="{00000000-0005-0000-0000-0000365F0000}"/>
    <cellStyle name="Note 8 2" xfId="4617" xr:uid="{00000000-0005-0000-0000-0000375F0000}"/>
    <cellStyle name="Note 8 2 2" xfId="12596" xr:uid="{00000000-0005-0000-0000-0000385F0000}"/>
    <cellStyle name="Note 8 2 2 2" xfId="23884" xr:uid="{00000000-0005-0000-0000-0000395F0000}"/>
    <cellStyle name="Note 8 2 3" xfId="10602" xr:uid="{00000000-0005-0000-0000-00003A5F0000}"/>
    <cellStyle name="Note 8 2 3 2" xfId="21890" xr:uid="{00000000-0005-0000-0000-00003B5F0000}"/>
    <cellStyle name="Note 8 2 4" xfId="8608" xr:uid="{00000000-0005-0000-0000-00003C5F0000}"/>
    <cellStyle name="Note 8 2 4 2" xfId="19896" xr:uid="{00000000-0005-0000-0000-00003D5F0000}"/>
    <cellStyle name="Note 8 2 5" xfId="6614" xr:uid="{00000000-0005-0000-0000-00003E5F0000}"/>
    <cellStyle name="Note 8 2 5 2" xfId="17902" xr:uid="{00000000-0005-0000-0000-00003F5F0000}"/>
    <cellStyle name="Note 8 2 6" xfId="15908" xr:uid="{00000000-0005-0000-0000-0000405F0000}"/>
    <cellStyle name="Note 8 2 7" xfId="24462" xr:uid="{00000000-0005-0000-0000-0000415F0000}"/>
    <cellStyle name="Note 8 2 8" xfId="24906" xr:uid="{00000000-0005-0000-0000-0000425F0000}"/>
    <cellStyle name="Note 8 2 9" xfId="25268" xr:uid="{00000000-0005-0000-0000-0000435F0000}"/>
    <cellStyle name="Note 8 3" xfId="11599" xr:uid="{00000000-0005-0000-0000-0000445F0000}"/>
    <cellStyle name="Note 8 3 2" xfId="22887" xr:uid="{00000000-0005-0000-0000-0000455F0000}"/>
    <cellStyle name="Note 8 4" xfId="9605" xr:uid="{00000000-0005-0000-0000-0000465F0000}"/>
    <cellStyle name="Note 8 4 2" xfId="20893" xr:uid="{00000000-0005-0000-0000-0000475F0000}"/>
    <cellStyle name="Note 8 5" xfId="7611" xr:uid="{00000000-0005-0000-0000-0000485F0000}"/>
    <cellStyle name="Note 8 5 2" xfId="18899" xr:uid="{00000000-0005-0000-0000-0000495F0000}"/>
    <cellStyle name="Note 8 6" xfId="5617" xr:uid="{00000000-0005-0000-0000-00004A5F0000}"/>
    <cellStyle name="Note 8 6 2" xfId="16905" xr:uid="{00000000-0005-0000-0000-00004B5F0000}"/>
    <cellStyle name="Note 8 7" xfId="14911" xr:uid="{00000000-0005-0000-0000-00004C5F0000}"/>
    <cellStyle name="Note 8 8" xfId="13595" xr:uid="{00000000-0005-0000-0000-00004D5F0000}"/>
    <cellStyle name="Note 8 9" xfId="24196" xr:uid="{00000000-0005-0000-0000-00004E5F0000}"/>
    <cellStyle name="Note 9" xfId="3384" xr:uid="{00000000-0005-0000-0000-00004F5F0000}"/>
    <cellStyle name="Note 9 10" xfId="24759" xr:uid="{00000000-0005-0000-0000-0000505F0000}"/>
    <cellStyle name="Note 9 11" xfId="25081" xr:uid="{00000000-0005-0000-0000-0000515F0000}"/>
    <cellStyle name="Note 9 2" xfId="4618" xr:uid="{00000000-0005-0000-0000-0000525F0000}"/>
    <cellStyle name="Note 9 2 2" xfId="12597" xr:uid="{00000000-0005-0000-0000-0000535F0000}"/>
    <cellStyle name="Note 9 2 2 2" xfId="23885" xr:uid="{00000000-0005-0000-0000-0000545F0000}"/>
    <cellStyle name="Note 9 2 3" xfId="10603" xr:uid="{00000000-0005-0000-0000-0000555F0000}"/>
    <cellStyle name="Note 9 2 3 2" xfId="21891" xr:uid="{00000000-0005-0000-0000-0000565F0000}"/>
    <cellStyle name="Note 9 2 4" xfId="8609" xr:uid="{00000000-0005-0000-0000-0000575F0000}"/>
    <cellStyle name="Note 9 2 4 2" xfId="19897" xr:uid="{00000000-0005-0000-0000-0000585F0000}"/>
    <cellStyle name="Note 9 2 5" xfId="6615" xr:uid="{00000000-0005-0000-0000-0000595F0000}"/>
    <cellStyle name="Note 9 2 5 2" xfId="17903" xr:uid="{00000000-0005-0000-0000-00005A5F0000}"/>
    <cellStyle name="Note 9 2 6" xfId="15909" xr:uid="{00000000-0005-0000-0000-00005B5F0000}"/>
    <cellStyle name="Note 9 2 7" xfId="24463" xr:uid="{00000000-0005-0000-0000-00005C5F0000}"/>
    <cellStyle name="Note 9 2 8" xfId="24907" xr:uid="{00000000-0005-0000-0000-00005D5F0000}"/>
    <cellStyle name="Note 9 2 9" xfId="25269" xr:uid="{00000000-0005-0000-0000-00005E5F0000}"/>
    <cellStyle name="Note 9 3" xfId="11600" xr:uid="{00000000-0005-0000-0000-00005F5F0000}"/>
    <cellStyle name="Note 9 3 2" xfId="22888" xr:uid="{00000000-0005-0000-0000-0000605F0000}"/>
    <cellStyle name="Note 9 4" xfId="9606" xr:uid="{00000000-0005-0000-0000-0000615F0000}"/>
    <cellStyle name="Note 9 4 2" xfId="20894" xr:uid="{00000000-0005-0000-0000-0000625F0000}"/>
    <cellStyle name="Note 9 5" xfId="7612" xr:uid="{00000000-0005-0000-0000-0000635F0000}"/>
    <cellStyle name="Note 9 5 2" xfId="18900" xr:uid="{00000000-0005-0000-0000-0000645F0000}"/>
    <cellStyle name="Note 9 6" xfId="5618" xr:uid="{00000000-0005-0000-0000-0000655F0000}"/>
    <cellStyle name="Note 9 6 2" xfId="16906" xr:uid="{00000000-0005-0000-0000-0000665F0000}"/>
    <cellStyle name="Note 9 7" xfId="14912" xr:uid="{00000000-0005-0000-0000-0000675F0000}"/>
    <cellStyle name="Note 9 8" xfId="13596" xr:uid="{00000000-0005-0000-0000-0000685F0000}"/>
    <cellStyle name="Note 9 9" xfId="24197" xr:uid="{00000000-0005-0000-0000-0000695F0000}"/>
    <cellStyle name="Number" xfId="62" xr:uid="{00000000-0005-0000-0000-00006A5F0000}"/>
    <cellStyle name="Number 10" xfId="24416" xr:uid="{00000000-0005-0000-0000-00006B5F0000}"/>
    <cellStyle name="number 11" xfId="23923" xr:uid="{00000000-0005-0000-0000-00006C5F0000}"/>
    <cellStyle name="number 12" xfId="24248" xr:uid="{00000000-0005-0000-0000-00006D5F0000}"/>
    <cellStyle name="number 13" xfId="24529" xr:uid="{00000000-0005-0000-0000-00006E5F0000}"/>
    <cellStyle name="number 14" xfId="24518" xr:uid="{00000000-0005-0000-0000-00006F5F0000}"/>
    <cellStyle name="number 15" xfId="24522" xr:uid="{00000000-0005-0000-0000-0000705F0000}"/>
    <cellStyle name="number 16" xfId="24184" xr:uid="{00000000-0005-0000-0000-0000715F0000}"/>
    <cellStyle name="number 17" xfId="24532" xr:uid="{00000000-0005-0000-0000-0000725F0000}"/>
    <cellStyle name="number 18" xfId="24521" xr:uid="{00000000-0005-0000-0000-0000735F0000}"/>
    <cellStyle name="number 19" xfId="24523" xr:uid="{00000000-0005-0000-0000-0000745F0000}"/>
    <cellStyle name="number 2" xfId="24199" xr:uid="{00000000-0005-0000-0000-0000755F0000}"/>
    <cellStyle name="number 20" xfId="24542" xr:uid="{00000000-0005-0000-0000-0000765F0000}"/>
    <cellStyle name="number 21" xfId="24065" xr:uid="{00000000-0005-0000-0000-0000775F0000}"/>
    <cellStyle name="number 22" xfId="24551" xr:uid="{00000000-0005-0000-0000-0000785F0000}"/>
    <cellStyle name="number 23" xfId="24770" xr:uid="{00000000-0005-0000-0000-0000795F0000}"/>
    <cellStyle name="number 24" xfId="24671" xr:uid="{00000000-0005-0000-0000-00007A5F0000}"/>
    <cellStyle name="number 25" xfId="24779" xr:uid="{00000000-0005-0000-0000-00007B5F0000}"/>
    <cellStyle name="number 26" xfId="24860" xr:uid="{00000000-0005-0000-0000-00007C5F0000}"/>
    <cellStyle name="number 27" xfId="24936" xr:uid="{00000000-0005-0000-0000-00007D5F0000}"/>
    <cellStyle name="number 28" xfId="24931" xr:uid="{00000000-0005-0000-0000-00007E5F0000}"/>
    <cellStyle name="number 29" xfId="24764" xr:uid="{00000000-0005-0000-0000-00007F5F0000}"/>
    <cellStyle name="number 3" xfId="24200" xr:uid="{00000000-0005-0000-0000-0000805F0000}"/>
    <cellStyle name="number 30" xfId="24917" xr:uid="{00000000-0005-0000-0000-0000815F0000}"/>
    <cellStyle name="number 31" xfId="24940" xr:uid="{00000000-0005-0000-0000-0000825F0000}"/>
    <cellStyle name="number 32" xfId="24704" xr:uid="{00000000-0005-0000-0000-0000835F0000}"/>
    <cellStyle name="number 33" xfId="24670" xr:uid="{00000000-0005-0000-0000-0000845F0000}"/>
    <cellStyle name="number 34" xfId="24555" xr:uid="{00000000-0005-0000-0000-0000855F0000}"/>
    <cellStyle name="number 35" xfId="24945" xr:uid="{00000000-0005-0000-0000-0000865F0000}"/>
    <cellStyle name="Number 4" xfId="24198" xr:uid="{00000000-0005-0000-0000-0000875F0000}"/>
    <cellStyle name="Number 5" xfId="24311" xr:uid="{00000000-0005-0000-0000-0000885F0000}"/>
    <cellStyle name="Number 6" xfId="24309" xr:uid="{00000000-0005-0000-0000-0000895F0000}"/>
    <cellStyle name="Number 7" xfId="24310" xr:uid="{00000000-0005-0000-0000-00008A5F0000}"/>
    <cellStyle name="Number 8" xfId="24464" xr:uid="{00000000-0005-0000-0000-00008B5F0000}"/>
    <cellStyle name="Number 9" xfId="24394" xr:uid="{00000000-0005-0000-0000-00008C5F0000}"/>
    <cellStyle name="Numbers" xfId="578" xr:uid="{00000000-0005-0000-0000-00008D5F0000}"/>
    <cellStyle name="Numbers - Bold" xfId="579" xr:uid="{00000000-0005-0000-0000-00008E5F0000}"/>
    <cellStyle name="Numbers - Bold 2" xfId="24201" xr:uid="{00000000-0005-0000-0000-00008F5F0000}"/>
    <cellStyle name="Output 10" xfId="3385" xr:uid="{00000000-0005-0000-0000-0000905F0000}"/>
    <cellStyle name="Output 11" xfId="3386" xr:uid="{00000000-0005-0000-0000-0000915F0000}"/>
    <cellStyle name="Output 12" xfId="3387" xr:uid="{00000000-0005-0000-0000-0000925F0000}"/>
    <cellStyle name="Output 13" xfId="3388" xr:uid="{00000000-0005-0000-0000-0000935F0000}"/>
    <cellStyle name="Output 14" xfId="3389" xr:uid="{00000000-0005-0000-0000-0000945F0000}"/>
    <cellStyle name="Output 15" xfId="3390" xr:uid="{00000000-0005-0000-0000-0000955F0000}"/>
    <cellStyle name="Output 16" xfId="3391" xr:uid="{00000000-0005-0000-0000-0000965F0000}"/>
    <cellStyle name="Output 17" xfId="3392" xr:uid="{00000000-0005-0000-0000-0000975F0000}"/>
    <cellStyle name="Output 18" xfId="3393" xr:uid="{00000000-0005-0000-0000-0000985F0000}"/>
    <cellStyle name="Output 19" xfId="3394" xr:uid="{00000000-0005-0000-0000-0000995F0000}"/>
    <cellStyle name="Output 2" xfId="3395" xr:uid="{00000000-0005-0000-0000-00009A5F0000}"/>
    <cellStyle name="Output 2 2" xfId="24203" xr:uid="{00000000-0005-0000-0000-00009B5F0000}"/>
    <cellStyle name="Output 2 2 2" xfId="24696" xr:uid="{00000000-0005-0000-0000-00009C5F0000}"/>
    <cellStyle name="Output 2 2 2 2" xfId="25348" xr:uid="{00000000-0005-0000-0000-00009D5F0000}"/>
    <cellStyle name="Output 2 2 2 3" xfId="25655" xr:uid="{00000000-0005-0000-0000-00009E5F0000}"/>
    <cellStyle name="Output 2 2 3" xfId="25083" xr:uid="{00000000-0005-0000-0000-00009F5F0000}"/>
    <cellStyle name="Output 2 2 3 2" xfId="25416" xr:uid="{00000000-0005-0000-0000-0000A05F0000}"/>
    <cellStyle name="Output 2 2 3 3" xfId="25683" xr:uid="{00000000-0005-0000-0000-0000A15F0000}"/>
    <cellStyle name="Output 2 2 4" xfId="25364" xr:uid="{00000000-0005-0000-0000-0000A25F0000}"/>
    <cellStyle name="Output 2 2 5" xfId="25570" xr:uid="{00000000-0005-0000-0000-0000A35F0000}"/>
    <cellStyle name="Output 2 3" xfId="24202" xr:uid="{00000000-0005-0000-0000-0000A45F0000}"/>
    <cellStyle name="Output 2 3 2" xfId="25453" xr:uid="{00000000-0005-0000-0000-0000A55F0000}"/>
    <cellStyle name="Output 2 3 3" xfId="25569" xr:uid="{00000000-0005-0000-0000-0000A65F0000}"/>
    <cellStyle name="Output 2 4" xfId="24697" xr:uid="{00000000-0005-0000-0000-0000A75F0000}"/>
    <cellStyle name="Output 2 4 2" xfId="25449" xr:uid="{00000000-0005-0000-0000-0000A85F0000}"/>
    <cellStyle name="Output 2 4 3" xfId="25656" xr:uid="{00000000-0005-0000-0000-0000A95F0000}"/>
    <cellStyle name="Output 2 5" xfId="25082" xr:uid="{00000000-0005-0000-0000-0000AA5F0000}"/>
    <cellStyle name="Output 2 5 2" xfId="25315" xr:uid="{00000000-0005-0000-0000-0000AB5F0000}"/>
    <cellStyle name="Output 2 5 3" xfId="25682" xr:uid="{00000000-0005-0000-0000-0000AC5F0000}"/>
    <cellStyle name="Output 20" xfId="3396" xr:uid="{00000000-0005-0000-0000-0000AD5F0000}"/>
    <cellStyle name="Output 21" xfId="3397" xr:uid="{00000000-0005-0000-0000-0000AE5F0000}"/>
    <cellStyle name="Output 22" xfId="3398" xr:uid="{00000000-0005-0000-0000-0000AF5F0000}"/>
    <cellStyle name="Output 23" xfId="3399" xr:uid="{00000000-0005-0000-0000-0000B05F0000}"/>
    <cellStyle name="Output 24" xfId="3400" xr:uid="{00000000-0005-0000-0000-0000B15F0000}"/>
    <cellStyle name="Output 25" xfId="3401" xr:uid="{00000000-0005-0000-0000-0000B25F0000}"/>
    <cellStyle name="Output 26" xfId="3402" xr:uid="{00000000-0005-0000-0000-0000B35F0000}"/>
    <cellStyle name="Output 27" xfId="3403" xr:uid="{00000000-0005-0000-0000-0000B45F0000}"/>
    <cellStyle name="Output 28" xfId="3404" xr:uid="{00000000-0005-0000-0000-0000B55F0000}"/>
    <cellStyle name="Output 29" xfId="3405" xr:uid="{00000000-0005-0000-0000-0000B65F0000}"/>
    <cellStyle name="Output 3" xfId="3406" xr:uid="{00000000-0005-0000-0000-0000B75F0000}"/>
    <cellStyle name="Output 3 2" xfId="24205" xr:uid="{00000000-0005-0000-0000-0000B85F0000}"/>
    <cellStyle name="Output 3 2 2" xfId="24694" xr:uid="{00000000-0005-0000-0000-0000B95F0000}"/>
    <cellStyle name="Output 3 2 2 2" xfId="25331" xr:uid="{00000000-0005-0000-0000-0000BA5F0000}"/>
    <cellStyle name="Output 3 2 2 3" xfId="25653" xr:uid="{00000000-0005-0000-0000-0000BB5F0000}"/>
    <cellStyle name="Output 3 2 3" xfId="25085" xr:uid="{00000000-0005-0000-0000-0000BC5F0000}"/>
    <cellStyle name="Output 3 2 3 2" xfId="25430" xr:uid="{00000000-0005-0000-0000-0000BD5F0000}"/>
    <cellStyle name="Output 3 2 3 3" xfId="25685" xr:uid="{00000000-0005-0000-0000-0000BE5F0000}"/>
    <cellStyle name="Output 3 2 4" xfId="25291" xr:uid="{00000000-0005-0000-0000-0000BF5F0000}"/>
    <cellStyle name="Output 3 2 5" xfId="25572" xr:uid="{00000000-0005-0000-0000-0000C05F0000}"/>
    <cellStyle name="Output 3 3" xfId="24204" xr:uid="{00000000-0005-0000-0000-0000C15F0000}"/>
    <cellStyle name="Output 3 3 2" xfId="25301" xr:uid="{00000000-0005-0000-0000-0000C25F0000}"/>
    <cellStyle name="Output 3 3 3" xfId="25571" xr:uid="{00000000-0005-0000-0000-0000C35F0000}"/>
    <cellStyle name="Output 3 4" xfId="24695" xr:uid="{00000000-0005-0000-0000-0000C45F0000}"/>
    <cellStyle name="Output 3 4 2" xfId="25432" xr:uid="{00000000-0005-0000-0000-0000C55F0000}"/>
    <cellStyle name="Output 3 4 3" xfId="25654" xr:uid="{00000000-0005-0000-0000-0000C65F0000}"/>
    <cellStyle name="Output 3 5" xfId="25084" xr:uid="{00000000-0005-0000-0000-0000C75F0000}"/>
    <cellStyle name="Output 3 5 2" xfId="25329" xr:uid="{00000000-0005-0000-0000-0000C85F0000}"/>
    <cellStyle name="Output 3 5 3" xfId="25684" xr:uid="{00000000-0005-0000-0000-0000C95F0000}"/>
    <cellStyle name="Output 30" xfId="3407" xr:uid="{00000000-0005-0000-0000-0000CA5F0000}"/>
    <cellStyle name="Output 31" xfId="3408" xr:uid="{00000000-0005-0000-0000-0000CB5F0000}"/>
    <cellStyle name="Output 32" xfId="3409" xr:uid="{00000000-0005-0000-0000-0000CC5F0000}"/>
    <cellStyle name="Output 33" xfId="3410" xr:uid="{00000000-0005-0000-0000-0000CD5F0000}"/>
    <cellStyle name="Output 34" xfId="3411" xr:uid="{00000000-0005-0000-0000-0000CE5F0000}"/>
    <cellStyle name="Output 35" xfId="3412" xr:uid="{00000000-0005-0000-0000-0000CF5F0000}"/>
    <cellStyle name="Output 36" xfId="3413" xr:uid="{00000000-0005-0000-0000-0000D05F0000}"/>
    <cellStyle name="Output 37" xfId="3414" xr:uid="{00000000-0005-0000-0000-0000D15F0000}"/>
    <cellStyle name="Output 38" xfId="3415" xr:uid="{00000000-0005-0000-0000-0000D25F0000}"/>
    <cellStyle name="Output 39" xfId="3416" xr:uid="{00000000-0005-0000-0000-0000D35F0000}"/>
    <cellStyle name="Output 4" xfId="3417" xr:uid="{00000000-0005-0000-0000-0000D45F0000}"/>
    <cellStyle name="Output 4 2" xfId="24206" xr:uid="{00000000-0005-0000-0000-0000D55F0000}"/>
    <cellStyle name="Output 4 2 2" xfId="25373" xr:uid="{00000000-0005-0000-0000-0000D65F0000}"/>
    <cellStyle name="Output 4 2 3" xfId="25573" xr:uid="{00000000-0005-0000-0000-0000D75F0000}"/>
    <cellStyle name="Output 4 3" xfId="24693" xr:uid="{00000000-0005-0000-0000-0000D85F0000}"/>
    <cellStyle name="Output 4 3 2" xfId="25417" xr:uid="{00000000-0005-0000-0000-0000D95F0000}"/>
    <cellStyle name="Output 4 3 3" xfId="25652" xr:uid="{00000000-0005-0000-0000-0000DA5F0000}"/>
    <cellStyle name="Output 4 4" xfId="25086" xr:uid="{00000000-0005-0000-0000-0000DB5F0000}"/>
    <cellStyle name="Output 4 4 2" xfId="25346" xr:uid="{00000000-0005-0000-0000-0000DC5F0000}"/>
    <cellStyle name="Output 4 4 3" xfId="25686" xr:uid="{00000000-0005-0000-0000-0000DD5F0000}"/>
    <cellStyle name="Output 40" xfId="3418" xr:uid="{00000000-0005-0000-0000-0000DE5F0000}"/>
    <cellStyle name="Output 41" xfId="3419" xr:uid="{00000000-0005-0000-0000-0000DF5F0000}"/>
    <cellStyle name="Output 42" xfId="3420" xr:uid="{00000000-0005-0000-0000-0000E05F0000}"/>
    <cellStyle name="Output 43" xfId="3421" xr:uid="{00000000-0005-0000-0000-0000E15F0000}"/>
    <cellStyle name="Output 44" xfId="3422" xr:uid="{00000000-0005-0000-0000-0000E25F0000}"/>
    <cellStyle name="Output 45" xfId="3423" xr:uid="{00000000-0005-0000-0000-0000E35F0000}"/>
    <cellStyle name="Output 46" xfId="3424" xr:uid="{00000000-0005-0000-0000-0000E45F0000}"/>
    <cellStyle name="Output 47" xfId="3425" xr:uid="{00000000-0005-0000-0000-0000E55F0000}"/>
    <cellStyle name="Output 48" xfId="3426" xr:uid="{00000000-0005-0000-0000-0000E65F0000}"/>
    <cellStyle name="Output 49" xfId="3427" xr:uid="{00000000-0005-0000-0000-0000E75F0000}"/>
    <cellStyle name="Output 5" xfId="3428" xr:uid="{00000000-0005-0000-0000-0000E85F0000}"/>
    <cellStyle name="Output 5 2" xfId="24207" xr:uid="{00000000-0005-0000-0000-0000E95F0000}"/>
    <cellStyle name="Output 5 2 2" xfId="25386" xr:uid="{00000000-0005-0000-0000-0000EA5F0000}"/>
    <cellStyle name="Output 5 2 3" xfId="25574" xr:uid="{00000000-0005-0000-0000-0000EB5F0000}"/>
    <cellStyle name="Output 5 3" xfId="24692" xr:uid="{00000000-0005-0000-0000-0000EC5F0000}"/>
    <cellStyle name="Output 5 3 2" xfId="25316" xr:uid="{00000000-0005-0000-0000-0000ED5F0000}"/>
    <cellStyle name="Output 5 3 3" xfId="25651" xr:uid="{00000000-0005-0000-0000-0000EE5F0000}"/>
    <cellStyle name="Output 5 4" xfId="25087" xr:uid="{00000000-0005-0000-0000-0000EF5F0000}"/>
    <cellStyle name="Output 5 4 2" xfId="25447" xr:uid="{00000000-0005-0000-0000-0000F05F0000}"/>
    <cellStyle name="Output 5 4 3" xfId="25687" xr:uid="{00000000-0005-0000-0000-0000F15F0000}"/>
    <cellStyle name="Output 50" xfId="3429" xr:uid="{00000000-0005-0000-0000-0000F25F0000}"/>
    <cellStyle name="Output 51" xfId="3430" xr:uid="{00000000-0005-0000-0000-0000F35F0000}"/>
    <cellStyle name="Output 52" xfId="3431" xr:uid="{00000000-0005-0000-0000-0000F45F0000}"/>
    <cellStyle name="Output 53" xfId="3432" xr:uid="{00000000-0005-0000-0000-0000F55F0000}"/>
    <cellStyle name="Output 54" xfId="3433" xr:uid="{00000000-0005-0000-0000-0000F65F0000}"/>
    <cellStyle name="Output 55" xfId="3434" xr:uid="{00000000-0005-0000-0000-0000F75F0000}"/>
    <cellStyle name="Output 56" xfId="3435" xr:uid="{00000000-0005-0000-0000-0000F85F0000}"/>
    <cellStyle name="Output 57" xfId="3436" xr:uid="{00000000-0005-0000-0000-0000F95F0000}"/>
    <cellStyle name="Output 58" xfId="3437" xr:uid="{00000000-0005-0000-0000-0000FA5F0000}"/>
    <cellStyle name="Output 59" xfId="3438" xr:uid="{00000000-0005-0000-0000-0000FB5F0000}"/>
    <cellStyle name="Output 6" xfId="3439" xr:uid="{00000000-0005-0000-0000-0000FC5F0000}"/>
    <cellStyle name="Output 60" xfId="3440" xr:uid="{00000000-0005-0000-0000-0000FD5F0000}"/>
    <cellStyle name="Output 61" xfId="3441" xr:uid="{00000000-0005-0000-0000-0000FE5F0000}"/>
    <cellStyle name="Output 62" xfId="3442" xr:uid="{00000000-0005-0000-0000-0000FF5F0000}"/>
    <cellStyle name="Output 63" xfId="3443" xr:uid="{00000000-0005-0000-0000-000000600000}"/>
    <cellStyle name="Output 64" xfId="3444" xr:uid="{00000000-0005-0000-0000-000001600000}"/>
    <cellStyle name="Output 65" xfId="3445" xr:uid="{00000000-0005-0000-0000-000002600000}"/>
    <cellStyle name="Output 66" xfId="3446" xr:uid="{00000000-0005-0000-0000-000003600000}"/>
    <cellStyle name="Output 67" xfId="3447" xr:uid="{00000000-0005-0000-0000-000004600000}"/>
    <cellStyle name="Output 68" xfId="3448" xr:uid="{00000000-0005-0000-0000-000005600000}"/>
    <cellStyle name="Output 69" xfId="3449" xr:uid="{00000000-0005-0000-0000-000006600000}"/>
    <cellStyle name="Output 7" xfId="3450" xr:uid="{00000000-0005-0000-0000-000007600000}"/>
    <cellStyle name="Output 70" xfId="3451" xr:uid="{00000000-0005-0000-0000-000008600000}"/>
    <cellStyle name="Output 71" xfId="3452" xr:uid="{00000000-0005-0000-0000-000009600000}"/>
    <cellStyle name="Output 72" xfId="3453" xr:uid="{00000000-0005-0000-0000-00000A600000}"/>
    <cellStyle name="Output 8" xfId="3454" xr:uid="{00000000-0005-0000-0000-00000B600000}"/>
    <cellStyle name="Output 9" xfId="3455" xr:uid="{00000000-0005-0000-0000-00000C600000}"/>
    <cellStyle name="Output Amounts" xfId="580" xr:uid="{00000000-0005-0000-0000-00000D600000}"/>
    <cellStyle name="Output Amounts 2" xfId="3456" xr:uid="{00000000-0005-0000-0000-00000E600000}"/>
    <cellStyle name="Output Amounts 2 2" xfId="24208" xr:uid="{00000000-0005-0000-0000-00000F600000}"/>
    <cellStyle name="Output Amounts 3" xfId="13903" xr:uid="{00000000-0005-0000-0000-000010600000}"/>
    <cellStyle name="Output Column Headings" xfId="3457" xr:uid="{00000000-0005-0000-0000-000011600000}"/>
    <cellStyle name="Output Line Items" xfId="581" xr:uid="{00000000-0005-0000-0000-000012600000}"/>
    <cellStyle name="Output Line Items 2" xfId="3458" xr:uid="{00000000-0005-0000-0000-000013600000}"/>
    <cellStyle name="Output Line Items 3" xfId="13904" xr:uid="{00000000-0005-0000-0000-000014600000}"/>
    <cellStyle name="Output Report Heading" xfId="3459" xr:uid="{00000000-0005-0000-0000-000015600000}"/>
    <cellStyle name="Output Report Title" xfId="3460" xr:uid="{00000000-0005-0000-0000-000016600000}"/>
    <cellStyle name="Page Heading Large" xfId="582" xr:uid="{00000000-0005-0000-0000-000017600000}"/>
    <cellStyle name="Page Heading Small" xfId="583" xr:uid="{00000000-0005-0000-0000-000018600000}"/>
    <cellStyle name="Password" xfId="63" xr:uid="{00000000-0005-0000-0000-000019600000}"/>
    <cellStyle name="Password 2" xfId="24525" xr:uid="{00000000-0005-0000-0000-00001A600000}"/>
    <cellStyle name="pct_sub" xfId="584" xr:uid="{00000000-0005-0000-0000-00001B600000}"/>
    <cellStyle name="Percen - Style1" xfId="64" xr:uid="{00000000-0005-0000-0000-00001C600000}"/>
    <cellStyle name="Percen - Style2" xfId="65" xr:uid="{00000000-0005-0000-0000-00001D600000}"/>
    <cellStyle name="Percent" xfId="25795" builtinId="5"/>
    <cellStyle name="Percent (0)" xfId="585" xr:uid="{00000000-0005-0000-0000-00001F600000}"/>
    <cellStyle name="Percent [1]" xfId="586" xr:uid="{00000000-0005-0000-0000-000020600000}"/>
    <cellStyle name="Percent [2]" xfId="66" xr:uid="{00000000-0005-0000-0000-000021600000}"/>
    <cellStyle name="Percent 10" xfId="205" xr:uid="{00000000-0005-0000-0000-000022600000}"/>
    <cellStyle name="Percent 11" xfId="206" xr:uid="{00000000-0005-0000-0000-000023600000}"/>
    <cellStyle name="Percent 12" xfId="207" xr:uid="{00000000-0005-0000-0000-000024600000}"/>
    <cellStyle name="Percent 13" xfId="208" xr:uid="{00000000-0005-0000-0000-000025600000}"/>
    <cellStyle name="Percent 14" xfId="209" xr:uid="{00000000-0005-0000-0000-000026600000}"/>
    <cellStyle name="Percent 15" xfId="210" xr:uid="{00000000-0005-0000-0000-000027600000}"/>
    <cellStyle name="Percent 16" xfId="211" xr:uid="{00000000-0005-0000-0000-000028600000}"/>
    <cellStyle name="Percent 17" xfId="212" xr:uid="{00000000-0005-0000-0000-000029600000}"/>
    <cellStyle name="Percent 18" xfId="286" xr:uid="{00000000-0005-0000-0000-00002A600000}"/>
    <cellStyle name="Percent 19" xfId="287" xr:uid="{00000000-0005-0000-0000-00002B600000}"/>
    <cellStyle name="Percent 2" xfId="67" xr:uid="{00000000-0005-0000-0000-00002C600000}"/>
    <cellStyle name="Percent 2 10" xfId="12601" xr:uid="{00000000-0005-0000-0000-00002D600000}"/>
    <cellStyle name="Percent 2 11" xfId="24210" xr:uid="{00000000-0005-0000-0000-00002E600000}"/>
    <cellStyle name="Percent 2 12" xfId="25750" xr:uid="{00000000-0005-0000-0000-00002F600000}"/>
    <cellStyle name="Percent 2 2" xfId="213" xr:uid="{00000000-0005-0000-0000-000030600000}"/>
    <cellStyle name="Percent 2 2 2" xfId="467" xr:uid="{00000000-0005-0000-0000-000031600000}"/>
    <cellStyle name="Percent 2 2 2 2" xfId="13831" xr:uid="{00000000-0005-0000-0000-000032600000}"/>
    <cellStyle name="Percent 2 2 3" xfId="663" xr:uid="{00000000-0005-0000-0000-000033600000}"/>
    <cellStyle name="Percent 2 2 4" xfId="23897" xr:uid="{00000000-0005-0000-0000-000034600000}"/>
    <cellStyle name="Percent 2 3" xfId="358" xr:uid="{00000000-0005-0000-0000-000035600000}"/>
    <cellStyle name="Percent 2 3 2" xfId="441" xr:uid="{00000000-0005-0000-0000-000036600000}"/>
    <cellStyle name="Percent 2 3 2 2" xfId="527" xr:uid="{00000000-0005-0000-0000-000037600000}"/>
    <cellStyle name="Percent 2 3 2 2 2" xfId="13890" xr:uid="{00000000-0005-0000-0000-000038600000}"/>
    <cellStyle name="Percent 2 3 2 3" xfId="13813" xr:uid="{00000000-0005-0000-0000-000039600000}"/>
    <cellStyle name="Percent 2 3 3" xfId="490" xr:uid="{00000000-0005-0000-0000-00003A600000}"/>
    <cellStyle name="Percent 2 3 3 2" xfId="13853" xr:uid="{00000000-0005-0000-0000-00003B600000}"/>
    <cellStyle name="Percent 2 3 4" xfId="13768" xr:uid="{00000000-0005-0000-0000-00003C600000}"/>
    <cellStyle name="Percent 2 3 5" xfId="24211" xr:uid="{00000000-0005-0000-0000-00003D600000}"/>
    <cellStyle name="Percent 2 4" xfId="410" xr:uid="{00000000-0005-0000-0000-00003E600000}"/>
    <cellStyle name="Percent 2 4 2" xfId="510" xr:uid="{00000000-0005-0000-0000-00003F600000}"/>
    <cellStyle name="Percent 2 4 2 2" xfId="13873" xr:uid="{00000000-0005-0000-0000-000040600000}"/>
    <cellStyle name="Percent 2 4 3" xfId="13792" xr:uid="{00000000-0005-0000-0000-000041600000}"/>
    <cellStyle name="Percent 2 4 4" xfId="24212" xr:uid="{00000000-0005-0000-0000-000042600000}"/>
    <cellStyle name="Percent 2 5" xfId="466" xr:uid="{00000000-0005-0000-0000-000043600000}"/>
    <cellStyle name="Percent 2 5 2" xfId="13830" xr:uid="{00000000-0005-0000-0000-000044600000}"/>
    <cellStyle name="Percent 2 5 3" xfId="24213" xr:uid="{00000000-0005-0000-0000-000045600000}"/>
    <cellStyle name="Percent 2 6" xfId="475" xr:uid="{00000000-0005-0000-0000-000046600000}"/>
    <cellStyle name="Percent 2 6 2" xfId="13838" xr:uid="{00000000-0005-0000-0000-000047600000}"/>
    <cellStyle name="Percent 2 6 3" xfId="24214" xr:uid="{00000000-0005-0000-0000-000048600000}"/>
    <cellStyle name="Percent 2 7" xfId="662" xr:uid="{00000000-0005-0000-0000-000049600000}"/>
    <cellStyle name="Percent 2 7 2" xfId="13914" xr:uid="{00000000-0005-0000-0000-00004A600000}"/>
    <cellStyle name="Percent 2 7 3" xfId="24215" xr:uid="{00000000-0005-0000-0000-00004B600000}"/>
    <cellStyle name="Percent 2 8" xfId="3461" xr:uid="{00000000-0005-0000-0000-00004C600000}"/>
    <cellStyle name="Percent 2 8 2" xfId="24216" xr:uid="{00000000-0005-0000-0000-00004D600000}"/>
    <cellStyle name="Percent 2 9" xfId="13619" xr:uid="{00000000-0005-0000-0000-00004E600000}"/>
    <cellStyle name="Percent 20" xfId="296" xr:uid="{00000000-0005-0000-0000-00004F600000}"/>
    <cellStyle name="Percent 21" xfId="297" xr:uid="{00000000-0005-0000-0000-000050600000}"/>
    <cellStyle name="Percent 22" xfId="298" xr:uid="{00000000-0005-0000-0000-000051600000}"/>
    <cellStyle name="Percent 23" xfId="299" xr:uid="{00000000-0005-0000-0000-000052600000}"/>
    <cellStyle name="Percent 24" xfId="304" xr:uid="{00000000-0005-0000-0000-000053600000}"/>
    <cellStyle name="Percent 25" xfId="305" xr:uid="{00000000-0005-0000-0000-000054600000}"/>
    <cellStyle name="Percent 26" xfId="325" xr:uid="{00000000-0005-0000-0000-000055600000}"/>
    <cellStyle name="Percent 27" xfId="326" xr:uid="{00000000-0005-0000-0000-000056600000}"/>
    <cellStyle name="Percent 28" xfId="327" xr:uid="{00000000-0005-0000-0000-000057600000}"/>
    <cellStyle name="Percent 29" xfId="328" xr:uid="{00000000-0005-0000-0000-000058600000}"/>
    <cellStyle name="Percent 3" xfId="68" xr:uid="{00000000-0005-0000-0000-000059600000}"/>
    <cellStyle name="Percent 3 10" xfId="25088" xr:uid="{00000000-0005-0000-0000-00005A600000}"/>
    <cellStyle name="Percent 3 2" xfId="171" xr:uid="{00000000-0005-0000-0000-00005B600000}"/>
    <cellStyle name="Percent 3 2 2" xfId="362" xr:uid="{00000000-0005-0000-0000-00005C600000}"/>
    <cellStyle name="Percent 3 2 2 2" xfId="444" xr:uid="{00000000-0005-0000-0000-00005D600000}"/>
    <cellStyle name="Percent 3 2 2 2 2" xfId="530" xr:uid="{00000000-0005-0000-0000-00005E600000}"/>
    <cellStyle name="Percent 3 2 2 2 2 2" xfId="13893" xr:uid="{00000000-0005-0000-0000-00005F600000}"/>
    <cellStyle name="Percent 3 2 2 2 3" xfId="13816" xr:uid="{00000000-0005-0000-0000-000060600000}"/>
    <cellStyle name="Percent 3 2 2 3" xfId="493" xr:uid="{00000000-0005-0000-0000-000061600000}"/>
    <cellStyle name="Percent 3 2 2 3 2" xfId="13856" xr:uid="{00000000-0005-0000-0000-000062600000}"/>
    <cellStyle name="Percent 3 2 2 4" xfId="13772" xr:uid="{00000000-0005-0000-0000-000063600000}"/>
    <cellStyle name="Percent 3 2 2 5" xfId="24468" xr:uid="{00000000-0005-0000-0000-000064600000}"/>
    <cellStyle name="Percent 3 2 2 6" xfId="24910" xr:uid="{00000000-0005-0000-0000-000065600000}"/>
    <cellStyle name="Percent 3 2 2 7" xfId="25271" xr:uid="{00000000-0005-0000-0000-000066600000}"/>
    <cellStyle name="Percent 3 2 3" xfId="424" xr:uid="{00000000-0005-0000-0000-000067600000}"/>
    <cellStyle name="Percent 3 2 3 2" xfId="515" xr:uid="{00000000-0005-0000-0000-000068600000}"/>
    <cellStyle name="Percent 3 2 3 2 2" xfId="13878" xr:uid="{00000000-0005-0000-0000-000069600000}"/>
    <cellStyle name="Percent 3 2 3 3" xfId="13801" xr:uid="{00000000-0005-0000-0000-00006A600000}"/>
    <cellStyle name="Percent 3 2 4" xfId="478" xr:uid="{00000000-0005-0000-0000-00006B600000}"/>
    <cellStyle name="Percent 3 2 4 2" xfId="13841" xr:uid="{00000000-0005-0000-0000-00006C600000}"/>
    <cellStyle name="Percent 3 2 5" xfId="13686" xr:uid="{00000000-0005-0000-0000-00006D600000}"/>
    <cellStyle name="Percent 3 2 6" xfId="24218" xr:uid="{00000000-0005-0000-0000-00006E600000}"/>
    <cellStyle name="Percent 3 2 7" xfId="24763" xr:uid="{00000000-0005-0000-0000-00006F600000}"/>
    <cellStyle name="Percent 3 2 8" xfId="25089" xr:uid="{00000000-0005-0000-0000-000070600000}"/>
    <cellStyle name="Percent 3 3" xfId="214" xr:uid="{00000000-0005-0000-0000-000071600000}"/>
    <cellStyle name="Percent 3 3 2" xfId="368" xr:uid="{00000000-0005-0000-0000-000072600000}"/>
    <cellStyle name="Percent 3 3 2 2" xfId="450" xr:uid="{00000000-0005-0000-0000-000073600000}"/>
    <cellStyle name="Percent 3 3 2 2 2" xfId="536" xr:uid="{00000000-0005-0000-0000-000074600000}"/>
    <cellStyle name="Percent 3 3 2 2 2 2" xfId="13899" xr:uid="{00000000-0005-0000-0000-000075600000}"/>
    <cellStyle name="Percent 3 3 2 2 3" xfId="13822" xr:uid="{00000000-0005-0000-0000-000076600000}"/>
    <cellStyle name="Percent 3 3 2 3" xfId="499" xr:uid="{00000000-0005-0000-0000-000077600000}"/>
    <cellStyle name="Percent 3 3 2 3 2" xfId="13862" xr:uid="{00000000-0005-0000-0000-000078600000}"/>
    <cellStyle name="Percent 3 3 2 4" xfId="13778" xr:uid="{00000000-0005-0000-0000-000079600000}"/>
    <cellStyle name="Percent 3 3 3" xfId="431" xr:uid="{00000000-0005-0000-0000-00007A600000}"/>
    <cellStyle name="Percent 3 3 3 2" xfId="521" xr:uid="{00000000-0005-0000-0000-00007B600000}"/>
    <cellStyle name="Percent 3 3 3 2 2" xfId="13884" xr:uid="{00000000-0005-0000-0000-00007C600000}"/>
    <cellStyle name="Percent 3 3 3 3" xfId="13807" xr:uid="{00000000-0005-0000-0000-00007D600000}"/>
    <cellStyle name="Percent 3 3 4" xfId="484" xr:uid="{00000000-0005-0000-0000-00007E600000}"/>
    <cellStyle name="Percent 3 3 4 2" xfId="13847" xr:uid="{00000000-0005-0000-0000-00007F600000}"/>
    <cellStyle name="Percent 3 3 5" xfId="13704" xr:uid="{00000000-0005-0000-0000-000080600000}"/>
    <cellStyle name="Percent 3 3 6" xfId="24467" xr:uid="{00000000-0005-0000-0000-000081600000}"/>
    <cellStyle name="Percent 3 3 7" xfId="24909" xr:uid="{00000000-0005-0000-0000-000082600000}"/>
    <cellStyle name="Percent 3 3 8" xfId="25270" xr:uid="{00000000-0005-0000-0000-000083600000}"/>
    <cellStyle name="Percent 3 4" xfId="3621" xr:uid="{00000000-0005-0000-0000-000084600000}"/>
    <cellStyle name="Percent 3 5" xfId="13620" xr:uid="{00000000-0005-0000-0000-000085600000}"/>
    <cellStyle name="Percent 3 6" xfId="13598" xr:uid="{00000000-0005-0000-0000-000086600000}"/>
    <cellStyle name="Percent 3 7" xfId="23907" xr:uid="{00000000-0005-0000-0000-000087600000}"/>
    <cellStyle name="Percent 3 8" xfId="24217" xr:uid="{00000000-0005-0000-0000-000088600000}"/>
    <cellStyle name="Percent 3 9" xfId="24762" xr:uid="{00000000-0005-0000-0000-000089600000}"/>
    <cellStyle name="Percent 30" xfId="329" xr:uid="{00000000-0005-0000-0000-00008A600000}"/>
    <cellStyle name="Percent 31" xfId="330" xr:uid="{00000000-0005-0000-0000-00008B600000}"/>
    <cellStyle name="Percent 32" xfId="331" xr:uid="{00000000-0005-0000-0000-00008C600000}"/>
    <cellStyle name="Percent 33" xfId="332" xr:uid="{00000000-0005-0000-0000-00008D600000}"/>
    <cellStyle name="Percent 34" xfId="344" xr:uid="{00000000-0005-0000-0000-00008E600000}"/>
    <cellStyle name="Percent 35" xfId="345" xr:uid="{00000000-0005-0000-0000-00008F600000}"/>
    <cellStyle name="Percent 36" xfId="346" xr:uid="{00000000-0005-0000-0000-000090600000}"/>
    <cellStyle name="Percent 37" xfId="347" xr:uid="{00000000-0005-0000-0000-000091600000}"/>
    <cellStyle name="Percent 38" xfId="396" xr:uid="{00000000-0005-0000-0000-000092600000}"/>
    <cellStyle name="Percent 39" xfId="372" xr:uid="{00000000-0005-0000-0000-000093600000}"/>
    <cellStyle name="Percent 39 2" xfId="502" xr:uid="{00000000-0005-0000-0000-000094600000}"/>
    <cellStyle name="Percent 39 2 2" xfId="13865" xr:uid="{00000000-0005-0000-0000-000095600000}"/>
    <cellStyle name="Percent 39 3" xfId="13781" xr:uid="{00000000-0005-0000-0000-000096600000}"/>
    <cellStyle name="Percent 4" xfId="69" xr:uid="{00000000-0005-0000-0000-000097600000}"/>
    <cellStyle name="Percent 4 2" xfId="24304" xr:uid="{00000000-0005-0000-0000-000098600000}"/>
    <cellStyle name="Percent 4 3" xfId="24219" xr:uid="{00000000-0005-0000-0000-000099600000}"/>
    <cellStyle name="Percent 4 4" xfId="25794" xr:uid="{00000000-0005-0000-0000-00009A600000}"/>
    <cellStyle name="Percent 40" xfId="418" xr:uid="{00000000-0005-0000-0000-00009B600000}"/>
    <cellStyle name="Percent 40 2" xfId="511" xr:uid="{00000000-0005-0000-0000-00009C600000}"/>
    <cellStyle name="Percent 40 2 2" xfId="13874" xr:uid="{00000000-0005-0000-0000-00009D600000}"/>
    <cellStyle name="Percent 40 3" xfId="13797" xr:uid="{00000000-0005-0000-0000-00009E600000}"/>
    <cellStyle name="Percent 41" xfId="432" xr:uid="{00000000-0005-0000-0000-00009F600000}"/>
    <cellStyle name="Percent 41 2" xfId="522" xr:uid="{00000000-0005-0000-0000-0000A0600000}"/>
    <cellStyle name="Percent 41 2 2" xfId="13885" xr:uid="{00000000-0005-0000-0000-0000A1600000}"/>
    <cellStyle name="Percent 41 3" xfId="13808" xr:uid="{00000000-0005-0000-0000-0000A2600000}"/>
    <cellStyle name="Percent 42" xfId="453" xr:uid="{00000000-0005-0000-0000-0000A3600000}"/>
    <cellStyle name="Percent 42 2" xfId="539" xr:uid="{00000000-0005-0000-0000-0000A4600000}"/>
    <cellStyle name="Percent 42 2 2" xfId="13902" xr:uid="{00000000-0005-0000-0000-0000A5600000}"/>
    <cellStyle name="Percent 42 3" xfId="13825" xr:uid="{00000000-0005-0000-0000-0000A6600000}"/>
    <cellStyle name="Percent 43" xfId="13602" xr:uid="{00000000-0005-0000-0000-0000A7600000}"/>
    <cellStyle name="Percent 44" xfId="23887" xr:uid="{00000000-0005-0000-0000-0000A8600000}"/>
    <cellStyle name="Percent 45" xfId="23890" xr:uid="{00000000-0005-0000-0000-0000A9600000}"/>
    <cellStyle name="Percent 46" xfId="23894" xr:uid="{00000000-0005-0000-0000-0000AA600000}"/>
    <cellStyle name="Percent 47" xfId="4" xr:uid="{00000000-0005-0000-0000-0000AB600000}"/>
    <cellStyle name="Percent 48" xfId="25279" xr:uid="{00000000-0005-0000-0000-0000AC600000}"/>
    <cellStyle name="Percent 49" xfId="25292" xr:uid="{00000000-0005-0000-0000-0000AD600000}"/>
    <cellStyle name="Percent 5" xfId="70" xr:uid="{00000000-0005-0000-0000-0000AE600000}"/>
    <cellStyle name="Percent 5 2" xfId="24292" xr:uid="{00000000-0005-0000-0000-0000AF600000}"/>
    <cellStyle name="Percent 50" xfId="25458" xr:uid="{00000000-0005-0000-0000-0000B0600000}"/>
    <cellStyle name="Percent 51" xfId="25751" xr:uid="{00000000-0005-0000-0000-0000B1600000}"/>
    <cellStyle name="Percent 52" xfId="25758" xr:uid="{00000000-0005-0000-0000-0000B2600000}"/>
    <cellStyle name="Percent 53" xfId="25760" xr:uid="{00000000-0005-0000-0000-0000B3600000}"/>
    <cellStyle name="Percent 54" xfId="25764" xr:uid="{00000000-0005-0000-0000-0000B4600000}"/>
    <cellStyle name="Percent 55" xfId="25765" xr:uid="{00000000-0005-0000-0000-0000B5600000}"/>
    <cellStyle name="Percent 6" xfId="215" xr:uid="{00000000-0005-0000-0000-0000B6600000}"/>
    <cellStyle name="Percent 6 2" xfId="664" xr:uid="{00000000-0005-0000-0000-0000B7600000}"/>
    <cellStyle name="Percent 6 2 2" xfId="24480" xr:uid="{00000000-0005-0000-0000-0000B8600000}"/>
    <cellStyle name="Percent 6 2 3" xfId="24912" xr:uid="{00000000-0005-0000-0000-0000B9600000}"/>
    <cellStyle name="Percent 6 2 4" xfId="25272" xr:uid="{00000000-0005-0000-0000-0000BA600000}"/>
    <cellStyle name="Percent 6 3" xfId="24294" xr:uid="{00000000-0005-0000-0000-0000BB600000}"/>
    <cellStyle name="Percent 6 4" xfId="24775" xr:uid="{00000000-0005-0000-0000-0000BC600000}"/>
    <cellStyle name="Percent 6 5" xfId="25144" xr:uid="{00000000-0005-0000-0000-0000BD600000}"/>
    <cellStyle name="Percent 7" xfId="216" xr:uid="{00000000-0005-0000-0000-0000BE600000}"/>
    <cellStyle name="Percent 8" xfId="217" xr:uid="{00000000-0005-0000-0000-0000BF600000}"/>
    <cellStyle name="Percent 9" xfId="218" xr:uid="{00000000-0005-0000-0000-0000C0600000}"/>
    <cellStyle name="Percent Hard" xfId="587" xr:uid="{00000000-0005-0000-0000-0000C1600000}"/>
    <cellStyle name="Percent Hard 2" xfId="24220" xr:uid="{00000000-0005-0000-0000-0000C2600000}"/>
    <cellStyle name="Percent(0)" xfId="71" xr:uid="{00000000-0005-0000-0000-0000C3600000}"/>
    <cellStyle name="Percentage" xfId="588" xr:uid="{00000000-0005-0000-0000-0000C4600000}"/>
    <cellStyle name="Perlong" xfId="589" xr:uid="{00000000-0005-0000-0000-0000C5600000}"/>
    <cellStyle name="Private" xfId="590" xr:uid="{00000000-0005-0000-0000-0000C6600000}"/>
    <cellStyle name="Private 2" xfId="24780" xr:uid="{00000000-0005-0000-0000-0000C7600000}"/>
    <cellStyle name="Private1" xfId="591" xr:uid="{00000000-0005-0000-0000-0000C8600000}"/>
    <cellStyle name="Private1 2" xfId="24221" xr:uid="{00000000-0005-0000-0000-0000C9600000}"/>
    <cellStyle name="r" xfId="592" xr:uid="{00000000-0005-0000-0000-0000CA600000}"/>
    <cellStyle name="r 2" xfId="24222" xr:uid="{00000000-0005-0000-0000-0000CB600000}"/>
    <cellStyle name="r_10_21 A&amp;G Review" xfId="593" xr:uid="{00000000-0005-0000-0000-0000CC600000}"/>
    <cellStyle name="r_10_21 A&amp;G Review 2" xfId="24223" xr:uid="{00000000-0005-0000-0000-0000CD600000}"/>
    <cellStyle name="r_10_21 A&amp;G Review Raul" xfId="594" xr:uid="{00000000-0005-0000-0000-0000CE600000}"/>
    <cellStyle name="r_10_21 A&amp;G Review Raul 2" xfId="24224" xr:uid="{00000000-0005-0000-0000-0000CF600000}"/>
    <cellStyle name="r_10-17" xfId="595" xr:uid="{00000000-0005-0000-0000-0000D0600000}"/>
    <cellStyle name="r_10-17 2" xfId="24225" xr:uid="{00000000-0005-0000-0000-0000D1600000}"/>
    <cellStyle name="r_2003 Reduction &amp; Sensitivities" xfId="596" xr:uid="{00000000-0005-0000-0000-0000D2600000}"/>
    <cellStyle name="r_2003 Reduction &amp; Sensitivities 2" xfId="24226" xr:uid="{00000000-0005-0000-0000-0000D3600000}"/>
    <cellStyle name="r_2003BudgetVariances" xfId="597" xr:uid="{00000000-0005-0000-0000-0000D4600000}"/>
    <cellStyle name="r_2003BudgetVariances 2" xfId="24227" xr:uid="{00000000-0005-0000-0000-0000D5600000}"/>
    <cellStyle name="r_Aug 02 FOR" xfId="598" xr:uid="{00000000-0005-0000-0000-0000D6600000}"/>
    <cellStyle name="r_Aug 02 FOR 2" xfId="24228" xr:uid="{00000000-0005-0000-0000-0000D7600000}"/>
    <cellStyle name="r_forecastTools6" xfId="599" xr:uid="{00000000-0005-0000-0000-0000D8600000}"/>
    <cellStyle name="r_forecastTools6 2" xfId="24229" xr:uid="{00000000-0005-0000-0000-0000D9600000}"/>
    <cellStyle name="r_Interest model" xfId="600" xr:uid="{00000000-0005-0000-0000-0000DA600000}"/>
    <cellStyle name="r_Interest model 2" xfId="24230" xr:uid="{00000000-0005-0000-0000-0000DB600000}"/>
    <cellStyle name="r_Interest model_PGE FS 1999 - 2006 10-23 V1 - for budget pres" xfId="601" xr:uid="{00000000-0005-0000-0000-0000DC600000}"/>
    <cellStyle name="r_Interest model_PGE FS 1999 - 2006 10-23 V1 - for budget pres 2" xfId="24231" xr:uid="{00000000-0005-0000-0000-0000DD600000}"/>
    <cellStyle name="r_Mary Cilia Model with Current Projections (LINKED)" xfId="602" xr:uid="{00000000-0005-0000-0000-0000DE600000}"/>
    <cellStyle name="r_Mary Cilia Model with Current Projections (LINKED) 2" xfId="24232" xr:uid="{00000000-0005-0000-0000-0000DF600000}"/>
    <cellStyle name="r_OpCo and Prelim Budget-2003 Final" xfId="603" xr:uid="{00000000-0005-0000-0000-0000E0600000}"/>
    <cellStyle name="r_OpCo and Prelim Budget-2003 Final 2" xfId="24233" xr:uid="{00000000-0005-0000-0000-0000E1600000}"/>
    <cellStyle name="r_OpCo and Prelim Budget-2003 Final_PGE FS 1999 - 2006 10-23 V1 - for budget pres" xfId="604" xr:uid="{00000000-0005-0000-0000-0000E2600000}"/>
    <cellStyle name="r_OpCo and Prelim Budget-2003 Final_PGE FS 1999 - 2006 10-23 V1 - for budget pres 2" xfId="24234" xr:uid="{00000000-0005-0000-0000-0000E3600000}"/>
    <cellStyle name="r_PGE FS 1999 - 2006 10-23 V1 - for budget pres" xfId="605" xr:uid="{00000000-0005-0000-0000-0000E4600000}"/>
    <cellStyle name="r_PGE FS 1999 - 2006 10-23 V1 - for budget pres 2" xfId="24235" xr:uid="{00000000-0005-0000-0000-0000E5600000}"/>
    <cellStyle name="r_PGE OpCo Forecast for Budget Presentation" xfId="606" xr:uid="{00000000-0005-0000-0000-0000E6600000}"/>
    <cellStyle name="r_PGE OpCo Forecast for Budget Presentation 2" xfId="24236" xr:uid="{00000000-0005-0000-0000-0000E7600000}"/>
    <cellStyle name="r_PGG Draft Cons Forecast 4-14 Revised" xfId="607" xr:uid="{00000000-0005-0000-0000-0000E8600000}"/>
    <cellStyle name="r_PGG Draft Cons Forecast 4-14 Revised 2" xfId="24237" xr:uid="{00000000-0005-0000-0000-0000E9600000}"/>
    <cellStyle name="r_PGG Draft Cons Forecast 4-14 Revised_PGE FS 1999 - 2006 10-23 V1 - for budget pres" xfId="608" xr:uid="{00000000-0005-0000-0000-0000EA600000}"/>
    <cellStyle name="r_PGG Draft Cons Forecast 4-14 Revised_PGE FS 1999 - 2006 10-23 V1 - for budget pres 2" xfId="24238" xr:uid="{00000000-0005-0000-0000-0000EB600000}"/>
    <cellStyle name="r_Reg Assets &amp; Liab" xfId="609" xr:uid="{00000000-0005-0000-0000-0000EC600000}"/>
    <cellStyle name="r_Reg Assets &amp; Liab 2" xfId="24239" xr:uid="{00000000-0005-0000-0000-0000ED600000}"/>
    <cellStyle name="r_Summary" xfId="610" xr:uid="{00000000-0005-0000-0000-0000EE600000}"/>
    <cellStyle name="r_Summary - OpCo and Prelim Budget-2003 Final" xfId="611" xr:uid="{00000000-0005-0000-0000-0000EF600000}"/>
    <cellStyle name="r_Summary - OpCo and Prelim Budget-2003 Final 2" xfId="24241" xr:uid="{00000000-0005-0000-0000-0000F0600000}"/>
    <cellStyle name="r_Summary - OpCo and Prelim Budget-2003 Final_PGE FS 1999 - 2006 10-23 V1 - for budget pres" xfId="612" xr:uid="{00000000-0005-0000-0000-0000F1600000}"/>
    <cellStyle name="r_Summary - OpCo and Prelim Budget-2003 Final_PGE FS 1999 - 2006 10-23 V1 - for budget pres 2" xfId="24242" xr:uid="{00000000-0005-0000-0000-0000F2600000}"/>
    <cellStyle name="r_Summary 10" xfId="24465" xr:uid="{00000000-0005-0000-0000-0000F3600000}"/>
    <cellStyle name="r_Summary 11" xfId="24393" xr:uid="{00000000-0005-0000-0000-0000F4600000}"/>
    <cellStyle name="r_Summary 12" xfId="24418" xr:uid="{00000000-0005-0000-0000-0000F5600000}"/>
    <cellStyle name="r_Summary 13" xfId="24395" xr:uid="{00000000-0005-0000-0000-0000F6600000}"/>
    <cellStyle name="r_Summary 14" xfId="24475" xr:uid="{00000000-0005-0000-0000-0000F7600000}"/>
    <cellStyle name="r_Summary 15" xfId="24396" xr:uid="{00000000-0005-0000-0000-0000F8600000}"/>
    <cellStyle name="r_Summary 16" xfId="24415" xr:uid="{00000000-0005-0000-0000-0000F9600000}"/>
    <cellStyle name="r_Summary 17" xfId="24397" xr:uid="{00000000-0005-0000-0000-0000FA600000}"/>
    <cellStyle name="r_Summary 18" xfId="24414" xr:uid="{00000000-0005-0000-0000-0000FB600000}"/>
    <cellStyle name="r_Summary 19" xfId="24499" xr:uid="{00000000-0005-0000-0000-0000FC600000}"/>
    <cellStyle name="r_Summary 2" xfId="24240" xr:uid="{00000000-0005-0000-0000-0000FD600000}"/>
    <cellStyle name="r_Summary 20" xfId="24413" xr:uid="{00000000-0005-0000-0000-0000FE600000}"/>
    <cellStyle name="r_Summary 21" xfId="24398" xr:uid="{00000000-0005-0000-0000-0000FF600000}"/>
    <cellStyle name="r_Summary 22" xfId="24412" xr:uid="{00000000-0005-0000-0000-000000610000}"/>
    <cellStyle name="r_Summary 23" xfId="24505" xr:uid="{00000000-0005-0000-0000-000001610000}"/>
    <cellStyle name="r_Summary 24" xfId="24410" xr:uid="{00000000-0005-0000-0000-000002610000}"/>
    <cellStyle name="r_Summary 25" xfId="24492" xr:uid="{00000000-0005-0000-0000-000003610000}"/>
    <cellStyle name="r_Summary 26" xfId="24473" xr:uid="{00000000-0005-0000-0000-000004610000}"/>
    <cellStyle name="r_Summary 3" xfId="24312" xr:uid="{00000000-0005-0000-0000-000005610000}"/>
    <cellStyle name="r_Summary 4" xfId="24308" xr:uid="{00000000-0005-0000-0000-000006610000}"/>
    <cellStyle name="r_Summary 5" xfId="24313" xr:uid="{00000000-0005-0000-0000-000007610000}"/>
    <cellStyle name="r_Summary 6" xfId="24472" xr:uid="{00000000-0005-0000-0000-000008610000}"/>
    <cellStyle name="r_Summary 7" xfId="24486" xr:uid="{00000000-0005-0000-0000-000009610000}"/>
    <cellStyle name="r_Summary 8" xfId="24469" xr:uid="{00000000-0005-0000-0000-00000A610000}"/>
    <cellStyle name="r_Summary 9" xfId="24504" xr:uid="{00000000-0005-0000-0000-00000B610000}"/>
    <cellStyle name="r_Summary_PGE FS 1999 - 2006 10-23 V1 - for budget pres" xfId="613" xr:uid="{00000000-0005-0000-0000-00000C610000}"/>
    <cellStyle name="r_Summary_PGE FS 1999 - 2006 10-23 V1 - for budget pres 2" xfId="24243" xr:uid="{00000000-0005-0000-0000-00000D610000}"/>
    <cellStyle name="ReportTitlePrompt" xfId="3462" xr:uid="{00000000-0005-0000-0000-00000E610000}"/>
    <cellStyle name="ReportTitleValue" xfId="3463" xr:uid="{00000000-0005-0000-0000-00000F610000}"/>
    <cellStyle name="Right" xfId="614" xr:uid="{00000000-0005-0000-0000-000010610000}"/>
    <cellStyle name="Right 2" xfId="24244" xr:uid="{00000000-0005-0000-0000-000011610000}"/>
    <cellStyle name="RowAcctAbovePrompt" xfId="3464" xr:uid="{00000000-0005-0000-0000-000012610000}"/>
    <cellStyle name="RowAcctSOBAbovePrompt" xfId="3465" xr:uid="{00000000-0005-0000-0000-000013610000}"/>
    <cellStyle name="RowAcctSOBValue" xfId="3466" xr:uid="{00000000-0005-0000-0000-000014610000}"/>
    <cellStyle name="RowAcctValue" xfId="3467" xr:uid="{00000000-0005-0000-0000-000015610000}"/>
    <cellStyle name="RowAttrAbovePrompt" xfId="3468" xr:uid="{00000000-0005-0000-0000-000016610000}"/>
    <cellStyle name="RowAttrValue" xfId="3469" xr:uid="{00000000-0005-0000-0000-000017610000}"/>
    <cellStyle name="RowColSetAbovePrompt" xfId="3470" xr:uid="{00000000-0005-0000-0000-000018610000}"/>
    <cellStyle name="RowColSetLeftPrompt" xfId="3471" xr:uid="{00000000-0005-0000-0000-000019610000}"/>
    <cellStyle name="RowColSetValue" xfId="3472" xr:uid="{00000000-0005-0000-0000-00001A610000}"/>
    <cellStyle name="RowLeftPrompt" xfId="3473" xr:uid="{00000000-0005-0000-0000-00001B610000}"/>
    <cellStyle name="SampleUsingFormatMask" xfId="3474" xr:uid="{00000000-0005-0000-0000-00001C610000}"/>
    <cellStyle name="SampleWithNoFormatMask" xfId="3475" xr:uid="{00000000-0005-0000-0000-00001D610000}"/>
    <cellStyle name="SAPBEXaggData" xfId="72" xr:uid="{00000000-0005-0000-0000-00001E610000}"/>
    <cellStyle name="SAPBEXaggData 2" xfId="13621" xr:uid="{00000000-0005-0000-0000-00001F610000}"/>
    <cellStyle name="SAPBEXaggData 2 2" xfId="25459" xr:uid="{00000000-0005-0000-0000-000020610000}"/>
    <cellStyle name="SAPBEXaggData 3" xfId="24686" xr:uid="{00000000-0005-0000-0000-000021610000}"/>
    <cellStyle name="SAPBEXaggData 3 2" xfId="25423" xr:uid="{00000000-0005-0000-0000-000022610000}"/>
    <cellStyle name="SAPBEXaggData 3 3" xfId="25649" xr:uid="{00000000-0005-0000-0000-000023610000}"/>
    <cellStyle name="SAPBEXaggData 4" xfId="25090" xr:uid="{00000000-0005-0000-0000-000024610000}"/>
    <cellStyle name="SAPBEXaggData 4 2" xfId="25284" xr:uid="{00000000-0005-0000-0000-000025610000}"/>
    <cellStyle name="SAPBEXaggData 4 3" xfId="25688" xr:uid="{00000000-0005-0000-0000-000026610000}"/>
    <cellStyle name="SAPBEXaggDataEmph" xfId="73" xr:uid="{00000000-0005-0000-0000-000027610000}"/>
    <cellStyle name="SAPBEXaggDataEmph 2" xfId="13622" xr:uid="{00000000-0005-0000-0000-000028610000}"/>
    <cellStyle name="SAPBEXaggDataEmph 2 2" xfId="25460" xr:uid="{00000000-0005-0000-0000-000029610000}"/>
    <cellStyle name="SAPBEXaggDataEmph 3" xfId="24685" xr:uid="{00000000-0005-0000-0000-00002A610000}"/>
    <cellStyle name="SAPBEXaggDataEmph 3 2" xfId="25322" xr:uid="{00000000-0005-0000-0000-00002B610000}"/>
    <cellStyle name="SAPBEXaggDataEmph 3 3" xfId="25648" xr:uid="{00000000-0005-0000-0000-00002C610000}"/>
    <cellStyle name="SAPBEXaggDataEmph 4" xfId="25091" xr:uid="{00000000-0005-0000-0000-00002D610000}"/>
    <cellStyle name="SAPBEXaggDataEmph 4 2" xfId="25367" xr:uid="{00000000-0005-0000-0000-00002E610000}"/>
    <cellStyle name="SAPBEXaggDataEmph 4 3" xfId="25689" xr:uid="{00000000-0005-0000-0000-00002F610000}"/>
    <cellStyle name="SAPBEXaggItem" xfId="74" xr:uid="{00000000-0005-0000-0000-000030610000}"/>
    <cellStyle name="SAPBEXaggItem 10" xfId="24684" xr:uid="{00000000-0005-0000-0000-000031610000}"/>
    <cellStyle name="SAPBEXaggItem 10 2" xfId="25409" xr:uid="{00000000-0005-0000-0000-000032610000}"/>
    <cellStyle name="SAPBEXaggItem 10 3" xfId="25647" xr:uid="{00000000-0005-0000-0000-000033610000}"/>
    <cellStyle name="SAPBEXaggItem 11" xfId="25092" xr:uid="{00000000-0005-0000-0000-000034610000}"/>
    <cellStyle name="SAPBEXaggItem 11 2" xfId="25381" xr:uid="{00000000-0005-0000-0000-000035610000}"/>
    <cellStyle name="SAPBEXaggItem 11 3" xfId="25690" xr:uid="{00000000-0005-0000-0000-000036610000}"/>
    <cellStyle name="SAPBEXaggItem 2" xfId="75" xr:uid="{00000000-0005-0000-0000-000037610000}"/>
    <cellStyle name="SAPBEXaggItem 2 2" xfId="13624" xr:uid="{00000000-0005-0000-0000-000038610000}"/>
    <cellStyle name="SAPBEXaggItem 2 2 2" xfId="25462" xr:uid="{00000000-0005-0000-0000-000039610000}"/>
    <cellStyle name="SAPBEXaggItem 3" xfId="219" xr:uid="{00000000-0005-0000-0000-00003A610000}"/>
    <cellStyle name="SAPBEXaggItem 3 2" xfId="13705" xr:uid="{00000000-0005-0000-0000-00003B610000}"/>
    <cellStyle name="SAPBEXaggItem 3 2 2" xfId="25519" xr:uid="{00000000-0005-0000-0000-00003C610000}"/>
    <cellStyle name="SAPBEXaggItem 4" xfId="220" xr:uid="{00000000-0005-0000-0000-00003D610000}"/>
    <cellStyle name="SAPBEXaggItem 4 2" xfId="13706" xr:uid="{00000000-0005-0000-0000-00003E610000}"/>
    <cellStyle name="SAPBEXaggItem 4 2 2" xfId="25520" xr:uid="{00000000-0005-0000-0000-00003F610000}"/>
    <cellStyle name="SAPBEXaggItem 5" xfId="221" xr:uid="{00000000-0005-0000-0000-000040610000}"/>
    <cellStyle name="SAPBEXaggItem 5 2" xfId="13707" xr:uid="{00000000-0005-0000-0000-000041610000}"/>
    <cellStyle name="SAPBEXaggItem 5 2 2" xfId="25521" xr:uid="{00000000-0005-0000-0000-000042610000}"/>
    <cellStyle name="SAPBEXaggItem 6" xfId="222" xr:uid="{00000000-0005-0000-0000-000043610000}"/>
    <cellStyle name="SAPBEXaggItem 6 2" xfId="13708" xr:uid="{00000000-0005-0000-0000-000044610000}"/>
    <cellStyle name="SAPBEXaggItem 6 2 2" xfId="25522" xr:uid="{00000000-0005-0000-0000-000045610000}"/>
    <cellStyle name="SAPBEXaggItem 7" xfId="223" xr:uid="{00000000-0005-0000-0000-000046610000}"/>
    <cellStyle name="SAPBEXaggItem 7 2" xfId="13709" xr:uid="{00000000-0005-0000-0000-000047610000}"/>
    <cellStyle name="SAPBEXaggItem 7 2 2" xfId="25523" xr:uid="{00000000-0005-0000-0000-000048610000}"/>
    <cellStyle name="SAPBEXaggItem 8" xfId="411" xr:uid="{00000000-0005-0000-0000-000049610000}"/>
    <cellStyle name="SAPBEXaggItem 8 2" xfId="13793" xr:uid="{00000000-0005-0000-0000-00004A610000}"/>
    <cellStyle name="SAPBEXaggItem 8 2 2" xfId="25551" xr:uid="{00000000-0005-0000-0000-00004B610000}"/>
    <cellStyle name="SAPBEXaggItem 9" xfId="13623" xr:uid="{00000000-0005-0000-0000-00004C610000}"/>
    <cellStyle name="SAPBEXaggItem 9 2" xfId="25461" xr:uid="{00000000-0005-0000-0000-00004D610000}"/>
    <cellStyle name="SAPBEXaggItem_Copy of xSAPtemp5457" xfId="224" xr:uid="{00000000-0005-0000-0000-00004E610000}"/>
    <cellStyle name="SAPBEXaggItemX" xfId="76" xr:uid="{00000000-0005-0000-0000-00004F610000}"/>
    <cellStyle name="SAPBEXaggItemX 2" xfId="13625" xr:uid="{00000000-0005-0000-0000-000050610000}"/>
    <cellStyle name="SAPBEXaggItemX 2 2" xfId="25463" xr:uid="{00000000-0005-0000-0000-000051610000}"/>
    <cellStyle name="SAPBEXaggItemX 3" xfId="24683" xr:uid="{00000000-0005-0000-0000-000052610000}"/>
    <cellStyle name="SAPBEXaggItemX 3 2" xfId="25307" xr:uid="{00000000-0005-0000-0000-000053610000}"/>
    <cellStyle name="SAPBEXaggItemX 3 3" xfId="25646" xr:uid="{00000000-0005-0000-0000-000054610000}"/>
    <cellStyle name="SAPBEXaggItemX 4" xfId="25093" xr:uid="{00000000-0005-0000-0000-000055610000}"/>
    <cellStyle name="SAPBEXaggItemX 4 2" xfId="25395" xr:uid="{00000000-0005-0000-0000-000056610000}"/>
    <cellStyle name="SAPBEXaggItemX 4 3" xfId="25691" xr:uid="{00000000-0005-0000-0000-000057610000}"/>
    <cellStyle name="SAPBEXchaText" xfId="6" xr:uid="{00000000-0005-0000-0000-000058610000}"/>
    <cellStyle name="SAPBEXchaText 2" xfId="77" xr:uid="{00000000-0005-0000-0000-000059610000}"/>
    <cellStyle name="SAPBEXchaText 2 2" xfId="459" xr:uid="{00000000-0005-0000-0000-00005A610000}"/>
    <cellStyle name="SAPBEXchaText 2 2 2" xfId="13827" xr:uid="{00000000-0005-0000-0000-00005B610000}"/>
    <cellStyle name="SAPBEXchaText 2 2 2 2" xfId="25377" xr:uid="{00000000-0005-0000-0000-00005C610000}"/>
    <cellStyle name="SAPBEXchaText 2 3" xfId="13626" xr:uid="{00000000-0005-0000-0000-00005D610000}"/>
    <cellStyle name="SAPBEXchaText 2 3 2" xfId="25464" xr:uid="{00000000-0005-0000-0000-00005E610000}"/>
    <cellStyle name="SAPBEXchaText 3" xfId="78" xr:uid="{00000000-0005-0000-0000-00005F610000}"/>
    <cellStyle name="SAPBEXchaText 3 2" xfId="225" xr:uid="{00000000-0005-0000-0000-000060610000}"/>
    <cellStyle name="SAPBEXchaText 3 2 2" xfId="13710" xr:uid="{00000000-0005-0000-0000-000061610000}"/>
    <cellStyle name="SAPBEXchaText 3 2 2 2" xfId="25524" xr:uid="{00000000-0005-0000-0000-000062610000}"/>
    <cellStyle name="SAPBEXchaText 4" xfId="226" xr:uid="{00000000-0005-0000-0000-000063610000}"/>
    <cellStyle name="SAPBEXchaText 4 2" xfId="13711" xr:uid="{00000000-0005-0000-0000-000064610000}"/>
    <cellStyle name="SAPBEXchaText 4 2 2" xfId="25525" xr:uid="{00000000-0005-0000-0000-000065610000}"/>
    <cellStyle name="SAPBEXchaText 5" xfId="227" xr:uid="{00000000-0005-0000-0000-000066610000}"/>
    <cellStyle name="SAPBEXchaText 5 2" xfId="13712" xr:uid="{00000000-0005-0000-0000-000067610000}"/>
    <cellStyle name="SAPBEXchaText 5 2 2" xfId="25526" xr:uid="{00000000-0005-0000-0000-000068610000}"/>
    <cellStyle name="SAPBEXchaText 6" xfId="228" xr:uid="{00000000-0005-0000-0000-000069610000}"/>
    <cellStyle name="SAPBEXchaText 6 2" xfId="13713" xr:uid="{00000000-0005-0000-0000-00006A610000}"/>
    <cellStyle name="SAPBEXchaText 6 2 2" xfId="25527" xr:uid="{00000000-0005-0000-0000-00006B610000}"/>
    <cellStyle name="SAPBEXchaText 7" xfId="229" xr:uid="{00000000-0005-0000-0000-00006C610000}"/>
    <cellStyle name="SAPBEXchaText 7 2" xfId="485" xr:uid="{00000000-0005-0000-0000-00006D610000}"/>
    <cellStyle name="SAPBEXchaText 7 2 2" xfId="13848" xr:uid="{00000000-0005-0000-0000-00006E610000}"/>
    <cellStyle name="SAPBEXchaText 7 2 2 2" xfId="25378" xr:uid="{00000000-0005-0000-0000-00006F610000}"/>
    <cellStyle name="SAPBEXchaText 7 2 3" xfId="25281" xr:uid="{00000000-0005-0000-0000-000070610000}"/>
    <cellStyle name="SAPBEXchaText 7 3" xfId="13714" xr:uid="{00000000-0005-0000-0000-000071610000}"/>
    <cellStyle name="SAPBEXchaText 7 3 2" xfId="25375" xr:uid="{00000000-0005-0000-0000-000072610000}"/>
    <cellStyle name="SAPBEXchaText_Copy of xSAPtemp5457" xfId="230" xr:uid="{00000000-0005-0000-0000-000073610000}"/>
    <cellStyle name="SAPBEXexcBad7" xfId="79" xr:uid="{00000000-0005-0000-0000-000074610000}"/>
    <cellStyle name="SAPBEXexcBad7 2" xfId="13627" xr:uid="{00000000-0005-0000-0000-000075610000}"/>
    <cellStyle name="SAPBEXexcBad7 2 2" xfId="25465" xr:uid="{00000000-0005-0000-0000-000076610000}"/>
    <cellStyle name="SAPBEXexcBad7 3" xfId="24682" xr:uid="{00000000-0005-0000-0000-000077610000}"/>
    <cellStyle name="SAPBEXexcBad7 3 2" xfId="25399" xr:uid="{00000000-0005-0000-0000-000078610000}"/>
    <cellStyle name="SAPBEXexcBad7 3 3" xfId="25645" xr:uid="{00000000-0005-0000-0000-000079610000}"/>
    <cellStyle name="SAPBEXexcBad7 4" xfId="25094" xr:uid="{00000000-0005-0000-0000-00007A610000}"/>
    <cellStyle name="SAPBEXexcBad7 4 2" xfId="25304" xr:uid="{00000000-0005-0000-0000-00007B610000}"/>
    <cellStyle name="SAPBEXexcBad7 4 3" xfId="25692" xr:uid="{00000000-0005-0000-0000-00007C610000}"/>
    <cellStyle name="SAPBEXexcBad8" xfId="80" xr:uid="{00000000-0005-0000-0000-00007D610000}"/>
    <cellStyle name="SAPBEXexcBad8 2" xfId="13628" xr:uid="{00000000-0005-0000-0000-00007E610000}"/>
    <cellStyle name="SAPBEXexcBad8 2 2" xfId="25466" xr:uid="{00000000-0005-0000-0000-00007F610000}"/>
    <cellStyle name="SAPBEXexcBad8 3" xfId="24681" xr:uid="{00000000-0005-0000-0000-000080610000}"/>
    <cellStyle name="SAPBEXexcBad8 3 2" xfId="25383" xr:uid="{00000000-0005-0000-0000-000081610000}"/>
    <cellStyle name="SAPBEXexcBad8 3 3" xfId="25644" xr:uid="{00000000-0005-0000-0000-000082610000}"/>
    <cellStyle name="SAPBEXexcBad8 4" xfId="25095" xr:uid="{00000000-0005-0000-0000-000083610000}"/>
    <cellStyle name="SAPBEXexcBad8 4 2" xfId="25407" xr:uid="{00000000-0005-0000-0000-000084610000}"/>
    <cellStyle name="SAPBEXexcBad8 4 3" xfId="25693" xr:uid="{00000000-0005-0000-0000-000085610000}"/>
    <cellStyle name="SAPBEXexcBad9" xfId="81" xr:uid="{00000000-0005-0000-0000-000086610000}"/>
    <cellStyle name="SAPBEXexcBad9 2" xfId="13629" xr:uid="{00000000-0005-0000-0000-000087610000}"/>
    <cellStyle name="SAPBEXexcBad9 2 2" xfId="25467" xr:uid="{00000000-0005-0000-0000-000088610000}"/>
    <cellStyle name="SAPBEXexcBad9 3" xfId="24680" xr:uid="{00000000-0005-0000-0000-000089610000}"/>
    <cellStyle name="SAPBEXexcBad9 3 2" xfId="25370" xr:uid="{00000000-0005-0000-0000-00008A610000}"/>
    <cellStyle name="SAPBEXexcBad9 3 3" xfId="25643" xr:uid="{00000000-0005-0000-0000-00008B610000}"/>
    <cellStyle name="SAPBEXexcBad9 4" xfId="25096" xr:uid="{00000000-0005-0000-0000-00008C610000}"/>
    <cellStyle name="SAPBEXexcBad9 4 2" xfId="25320" xr:uid="{00000000-0005-0000-0000-00008D610000}"/>
    <cellStyle name="SAPBEXexcBad9 4 3" xfId="25694" xr:uid="{00000000-0005-0000-0000-00008E610000}"/>
    <cellStyle name="SAPBEXexcCritical4" xfId="82" xr:uid="{00000000-0005-0000-0000-00008F610000}"/>
    <cellStyle name="SAPBEXexcCritical4 2" xfId="13630" xr:uid="{00000000-0005-0000-0000-000090610000}"/>
    <cellStyle name="SAPBEXexcCritical4 2 2" xfId="25468" xr:uid="{00000000-0005-0000-0000-000091610000}"/>
    <cellStyle name="SAPBEXexcCritical4 3" xfId="24679" xr:uid="{00000000-0005-0000-0000-000092610000}"/>
    <cellStyle name="SAPBEXexcCritical4 3 2" xfId="25288" xr:uid="{00000000-0005-0000-0000-000093610000}"/>
    <cellStyle name="SAPBEXexcCritical4 3 3" xfId="25642" xr:uid="{00000000-0005-0000-0000-000094610000}"/>
    <cellStyle name="SAPBEXexcCritical4 4" xfId="25097" xr:uid="{00000000-0005-0000-0000-000095610000}"/>
    <cellStyle name="SAPBEXexcCritical4 4 2" xfId="25419" xr:uid="{00000000-0005-0000-0000-000096610000}"/>
    <cellStyle name="SAPBEXexcCritical4 4 3" xfId="25695" xr:uid="{00000000-0005-0000-0000-000097610000}"/>
    <cellStyle name="SAPBEXexcCritical5" xfId="83" xr:uid="{00000000-0005-0000-0000-000098610000}"/>
    <cellStyle name="SAPBEXexcCritical5 2" xfId="13631" xr:uid="{00000000-0005-0000-0000-000099610000}"/>
    <cellStyle name="SAPBEXexcCritical5 2 2" xfId="25469" xr:uid="{00000000-0005-0000-0000-00009A610000}"/>
    <cellStyle name="SAPBEXexcCritical5 3" xfId="24678" xr:uid="{00000000-0005-0000-0000-00009B610000}"/>
    <cellStyle name="SAPBEXexcCritical5 3 2" xfId="25299" xr:uid="{00000000-0005-0000-0000-00009C610000}"/>
    <cellStyle name="SAPBEXexcCritical5 3 3" xfId="25641" xr:uid="{00000000-0005-0000-0000-00009D610000}"/>
    <cellStyle name="SAPBEXexcCritical5 4" xfId="25098" xr:uid="{00000000-0005-0000-0000-00009E610000}"/>
    <cellStyle name="SAPBEXexcCritical5 4 2" xfId="25336" xr:uid="{00000000-0005-0000-0000-00009F610000}"/>
    <cellStyle name="SAPBEXexcCritical5 4 3" xfId="25696" xr:uid="{00000000-0005-0000-0000-0000A0610000}"/>
    <cellStyle name="SAPBEXexcCritical6" xfId="84" xr:uid="{00000000-0005-0000-0000-0000A1610000}"/>
    <cellStyle name="SAPBEXexcCritical6 2" xfId="13632" xr:uid="{00000000-0005-0000-0000-0000A2610000}"/>
    <cellStyle name="SAPBEXexcCritical6 2 2" xfId="25470" xr:uid="{00000000-0005-0000-0000-0000A3610000}"/>
    <cellStyle name="SAPBEXexcCritical6 3" xfId="24677" xr:uid="{00000000-0005-0000-0000-0000A4610000}"/>
    <cellStyle name="SAPBEXexcCritical6 3 2" xfId="25362" xr:uid="{00000000-0005-0000-0000-0000A5610000}"/>
    <cellStyle name="SAPBEXexcCritical6 3 3" xfId="25640" xr:uid="{00000000-0005-0000-0000-0000A6610000}"/>
    <cellStyle name="SAPBEXexcCritical6 4" xfId="25099" xr:uid="{00000000-0005-0000-0000-0000A7610000}"/>
    <cellStyle name="SAPBEXexcCritical6 4 2" xfId="25438" xr:uid="{00000000-0005-0000-0000-0000A8610000}"/>
    <cellStyle name="SAPBEXexcCritical6 4 3" xfId="25697" xr:uid="{00000000-0005-0000-0000-0000A9610000}"/>
    <cellStyle name="SAPBEXexcGood1" xfId="85" xr:uid="{00000000-0005-0000-0000-0000AA610000}"/>
    <cellStyle name="SAPBEXexcGood1 2" xfId="13633" xr:uid="{00000000-0005-0000-0000-0000AB610000}"/>
    <cellStyle name="SAPBEXexcGood1 2 2" xfId="25471" xr:uid="{00000000-0005-0000-0000-0000AC610000}"/>
    <cellStyle name="SAPBEXexcGood1 3" xfId="24676" xr:uid="{00000000-0005-0000-0000-0000AD610000}"/>
    <cellStyle name="SAPBEXexcGood1 3 2" xfId="25450" xr:uid="{00000000-0005-0000-0000-0000AE610000}"/>
    <cellStyle name="SAPBEXexcGood1 3 3" xfId="25639" xr:uid="{00000000-0005-0000-0000-0000AF610000}"/>
    <cellStyle name="SAPBEXexcGood1 4" xfId="25100" xr:uid="{00000000-0005-0000-0000-0000B0610000}"/>
    <cellStyle name="SAPBEXexcGood1 4 2" xfId="25355" xr:uid="{00000000-0005-0000-0000-0000B1610000}"/>
    <cellStyle name="SAPBEXexcGood1 4 3" xfId="25698" xr:uid="{00000000-0005-0000-0000-0000B2610000}"/>
    <cellStyle name="SAPBEXexcGood2" xfId="86" xr:uid="{00000000-0005-0000-0000-0000B3610000}"/>
    <cellStyle name="SAPBEXexcGood2 2" xfId="13634" xr:uid="{00000000-0005-0000-0000-0000B4610000}"/>
    <cellStyle name="SAPBEXexcGood2 2 2" xfId="25472" xr:uid="{00000000-0005-0000-0000-0000B5610000}"/>
    <cellStyle name="SAPBEXexcGood2 3" xfId="24675" xr:uid="{00000000-0005-0000-0000-0000B6610000}"/>
    <cellStyle name="SAPBEXexcGood2 3 2" xfId="25349" xr:uid="{00000000-0005-0000-0000-0000B7610000}"/>
    <cellStyle name="SAPBEXexcGood2 3 3" xfId="25638" xr:uid="{00000000-0005-0000-0000-0000B8610000}"/>
    <cellStyle name="SAPBEXexcGood2 4" xfId="25101" xr:uid="{00000000-0005-0000-0000-0000B9610000}"/>
    <cellStyle name="SAPBEXexcGood2 4 2" xfId="25389" xr:uid="{00000000-0005-0000-0000-0000BA610000}"/>
    <cellStyle name="SAPBEXexcGood2 4 3" xfId="25699" xr:uid="{00000000-0005-0000-0000-0000BB610000}"/>
    <cellStyle name="SAPBEXexcGood3" xfId="87" xr:uid="{00000000-0005-0000-0000-0000BC610000}"/>
    <cellStyle name="SAPBEXexcGood3 2" xfId="13635" xr:uid="{00000000-0005-0000-0000-0000BD610000}"/>
    <cellStyle name="SAPBEXexcGood3 2 2" xfId="25473" xr:uid="{00000000-0005-0000-0000-0000BE610000}"/>
    <cellStyle name="SAPBEXexcGood3 3" xfId="24674" xr:uid="{00000000-0005-0000-0000-0000BF610000}"/>
    <cellStyle name="SAPBEXexcGood3 3 2" xfId="25433" xr:uid="{00000000-0005-0000-0000-0000C0610000}"/>
    <cellStyle name="SAPBEXexcGood3 3 3" xfId="25637" xr:uid="{00000000-0005-0000-0000-0000C1610000}"/>
    <cellStyle name="SAPBEXexcGood3 4" xfId="25102" xr:uid="{00000000-0005-0000-0000-0000C2610000}"/>
    <cellStyle name="SAPBEXexcGood3 4 2" xfId="25403" xr:uid="{00000000-0005-0000-0000-0000C3610000}"/>
    <cellStyle name="SAPBEXexcGood3 4 3" xfId="25700" xr:uid="{00000000-0005-0000-0000-0000C4610000}"/>
    <cellStyle name="SAPBEXfilterDrill" xfId="88" xr:uid="{00000000-0005-0000-0000-0000C5610000}"/>
    <cellStyle name="SAPBEXfilterItem" xfId="89" xr:uid="{00000000-0005-0000-0000-0000C6610000}"/>
    <cellStyle name="SAPBEXfilterItem 2" xfId="90" xr:uid="{00000000-0005-0000-0000-0000C7610000}"/>
    <cellStyle name="SAPBEXfilterItem 3" xfId="231" xr:uid="{00000000-0005-0000-0000-0000C8610000}"/>
    <cellStyle name="SAPBEXfilterItem 4" xfId="232" xr:uid="{00000000-0005-0000-0000-0000C9610000}"/>
    <cellStyle name="SAPBEXfilterItem 5" xfId="233" xr:uid="{00000000-0005-0000-0000-0000CA610000}"/>
    <cellStyle name="SAPBEXfilterItem 6" xfId="234" xr:uid="{00000000-0005-0000-0000-0000CB610000}"/>
    <cellStyle name="SAPBEXfilterItem 7" xfId="235" xr:uid="{00000000-0005-0000-0000-0000CC610000}"/>
    <cellStyle name="SAPBEXfilterItem 8" xfId="412" xr:uid="{00000000-0005-0000-0000-0000CD610000}"/>
    <cellStyle name="SAPBEXfilterItem_Copy of xSAPtemp5457" xfId="236" xr:uid="{00000000-0005-0000-0000-0000CE610000}"/>
    <cellStyle name="SAPBEXfilterText" xfId="91" xr:uid="{00000000-0005-0000-0000-0000CF610000}"/>
    <cellStyle name="SAPBEXfilterText 2" xfId="92" xr:uid="{00000000-0005-0000-0000-0000D0610000}"/>
    <cellStyle name="SAPBEXfilterText 2 2" xfId="24246" xr:uid="{00000000-0005-0000-0000-0000D1610000}"/>
    <cellStyle name="SAPBEXfilterText 3" xfId="93" xr:uid="{00000000-0005-0000-0000-0000D2610000}"/>
    <cellStyle name="SAPBEXfilterText 3 2" xfId="24247" xr:uid="{00000000-0005-0000-0000-0000D3610000}"/>
    <cellStyle name="SAPBEXfilterText 4" xfId="237" xr:uid="{00000000-0005-0000-0000-0000D4610000}"/>
    <cellStyle name="SAPBEXfilterText 5" xfId="238" xr:uid="{00000000-0005-0000-0000-0000D5610000}"/>
    <cellStyle name="SAPBEXformats" xfId="94" xr:uid="{00000000-0005-0000-0000-0000D6610000}"/>
    <cellStyle name="SAPBEXformats 2" xfId="13636" xr:uid="{00000000-0005-0000-0000-0000D7610000}"/>
    <cellStyle name="SAPBEXformats 2 2" xfId="25474" xr:uid="{00000000-0005-0000-0000-0000D8610000}"/>
    <cellStyle name="SAPBEXformats 3" xfId="24673" xr:uid="{00000000-0005-0000-0000-0000D9610000}"/>
    <cellStyle name="SAPBEXformats 3 2" xfId="25332" xr:uid="{00000000-0005-0000-0000-0000DA610000}"/>
    <cellStyle name="SAPBEXformats 3 3" xfId="25636" xr:uid="{00000000-0005-0000-0000-0000DB610000}"/>
    <cellStyle name="SAPBEXformats 4" xfId="25103" xr:uid="{00000000-0005-0000-0000-0000DC610000}"/>
    <cellStyle name="SAPBEXformats 4 2" xfId="25314" xr:uid="{00000000-0005-0000-0000-0000DD610000}"/>
    <cellStyle name="SAPBEXformats 4 3" xfId="25701" xr:uid="{00000000-0005-0000-0000-0000DE610000}"/>
    <cellStyle name="SAPBEXheaderItem" xfId="95" xr:uid="{00000000-0005-0000-0000-0000DF610000}"/>
    <cellStyle name="SAPBEXheaderItem 2" xfId="96" xr:uid="{00000000-0005-0000-0000-0000E0610000}"/>
    <cellStyle name="SAPBEXheaderItem 2 2" xfId="24249" xr:uid="{00000000-0005-0000-0000-0000E1610000}"/>
    <cellStyle name="SAPBEXheaderItem 3" xfId="97" xr:uid="{00000000-0005-0000-0000-0000E2610000}"/>
    <cellStyle name="SAPBEXheaderItem 3 2" xfId="98" xr:uid="{00000000-0005-0000-0000-0000E3610000}"/>
    <cellStyle name="SAPBEXheaderItem 3 3" xfId="24250" xr:uid="{00000000-0005-0000-0000-0000E4610000}"/>
    <cellStyle name="SAPBEXheaderItem 4" xfId="239" xr:uid="{00000000-0005-0000-0000-0000E5610000}"/>
    <cellStyle name="SAPBEXheaderItem 5" xfId="240" xr:uid="{00000000-0005-0000-0000-0000E6610000}"/>
    <cellStyle name="SAPBEXheaderItem 6" xfId="241" xr:uid="{00000000-0005-0000-0000-0000E7610000}"/>
    <cellStyle name="SAPBEXheaderItem 7" xfId="242" xr:uid="{00000000-0005-0000-0000-0000E8610000}"/>
    <cellStyle name="SAPBEXheaderItem 8" xfId="243" xr:uid="{00000000-0005-0000-0000-0000E9610000}"/>
    <cellStyle name="SAPBEXheaderItem 9" xfId="413" xr:uid="{00000000-0005-0000-0000-0000EA610000}"/>
    <cellStyle name="SAPBEXheaderItem_Copy of xSAPtemp5457" xfId="244" xr:uid="{00000000-0005-0000-0000-0000EB610000}"/>
    <cellStyle name="SAPBEXheaderText" xfId="99" xr:uid="{00000000-0005-0000-0000-0000EC610000}"/>
    <cellStyle name="SAPBEXheaderText 2" xfId="100" xr:uid="{00000000-0005-0000-0000-0000ED610000}"/>
    <cellStyle name="SAPBEXheaderText 2 2" xfId="24251" xr:uid="{00000000-0005-0000-0000-0000EE610000}"/>
    <cellStyle name="SAPBEXheaderText 3" xfId="101" xr:uid="{00000000-0005-0000-0000-0000EF610000}"/>
    <cellStyle name="SAPBEXheaderText 3 2" xfId="24252" xr:uid="{00000000-0005-0000-0000-0000F0610000}"/>
    <cellStyle name="SAPBEXheaderText 4" xfId="102" xr:uid="{00000000-0005-0000-0000-0000F1610000}"/>
    <cellStyle name="SAPBEXheaderText 5" xfId="245" xr:uid="{00000000-0005-0000-0000-0000F2610000}"/>
    <cellStyle name="SAPBEXheaderText 6" xfId="246" xr:uid="{00000000-0005-0000-0000-0000F3610000}"/>
    <cellStyle name="SAPBEXheaderText 7" xfId="247" xr:uid="{00000000-0005-0000-0000-0000F4610000}"/>
    <cellStyle name="SAPBEXheaderText 8" xfId="248" xr:uid="{00000000-0005-0000-0000-0000F5610000}"/>
    <cellStyle name="SAPBEXheaderText 9" xfId="414" xr:uid="{00000000-0005-0000-0000-0000F6610000}"/>
    <cellStyle name="SAPBEXheaderText_Copy of xSAPtemp5457" xfId="249" xr:uid="{00000000-0005-0000-0000-0000F7610000}"/>
    <cellStyle name="SAPBEXHLevel0" xfId="103" xr:uid="{00000000-0005-0000-0000-0000F8610000}"/>
    <cellStyle name="SAPBEXHLevel0 2" xfId="104" xr:uid="{00000000-0005-0000-0000-0000F9610000}"/>
    <cellStyle name="SAPBEXHLevel0 2 2" xfId="13638" xr:uid="{00000000-0005-0000-0000-0000FA610000}"/>
    <cellStyle name="SAPBEXHLevel0 2 2 2" xfId="25476" xr:uid="{00000000-0005-0000-0000-0000FB610000}"/>
    <cellStyle name="SAPBEXHLevel0 2 3" xfId="24253" xr:uid="{00000000-0005-0000-0000-0000FC610000}"/>
    <cellStyle name="SAPBEXHLevel0 2 3 2" xfId="25575" xr:uid="{00000000-0005-0000-0000-0000FD610000}"/>
    <cellStyle name="SAPBEXHLevel0 2 4" xfId="24668" xr:uid="{00000000-0005-0000-0000-0000FE610000}"/>
    <cellStyle name="SAPBEXHLevel0 2 4 2" xfId="25357" xr:uid="{00000000-0005-0000-0000-0000FF610000}"/>
    <cellStyle name="SAPBEXHLevel0 2 4 3" xfId="25634" xr:uid="{00000000-0005-0000-0000-000000620000}"/>
    <cellStyle name="SAPBEXHLevel0 2 5" xfId="25105" xr:uid="{00000000-0005-0000-0000-000001620000}"/>
    <cellStyle name="SAPBEXHLevel0 2 5 2" xfId="25328" xr:uid="{00000000-0005-0000-0000-000002620000}"/>
    <cellStyle name="SAPBEXHLevel0 2 5 3" xfId="25703" xr:uid="{00000000-0005-0000-0000-000003620000}"/>
    <cellStyle name="SAPBEXHLevel0 3" xfId="105" xr:uid="{00000000-0005-0000-0000-000004620000}"/>
    <cellStyle name="SAPBEXHLevel0 3 2" xfId="13639" xr:uid="{00000000-0005-0000-0000-000005620000}"/>
    <cellStyle name="SAPBEXHLevel0 3 2 2" xfId="25477" xr:uid="{00000000-0005-0000-0000-000006620000}"/>
    <cellStyle name="SAPBEXHLevel0 3 3" xfId="24254" xr:uid="{00000000-0005-0000-0000-000007620000}"/>
    <cellStyle name="SAPBEXHLevel0 3 3 2" xfId="25576" xr:uid="{00000000-0005-0000-0000-000008620000}"/>
    <cellStyle name="SAPBEXHLevel0 3 4" xfId="24667" xr:uid="{00000000-0005-0000-0000-000009620000}"/>
    <cellStyle name="SAPBEXHLevel0 3 4 2" xfId="25441" xr:uid="{00000000-0005-0000-0000-00000A620000}"/>
    <cellStyle name="SAPBEXHLevel0 3 4 3" xfId="25633" xr:uid="{00000000-0005-0000-0000-00000B620000}"/>
    <cellStyle name="SAPBEXHLevel0 3 5" xfId="25106" xr:uid="{00000000-0005-0000-0000-00000C620000}"/>
    <cellStyle name="SAPBEXHLevel0 3 5 2" xfId="25429" xr:uid="{00000000-0005-0000-0000-00000D620000}"/>
    <cellStyle name="SAPBEXHLevel0 3 5 3" xfId="25704" xr:uid="{00000000-0005-0000-0000-00000E620000}"/>
    <cellStyle name="SAPBEXHLevel0 4" xfId="106" xr:uid="{00000000-0005-0000-0000-00000F620000}"/>
    <cellStyle name="SAPBEXHLevel0 4 2" xfId="13640" xr:uid="{00000000-0005-0000-0000-000010620000}"/>
    <cellStyle name="SAPBEXHLevel0 4 2 2" xfId="25478" xr:uid="{00000000-0005-0000-0000-000011620000}"/>
    <cellStyle name="SAPBEXHLevel0 5" xfId="250" xr:uid="{00000000-0005-0000-0000-000012620000}"/>
    <cellStyle name="SAPBEXHLevel0 5 2" xfId="13715" xr:uid="{00000000-0005-0000-0000-000013620000}"/>
    <cellStyle name="SAPBEXHLevel0 5 2 2" xfId="25528" xr:uid="{00000000-0005-0000-0000-000014620000}"/>
    <cellStyle name="SAPBEXHLevel0 6" xfId="13637" xr:uid="{00000000-0005-0000-0000-000015620000}"/>
    <cellStyle name="SAPBEXHLevel0 6 2" xfId="25475" xr:uid="{00000000-0005-0000-0000-000016620000}"/>
    <cellStyle name="SAPBEXHLevel0 7" xfId="24669" xr:uid="{00000000-0005-0000-0000-000017620000}"/>
    <cellStyle name="SAPBEXHLevel0 7 2" xfId="25391" xr:uid="{00000000-0005-0000-0000-000018620000}"/>
    <cellStyle name="SAPBEXHLevel0 7 3" xfId="25635" xr:uid="{00000000-0005-0000-0000-000019620000}"/>
    <cellStyle name="SAPBEXHLevel0 8" xfId="25104" xr:uid="{00000000-0005-0000-0000-00001A620000}"/>
    <cellStyle name="SAPBEXHLevel0 8 2" xfId="25415" xr:uid="{00000000-0005-0000-0000-00001B620000}"/>
    <cellStyle name="SAPBEXHLevel0 8 3" xfId="25702" xr:uid="{00000000-0005-0000-0000-00001C620000}"/>
    <cellStyle name="SAPBEXHLevel0X" xfId="107" xr:uid="{00000000-0005-0000-0000-00001D620000}"/>
    <cellStyle name="SAPBEXHLevel0X 2" xfId="108" xr:uid="{00000000-0005-0000-0000-00001E620000}"/>
    <cellStyle name="SAPBEXHLevel0X 2 2" xfId="13642" xr:uid="{00000000-0005-0000-0000-00001F620000}"/>
    <cellStyle name="SAPBEXHLevel0X 2 2 2" xfId="25480" xr:uid="{00000000-0005-0000-0000-000020620000}"/>
    <cellStyle name="SAPBEXHLevel0X 2 3" xfId="24255" xr:uid="{00000000-0005-0000-0000-000021620000}"/>
    <cellStyle name="SAPBEXHLevel0X 2 3 2" xfId="25577" xr:uid="{00000000-0005-0000-0000-000022620000}"/>
    <cellStyle name="SAPBEXHLevel0X 2 4" xfId="24665" xr:uid="{00000000-0005-0000-0000-000023620000}"/>
    <cellStyle name="SAPBEXHLevel0X 2 4 2" xfId="25424" xr:uid="{00000000-0005-0000-0000-000024620000}"/>
    <cellStyle name="SAPBEXHLevel0X 2 4 3" xfId="25631" xr:uid="{00000000-0005-0000-0000-000025620000}"/>
    <cellStyle name="SAPBEXHLevel0X 2 5" xfId="25108" xr:uid="{00000000-0005-0000-0000-000026620000}"/>
    <cellStyle name="SAPBEXHLevel0X 2 5 2" xfId="25446" xr:uid="{00000000-0005-0000-0000-000027620000}"/>
    <cellStyle name="SAPBEXHLevel0X 2 5 3" xfId="25706" xr:uid="{00000000-0005-0000-0000-000028620000}"/>
    <cellStyle name="SAPBEXHLevel0X 3" xfId="109" xr:uid="{00000000-0005-0000-0000-000029620000}"/>
    <cellStyle name="SAPBEXHLevel0X 3 2" xfId="13643" xr:uid="{00000000-0005-0000-0000-00002A620000}"/>
    <cellStyle name="SAPBEXHLevel0X 3 2 2" xfId="25481" xr:uid="{00000000-0005-0000-0000-00002B620000}"/>
    <cellStyle name="SAPBEXHLevel0X 3 3" xfId="24256" xr:uid="{00000000-0005-0000-0000-00002C620000}"/>
    <cellStyle name="SAPBEXHLevel0X 3 3 2" xfId="25578" xr:uid="{00000000-0005-0000-0000-00002D620000}"/>
    <cellStyle name="SAPBEXHLevel0X 3 4" xfId="24664" xr:uid="{00000000-0005-0000-0000-00002E620000}"/>
    <cellStyle name="SAPBEXHLevel0X 3 4 2" xfId="25323" xr:uid="{00000000-0005-0000-0000-00002F620000}"/>
    <cellStyle name="SAPBEXHLevel0X 3 4 3" xfId="25630" xr:uid="{00000000-0005-0000-0000-000030620000}"/>
    <cellStyle name="SAPBEXHLevel0X 3 5" xfId="25109" xr:uid="{00000000-0005-0000-0000-000031620000}"/>
    <cellStyle name="SAPBEXHLevel0X 3 5 2" xfId="25360" xr:uid="{00000000-0005-0000-0000-000032620000}"/>
    <cellStyle name="SAPBEXHLevel0X 3 5 3" xfId="25707" xr:uid="{00000000-0005-0000-0000-000033620000}"/>
    <cellStyle name="SAPBEXHLevel0X 4" xfId="110" xr:uid="{00000000-0005-0000-0000-000034620000}"/>
    <cellStyle name="SAPBEXHLevel0X 4 2" xfId="13644" xr:uid="{00000000-0005-0000-0000-000035620000}"/>
    <cellStyle name="SAPBEXHLevel0X 4 2 2" xfId="25482" xr:uid="{00000000-0005-0000-0000-000036620000}"/>
    <cellStyle name="SAPBEXHLevel0X 5" xfId="251" xr:uid="{00000000-0005-0000-0000-000037620000}"/>
    <cellStyle name="SAPBEXHLevel0X 5 2" xfId="13716" xr:uid="{00000000-0005-0000-0000-000038620000}"/>
    <cellStyle name="SAPBEXHLevel0X 5 2 2" xfId="25529" xr:uid="{00000000-0005-0000-0000-000039620000}"/>
    <cellStyle name="SAPBEXHLevel0X 6" xfId="13641" xr:uid="{00000000-0005-0000-0000-00003A620000}"/>
    <cellStyle name="SAPBEXHLevel0X 6 2" xfId="25479" xr:uid="{00000000-0005-0000-0000-00003B620000}"/>
    <cellStyle name="SAPBEXHLevel0X 7" xfId="24666" xr:uid="{00000000-0005-0000-0000-00003C620000}"/>
    <cellStyle name="SAPBEXHLevel0X 7 2" xfId="25340" xr:uid="{00000000-0005-0000-0000-00003D620000}"/>
    <cellStyle name="SAPBEXHLevel0X 7 3" xfId="25632" xr:uid="{00000000-0005-0000-0000-00003E620000}"/>
    <cellStyle name="SAPBEXHLevel0X 8" xfId="25107" xr:uid="{00000000-0005-0000-0000-00003F620000}"/>
    <cellStyle name="SAPBEXHLevel0X 8 2" xfId="25345" xr:uid="{00000000-0005-0000-0000-000040620000}"/>
    <cellStyle name="SAPBEXHLevel0X 8 3" xfId="25705" xr:uid="{00000000-0005-0000-0000-000041620000}"/>
    <cellStyle name="SAPBEXHLevel1" xfId="111" xr:uid="{00000000-0005-0000-0000-000042620000}"/>
    <cellStyle name="SAPBEXHLevel1 2" xfId="112" xr:uid="{00000000-0005-0000-0000-000043620000}"/>
    <cellStyle name="SAPBEXHLevel1 2 2" xfId="13646" xr:uid="{00000000-0005-0000-0000-000044620000}"/>
    <cellStyle name="SAPBEXHLevel1 2 2 2" xfId="25484" xr:uid="{00000000-0005-0000-0000-000045620000}"/>
    <cellStyle name="SAPBEXHLevel1 2 3" xfId="24257" xr:uid="{00000000-0005-0000-0000-000046620000}"/>
    <cellStyle name="SAPBEXHLevel1 2 3 2" xfId="25579" xr:uid="{00000000-0005-0000-0000-000047620000}"/>
    <cellStyle name="SAPBEXHLevel1 2 4" xfId="24662" xr:uid="{00000000-0005-0000-0000-000048620000}"/>
    <cellStyle name="SAPBEXHLevel1 2 4 2" xfId="25308" xr:uid="{00000000-0005-0000-0000-000049620000}"/>
    <cellStyle name="SAPBEXHLevel1 2 4 3" xfId="25628" xr:uid="{00000000-0005-0000-0000-00004A620000}"/>
    <cellStyle name="SAPBEXHLevel1 2 5" xfId="25111" xr:uid="{00000000-0005-0000-0000-00004B620000}"/>
    <cellStyle name="SAPBEXHLevel1 2 5 2" xfId="25283" xr:uid="{00000000-0005-0000-0000-00004C620000}"/>
    <cellStyle name="SAPBEXHLevel1 2 5 3" xfId="25709" xr:uid="{00000000-0005-0000-0000-00004D620000}"/>
    <cellStyle name="SAPBEXHLevel1 3" xfId="113" xr:uid="{00000000-0005-0000-0000-00004E620000}"/>
    <cellStyle name="SAPBEXHLevel1 3 2" xfId="13647" xr:uid="{00000000-0005-0000-0000-00004F620000}"/>
    <cellStyle name="SAPBEXHLevel1 3 2 2" xfId="25485" xr:uid="{00000000-0005-0000-0000-000050620000}"/>
    <cellStyle name="SAPBEXHLevel1 3 3" xfId="24258" xr:uid="{00000000-0005-0000-0000-000051620000}"/>
    <cellStyle name="SAPBEXHLevel1 3 3 2" xfId="25580" xr:uid="{00000000-0005-0000-0000-000052620000}"/>
    <cellStyle name="SAPBEXHLevel1 3 4" xfId="24661" xr:uid="{00000000-0005-0000-0000-000053620000}"/>
    <cellStyle name="SAPBEXHLevel1 3 4 2" xfId="25400" xr:uid="{00000000-0005-0000-0000-000054620000}"/>
    <cellStyle name="SAPBEXHLevel1 3 4 3" xfId="25627" xr:uid="{00000000-0005-0000-0000-000055620000}"/>
    <cellStyle name="SAPBEXHLevel1 3 5" xfId="25112" xr:uid="{00000000-0005-0000-0000-000056620000}"/>
    <cellStyle name="SAPBEXHLevel1 3 5 2" xfId="25366" xr:uid="{00000000-0005-0000-0000-000057620000}"/>
    <cellStyle name="SAPBEXHLevel1 3 5 3" xfId="25710" xr:uid="{00000000-0005-0000-0000-000058620000}"/>
    <cellStyle name="SAPBEXHLevel1 4" xfId="114" xr:uid="{00000000-0005-0000-0000-000059620000}"/>
    <cellStyle name="SAPBEXHLevel1 4 2" xfId="13648" xr:uid="{00000000-0005-0000-0000-00005A620000}"/>
    <cellStyle name="SAPBEXHLevel1 4 2 2" xfId="25486" xr:uid="{00000000-0005-0000-0000-00005B620000}"/>
    <cellStyle name="SAPBEXHLevel1 5" xfId="252" xr:uid="{00000000-0005-0000-0000-00005C620000}"/>
    <cellStyle name="SAPBEXHLevel1 5 2" xfId="13717" xr:uid="{00000000-0005-0000-0000-00005D620000}"/>
    <cellStyle name="SAPBEXHLevel1 5 2 2" xfId="25530" xr:uid="{00000000-0005-0000-0000-00005E620000}"/>
    <cellStyle name="SAPBEXHLevel1 6" xfId="13645" xr:uid="{00000000-0005-0000-0000-00005F620000}"/>
    <cellStyle name="SAPBEXHLevel1 6 2" xfId="25483" xr:uid="{00000000-0005-0000-0000-000060620000}"/>
    <cellStyle name="SAPBEXHLevel1 7" xfId="24663" xr:uid="{00000000-0005-0000-0000-000061620000}"/>
    <cellStyle name="SAPBEXHLevel1 7 2" xfId="25410" xr:uid="{00000000-0005-0000-0000-000062620000}"/>
    <cellStyle name="SAPBEXHLevel1 7 3" xfId="25629" xr:uid="{00000000-0005-0000-0000-000063620000}"/>
    <cellStyle name="SAPBEXHLevel1 8" xfId="25110" xr:uid="{00000000-0005-0000-0000-000064620000}"/>
    <cellStyle name="SAPBEXHLevel1 8 2" xfId="25297" xr:uid="{00000000-0005-0000-0000-000065620000}"/>
    <cellStyle name="SAPBEXHLevel1 8 3" xfId="25708" xr:uid="{00000000-0005-0000-0000-000066620000}"/>
    <cellStyle name="SAPBEXHLevel1X" xfId="115" xr:uid="{00000000-0005-0000-0000-000067620000}"/>
    <cellStyle name="SAPBEXHLevel1X 2" xfId="116" xr:uid="{00000000-0005-0000-0000-000068620000}"/>
    <cellStyle name="SAPBEXHLevel1X 2 2" xfId="13650" xr:uid="{00000000-0005-0000-0000-000069620000}"/>
    <cellStyle name="SAPBEXHLevel1X 2 2 2" xfId="25488" xr:uid="{00000000-0005-0000-0000-00006A620000}"/>
    <cellStyle name="SAPBEXHLevel1X 2 3" xfId="24259" xr:uid="{00000000-0005-0000-0000-00006B620000}"/>
    <cellStyle name="SAPBEXHLevel1X 2 3 2" xfId="25581" xr:uid="{00000000-0005-0000-0000-00006C620000}"/>
    <cellStyle name="SAPBEXHLevel1X 2 4" xfId="24659" xr:uid="{00000000-0005-0000-0000-00006D620000}"/>
    <cellStyle name="SAPBEXHLevel1X 2 4 2" xfId="25371" xr:uid="{00000000-0005-0000-0000-00006E620000}"/>
    <cellStyle name="SAPBEXHLevel1X 2 4 3" xfId="25625" xr:uid="{00000000-0005-0000-0000-00006F620000}"/>
    <cellStyle name="SAPBEXHLevel1X 2 5" xfId="25114" xr:uid="{00000000-0005-0000-0000-000070620000}"/>
    <cellStyle name="SAPBEXHLevel1X 2 5 2" xfId="25394" xr:uid="{00000000-0005-0000-0000-000071620000}"/>
    <cellStyle name="SAPBEXHLevel1X 2 5 3" xfId="25712" xr:uid="{00000000-0005-0000-0000-000072620000}"/>
    <cellStyle name="SAPBEXHLevel1X 3" xfId="117" xr:uid="{00000000-0005-0000-0000-000073620000}"/>
    <cellStyle name="SAPBEXHLevel1X 3 2" xfId="13651" xr:uid="{00000000-0005-0000-0000-000074620000}"/>
    <cellStyle name="SAPBEXHLevel1X 3 2 2" xfId="25489" xr:uid="{00000000-0005-0000-0000-000075620000}"/>
    <cellStyle name="SAPBEXHLevel1X 3 3" xfId="24260" xr:uid="{00000000-0005-0000-0000-000076620000}"/>
    <cellStyle name="SAPBEXHLevel1X 3 3 2" xfId="25582" xr:uid="{00000000-0005-0000-0000-000077620000}"/>
    <cellStyle name="SAPBEXHLevel1X 3 4" xfId="24658" xr:uid="{00000000-0005-0000-0000-000078620000}"/>
    <cellStyle name="SAPBEXHLevel1X 3 4 2" xfId="25289" xr:uid="{00000000-0005-0000-0000-000079620000}"/>
    <cellStyle name="SAPBEXHLevel1X 3 4 3" xfId="25624" xr:uid="{00000000-0005-0000-0000-00007A620000}"/>
    <cellStyle name="SAPBEXHLevel1X 3 5" xfId="25115" xr:uid="{00000000-0005-0000-0000-00007B620000}"/>
    <cellStyle name="SAPBEXHLevel1X 3 5 2" xfId="25303" xr:uid="{00000000-0005-0000-0000-00007C620000}"/>
    <cellStyle name="SAPBEXHLevel1X 3 5 3" xfId="25713" xr:uid="{00000000-0005-0000-0000-00007D620000}"/>
    <cellStyle name="SAPBEXHLevel1X 4" xfId="118" xr:uid="{00000000-0005-0000-0000-00007E620000}"/>
    <cellStyle name="SAPBEXHLevel1X 4 2" xfId="13652" xr:uid="{00000000-0005-0000-0000-00007F620000}"/>
    <cellStyle name="SAPBEXHLevel1X 4 2 2" xfId="25490" xr:uid="{00000000-0005-0000-0000-000080620000}"/>
    <cellStyle name="SAPBEXHLevel1X 5" xfId="253" xr:uid="{00000000-0005-0000-0000-000081620000}"/>
    <cellStyle name="SAPBEXHLevel1X 5 2" xfId="13718" xr:uid="{00000000-0005-0000-0000-000082620000}"/>
    <cellStyle name="SAPBEXHLevel1X 5 2 2" xfId="25531" xr:uid="{00000000-0005-0000-0000-000083620000}"/>
    <cellStyle name="SAPBEXHLevel1X 6" xfId="13649" xr:uid="{00000000-0005-0000-0000-000084620000}"/>
    <cellStyle name="SAPBEXHLevel1X 6 2" xfId="25487" xr:uid="{00000000-0005-0000-0000-000085620000}"/>
    <cellStyle name="SAPBEXHLevel1X 7" xfId="24660" xr:uid="{00000000-0005-0000-0000-000086620000}"/>
    <cellStyle name="SAPBEXHLevel1X 7 2" xfId="25384" xr:uid="{00000000-0005-0000-0000-000087620000}"/>
    <cellStyle name="SAPBEXHLevel1X 7 3" xfId="25626" xr:uid="{00000000-0005-0000-0000-000088620000}"/>
    <cellStyle name="SAPBEXHLevel1X 8" xfId="25113" xr:uid="{00000000-0005-0000-0000-000089620000}"/>
    <cellStyle name="SAPBEXHLevel1X 8 2" xfId="25380" xr:uid="{00000000-0005-0000-0000-00008A620000}"/>
    <cellStyle name="SAPBEXHLevel1X 8 3" xfId="25711" xr:uid="{00000000-0005-0000-0000-00008B620000}"/>
    <cellStyle name="SAPBEXHLevel2" xfId="119" xr:uid="{00000000-0005-0000-0000-00008C620000}"/>
    <cellStyle name="SAPBEXHLevel2 2" xfId="120" xr:uid="{00000000-0005-0000-0000-00008D620000}"/>
    <cellStyle name="SAPBEXHLevel2 2 2" xfId="13654" xr:uid="{00000000-0005-0000-0000-00008E620000}"/>
    <cellStyle name="SAPBEXHLevel2 2 2 2" xfId="25492" xr:uid="{00000000-0005-0000-0000-00008F620000}"/>
    <cellStyle name="SAPBEXHLevel2 2 3" xfId="24262" xr:uid="{00000000-0005-0000-0000-000090620000}"/>
    <cellStyle name="SAPBEXHLevel2 2 3 2" xfId="25583" xr:uid="{00000000-0005-0000-0000-000091620000}"/>
    <cellStyle name="SAPBEXHLevel2 2 4" xfId="24656" xr:uid="{00000000-0005-0000-0000-000092620000}"/>
    <cellStyle name="SAPBEXHLevel2 2 4 2" xfId="25363" xr:uid="{00000000-0005-0000-0000-000093620000}"/>
    <cellStyle name="SAPBEXHLevel2 2 4 3" xfId="25622" xr:uid="{00000000-0005-0000-0000-000094620000}"/>
    <cellStyle name="SAPBEXHLevel2 2 5" xfId="25117" xr:uid="{00000000-0005-0000-0000-000095620000}"/>
    <cellStyle name="SAPBEXHLevel2 2 5 2" xfId="25319" xr:uid="{00000000-0005-0000-0000-000096620000}"/>
    <cellStyle name="SAPBEXHLevel2 2 5 3" xfId="25715" xr:uid="{00000000-0005-0000-0000-000097620000}"/>
    <cellStyle name="SAPBEXHLevel2 3" xfId="121" xr:uid="{00000000-0005-0000-0000-000098620000}"/>
    <cellStyle name="SAPBEXHLevel2 3 2" xfId="13655" xr:uid="{00000000-0005-0000-0000-000099620000}"/>
    <cellStyle name="SAPBEXHLevel2 3 2 2" xfId="25493" xr:uid="{00000000-0005-0000-0000-00009A620000}"/>
    <cellStyle name="SAPBEXHLevel2 3 3" xfId="24263" xr:uid="{00000000-0005-0000-0000-00009B620000}"/>
    <cellStyle name="SAPBEXHLevel2 3 3 2" xfId="25584" xr:uid="{00000000-0005-0000-0000-00009C620000}"/>
    <cellStyle name="SAPBEXHLevel2 3 4" xfId="24655" xr:uid="{00000000-0005-0000-0000-00009D620000}"/>
    <cellStyle name="SAPBEXHLevel2 3 4 2" xfId="25451" xr:uid="{00000000-0005-0000-0000-00009E620000}"/>
    <cellStyle name="SAPBEXHLevel2 3 4 3" xfId="25621" xr:uid="{00000000-0005-0000-0000-00009F620000}"/>
    <cellStyle name="SAPBEXHLevel2 3 5" xfId="25118" xr:uid="{00000000-0005-0000-0000-0000A0620000}"/>
    <cellStyle name="SAPBEXHLevel2 3 5 2" xfId="25420" xr:uid="{00000000-0005-0000-0000-0000A1620000}"/>
    <cellStyle name="SAPBEXHLevel2 3 5 3" xfId="25716" xr:uid="{00000000-0005-0000-0000-0000A2620000}"/>
    <cellStyle name="SAPBEXHLevel2 4" xfId="122" xr:uid="{00000000-0005-0000-0000-0000A3620000}"/>
    <cellStyle name="SAPBEXHLevel2 4 2" xfId="13656" xr:uid="{00000000-0005-0000-0000-0000A4620000}"/>
    <cellStyle name="SAPBEXHLevel2 4 2 2" xfId="25494" xr:uid="{00000000-0005-0000-0000-0000A5620000}"/>
    <cellStyle name="SAPBEXHLevel2 5" xfId="254" xr:uid="{00000000-0005-0000-0000-0000A6620000}"/>
    <cellStyle name="SAPBEXHLevel2 5 2" xfId="13719" xr:uid="{00000000-0005-0000-0000-0000A7620000}"/>
    <cellStyle name="SAPBEXHLevel2 5 2 2" xfId="25532" xr:uid="{00000000-0005-0000-0000-0000A8620000}"/>
    <cellStyle name="SAPBEXHLevel2 6" xfId="13653" xr:uid="{00000000-0005-0000-0000-0000A9620000}"/>
    <cellStyle name="SAPBEXHLevel2 6 2" xfId="25491" xr:uid="{00000000-0005-0000-0000-0000AA620000}"/>
    <cellStyle name="SAPBEXHLevel2 7" xfId="24657" xr:uid="{00000000-0005-0000-0000-0000AB620000}"/>
    <cellStyle name="SAPBEXHLevel2 7 2" xfId="25300" xr:uid="{00000000-0005-0000-0000-0000AC620000}"/>
    <cellStyle name="SAPBEXHLevel2 7 3" xfId="25623" xr:uid="{00000000-0005-0000-0000-0000AD620000}"/>
    <cellStyle name="SAPBEXHLevel2 8" xfId="25116" xr:uid="{00000000-0005-0000-0000-0000AE620000}"/>
    <cellStyle name="SAPBEXHLevel2 8 2" xfId="25406" xr:uid="{00000000-0005-0000-0000-0000AF620000}"/>
    <cellStyle name="SAPBEXHLevel2 8 3" xfId="25714" xr:uid="{00000000-0005-0000-0000-0000B0620000}"/>
    <cellStyle name="SAPBEXHLevel2X" xfId="123" xr:uid="{00000000-0005-0000-0000-0000B1620000}"/>
    <cellStyle name="SAPBEXHLevel2X 2" xfId="124" xr:uid="{00000000-0005-0000-0000-0000B2620000}"/>
    <cellStyle name="SAPBEXHLevel2X 2 2" xfId="13658" xr:uid="{00000000-0005-0000-0000-0000B3620000}"/>
    <cellStyle name="SAPBEXHLevel2X 2 2 2" xfId="25496" xr:uid="{00000000-0005-0000-0000-0000B4620000}"/>
    <cellStyle name="SAPBEXHLevel2X 2 3" xfId="24264" xr:uid="{00000000-0005-0000-0000-0000B5620000}"/>
    <cellStyle name="SAPBEXHLevel2X 2 3 2" xfId="25585" xr:uid="{00000000-0005-0000-0000-0000B6620000}"/>
    <cellStyle name="SAPBEXHLevel2X 2 4" xfId="24653" xr:uid="{00000000-0005-0000-0000-0000B7620000}"/>
    <cellStyle name="SAPBEXHLevel2X 2 4 2" xfId="25434" xr:uid="{00000000-0005-0000-0000-0000B8620000}"/>
    <cellStyle name="SAPBEXHLevel2X 2 4 3" xfId="25619" xr:uid="{00000000-0005-0000-0000-0000B9620000}"/>
    <cellStyle name="SAPBEXHLevel2X 2 5" xfId="25120" xr:uid="{00000000-0005-0000-0000-0000BA620000}"/>
    <cellStyle name="SAPBEXHLevel2X 2 5 2" xfId="25437" xr:uid="{00000000-0005-0000-0000-0000BB620000}"/>
    <cellStyle name="SAPBEXHLevel2X 2 5 3" xfId="25718" xr:uid="{00000000-0005-0000-0000-0000BC620000}"/>
    <cellStyle name="SAPBEXHLevel2X 3" xfId="125" xr:uid="{00000000-0005-0000-0000-0000BD620000}"/>
    <cellStyle name="SAPBEXHLevel2X 3 2" xfId="13659" xr:uid="{00000000-0005-0000-0000-0000BE620000}"/>
    <cellStyle name="SAPBEXHLevel2X 3 2 2" xfId="25497" xr:uid="{00000000-0005-0000-0000-0000BF620000}"/>
    <cellStyle name="SAPBEXHLevel2X 3 3" xfId="24265" xr:uid="{00000000-0005-0000-0000-0000C0620000}"/>
    <cellStyle name="SAPBEXHLevel2X 3 3 2" xfId="25586" xr:uid="{00000000-0005-0000-0000-0000C1620000}"/>
    <cellStyle name="SAPBEXHLevel2X 3 4" xfId="24652" xr:uid="{00000000-0005-0000-0000-0000C2620000}"/>
    <cellStyle name="SAPBEXHLevel2X 3 4 2" xfId="25333" xr:uid="{00000000-0005-0000-0000-0000C3620000}"/>
    <cellStyle name="SAPBEXHLevel2X 3 4 3" xfId="25618" xr:uid="{00000000-0005-0000-0000-0000C4620000}"/>
    <cellStyle name="SAPBEXHLevel2X 3 5" xfId="25121" xr:uid="{00000000-0005-0000-0000-0000C5620000}"/>
    <cellStyle name="SAPBEXHLevel2X 3 5 2" xfId="25354" xr:uid="{00000000-0005-0000-0000-0000C6620000}"/>
    <cellStyle name="SAPBEXHLevel2X 3 5 3" xfId="25719" xr:uid="{00000000-0005-0000-0000-0000C7620000}"/>
    <cellStyle name="SAPBEXHLevel2X 4" xfId="126" xr:uid="{00000000-0005-0000-0000-0000C8620000}"/>
    <cellStyle name="SAPBEXHLevel2X 4 2" xfId="13660" xr:uid="{00000000-0005-0000-0000-0000C9620000}"/>
    <cellStyle name="SAPBEXHLevel2X 4 2 2" xfId="25498" xr:uid="{00000000-0005-0000-0000-0000CA620000}"/>
    <cellStyle name="SAPBEXHLevel2X 5" xfId="255" xr:uid="{00000000-0005-0000-0000-0000CB620000}"/>
    <cellStyle name="SAPBEXHLevel2X 5 2" xfId="13720" xr:uid="{00000000-0005-0000-0000-0000CC620000}"/>
    <cellStyle name="SAPBEXHLevel2X 5 2 2" xfId="25533" xr:uid="{00000000-0005-0000-0000-0000CD620000}"/>
    <cellStyle name="SAPBEXHLevel2X 6" xfId="13657" xr:uid="{00000000-0005-0000-0000-0000CE620000}"/>
    <cellStyle name="SAPBEXHLevel2X 6 2" xfId="25495" xr:uid="{00000000-0005-0000-0000-0000CF620000}"/>
    <cellStyle name="SAPBEXHLevel2X 7" xfId="24654" xr:uid="{00000000-0005-0000-0000-0000D0620000}"/>
    <cellStyle name="SAPBEXHLevel2X 7 2" xfId="25350" xr:uid="{00000000-0005-0000-0000-0000D1620000}"/>
    <cellStyle name="SAPBEXHLevel2X 7 3" xfId="25620" xr:uid="{00000000-0005-0000-0000-0000D2620000}"/>
    <cellStyle name="SAPBEXHLevel2X 8" xfId="25119" xr:uid="{00000000-0005-0000-0000-0000D3620000}"/>
    <cellStyle name="SAPBEXHLevel2X 8 2" xfId="25337" xr:uid="{00000000-0005-0000-0000-0000D4620000}"/>
    <cellStyle name="SAPBEXHLevel2X 8 3" xfId="25717" xr:uid="{00000000-0005-0000-0000-0000D5620000}"/>
    <cellStyle name="SAPBEXHLevel3" xfId="127" xr:uid="{00000000-0005-0000-0000-0000D6620000}"/>
    <cellStyle name="SAPBEXHLevel3 2" xfId="128" xr:uid="{00000000-0005-0000-0000-0000D7620000}"/>
    <cellStyle name="SAPBEXHLevel3 2 2" xfId="13662" xr:uid="{00000000-0005-0000-0000-0000D8620000}"/>
    <cellStyle name="SAPBEXHLevel3 2 2 2" xfId="25500" xr:uid="{00000000-0005-0000-0000-0000D9620000}"/>
    <cellStyle name="SAPBEXHLevel3 2 3" xfId="24266" xr:uid="{00000000-0005-0000-0000-0000DA620000}"/>
    <cellStyle name="SAPBEXHLevel3 2 3 2" xfId="25587" xr:uid="{00000000-0005-0000-0000-0000DB620000}"/>
    <cellStyle name="SAPBEXHLevel3 2 4" xfId="24650" xr:uid="{00000000-0005-0000-0000-0000DC620000}"/>
    <cellStyle name="SAPBEXHLevel3 2 4 2" xfId="25317" xr:uid="{00000000-0005-0000-0000-0000DD620000}"/>
    <cellStyle name="SAPBEXHLevel3 2 4 3" xfId="25616" xr:uid="{00000000-0005-0000-0000-0000DE620000}"/>
    <cellStyle name="SAPBEXHLevel3 2 5" xfId="25123" xr:uid="{00000000-0005-0000-0000-0000DF620000}"/>
    <cellStyle name="SAPBEXHLevel3 2 5 2" xfId="25402" xr:uid="{00000000-0005-0000-0000-0000E0620000}"/>
    <cellStyle name="SAPBEXHLevel3 2 5 3" xfId="25721" xr:uid="{00000000-0005-0000-0000-0000E1620000}"/>
    <cellStyle name="SAPBEXHLevel3 3" xfId="129" xr:uid="{00000000-0005-0000-0000-0000E2620000}"/>
    <cellStyle name="SAPBEXHLevel3 3 2" xfId="13663" xr:uid="{00000000-0005-0000-0000-0000E3620000}"/>
    <cellStyle name="SAPBEXHLevel3 3 2 2" xfId="25501" xr:uid="{00000000-0005-0000-0000-0000E4620000}"/>
    <cellStyle name="SAPBEXHLevel3 3 3" xfId="24267" xr:uid="{00000000-0005-0000-0000-0000E5620000}"/>
    <cellStyle name="SAPBEXHLevel3 3 3 2" xfId="25588" xr:uid="{00000000-0005-0000-0000-0000E6620000}"/>
    <cellStyle name="SAPBEXHLevel3 3 4" xfId="24649" xr:uid="{00000000-0005-0000-0000-0000E7620000}"/>
    <cellStyle name="SAPBEXHLevel3 3 4 2" xfId="25405" xr:uid="{00000000-0005-0000-0000-0000E8620000}"/>
    <cellStyle name="SAPBEXHLevel3 3 4 3" xfId="25615" xr:uid="{00000000-0005-0000-0000-0000E9620000}"/>
    <cellStyle name="SAPBEXHLevel3 3 5" xfId="25124" xr:uid="{00000000-0005-0000-0000-0000EA620000}"/>
    <cellStyle name="SAPBEXHLevel3 3 5 2" xfId="25313" xr:uid="{00000000-0005-0000-0000-0000EB620000}"/>
    <cellStyle name="SAPBEXHLevel3 3 5 3" xfId="25722" xr:uid="{00000000-0005-0000-0000-0000EC620000}"/>
    <cellStyle name="SAPBEXHLevel3 4" xfId="130" xr:uid="{00000000-0005-0000-0000-0000ED620000}"/>
    <cellStyle name="SAPBEXHLevel3 4 2" xfId="13664" xr:uid="{00000000-0005-0000-0000-0000EE620000}"/>
    <cellStyle name="SAPBEXHLevel3 4 2 2" xfId="25502" xr:uid="{00000000-0005-0000-0000-0000EF620000}"/>
    <cellStyle name="SAPBEXHLevel3 5" xfId="256" xr:uid="{00000000-0005-0000-0000-0000F0620000}"/>
    <cellStyle name="SAPBEXHLevel3 5 2" xfId="13721" xr:uid="{00000000-0005-0000-0000-0000F1620000}"/>
    <cellStyle name="SAPBEXHLevel3 5 2 2" xfId="25534" xr:uid="{00000000-0005-0000-0000-0000F2620000}"/>
    <cellStyle name="SAPBEXHLevel3 6" xfId="13661" xr:uid="{00000000-0005-0000-0000-0000F3620000}"/>
    <cellStyle name="SAPBEXHLevel3 6 2" xfId="25499" xr:uid="{00000000-0005-0000-0000-0000F4620000}"/>
    <cellStyle name="SAPBEXHLevel3 7" xfId="24651" xr:uid="{00000000-0005-0000-0000-0000F5620000}"/>
    <cellStyle name="SAPBEXHLevel3 7 2" xfId="25418" xr:uid="{00000000-0005-0000-0000-0000F6620000}"/>
    <cellStyle name="SAPBEXHLevel3 7 3" xfId="25617" xr:uid="{00000000-0005-0000-0000-0000F7620000}"/>
    <cellStyle name="SAPBEXHLevel3 8" xfId="25122" xr:uid="{00000000-0005-0000-0000-0000F8620000}"/>
    <cellStyle name="SAPBEXHLevel3 8 2" xfId="25388" xr:uid="{00000000-0005-0000-0000-0000F9620000}"/>
    <cellStyle name="SAPBEXHLevel3 8 3" xfId="25720" xr:uid="{00000000-0005-0000-0000-0000FA620000}"/>
    <cellStyle name="SAPBEXHLevel3X" xfId="131" xr:uid="{00000000-0005-0000-0000-0000FB620000}"/>
    <cellStyle name="SAPBEXHLevel3X 2" xfId="132" xr:uid="{00000000-0005-0000-0000-0000FC620000}"/>
    <cellStyle name="SAPBEXHLevel3X 2 2" xfId="13666" xr:uid="{00000000-0005-0000-0000-0000FD620000}"/>
    <cellStyle name="SAPBEXHLevel3X 2 2 2" xfId="25504" xr:uid="{00000000-0005-0000-0000-0000FE620000}"/>
    <cellStyle name="SAPBEXHLevel3X 2 3" xfId="24268" xr:uid="{00000000-0005-0000-0000-0000FF620000}"/>
    <cellStyle name="SAPBEXHLevel3X 2 3 2" xfId="25589" xr:uid="{00000000-0005-0000-0000-000000630000}"/>
    <cellStyle name="SAPBEXHLevel3X 2 4" xfId="24647" xr:uid="{00000000-0005-0000-0000-000001630000}"/>
    <cellStyle name="SAPBEXHLevel3X 2 4 2" xfId="25358" xr:uid="{00000000-0005-0000-0000-000002630000}"/>
    <cellStyle name="SAPBEXHLevel3X 2 4 3" xfId="25613" xr:uid="{00000000-0005-0000-0000-000003630000}"/>
    <cellStyle name="SAPBEXHLevel3X 2 5" xfId="25126" xr:uid="{00000000-0005-0000-0000-000004630000}"/>
    <cellStyle name="SAPBEXHLevel3X 2 5 2" xfId="25327" xr:uid="{00000000-0005-0000-0000-000005630000}"/>
    <cellStyle name="SAPBEXHLevel3X 2 5 3" xfId="25724" xr:uid="{00000000-0005-0000-0000-000006630000}"/>
    <cellStyle name="SAPBEXHLevel3X 3" xfId="133" xr:uid="{00000000-0005-0000-0000-000007630000}"/>
    <cellStyle name="SAPBEXHLevel3X 3 2" xfId="13667" xr:uid="{00000000-0005-0000-0000-000008630000}"/>
    <cellStyle name="SAPBEXHLevel3X 3 2 2" xfId="25505" xr:uid="{00000000-0005-0000-0000-000009630000}"/>
    <cellStyle name="SAPBEXHLevel3X 3 3" xfId="24269" xr:uid="{00000000-0005-0000-0000-00000A630000}"/>
    <cellStyle name="SAPBEXHLevel3X 3 3 2" xfId="25590" xr:uid="{00000000-0005-0000-0000-00000B630000}"/>
    <cellStyle name="SAPBEXHLevel3X 3 4" xfId="24646" xr:uid="{00000000-0005-0000-0000-00000C630000}"/>
    <cellStyle name="SAPBEXHLevel3X 3 4 2" xfId="25442" xr:uid="{00000000-0005-0000-0000-00000D630000}"/>
    <cellStyle name="SAPBEXHLevel3X 3 4 3" xfId="25612" xr:uid="{00000000-0005-0000-0000-00000E630000}"/>
    <cellStyle name="SAPBEXHLevel3X 3 5" xfId="25127" xr:uid="{00000000-0005-0000-0000-00000F630000}"/>
    <cellStyle name="SAPBEXHLevel3X 3 5 2" xfId="25428" xr:uid="{00000000-0005-0000-0000-000010630000}"/>
    <cellStyle name="SAPBEXHLevel3X 3 5 3" xfId="25725" xr:uid="{00000000-0005-0000-0000-000011630000}"/>
    <cellStyle name="SAPBEXHLevel3X 4" xfId="134" xr:uid="{00000000-0005-0000-0000-000012630000}"/>
    <cellStyle name="SAPBEXHLevel3X 4 2" xfId="13668" xr:uid="{00000000-0005-0000-0000-000013630000}"/>
    <cellStyle name="SAPBEXHLevel3X 4 2 2" xfId="25506" xr:uid="{00000000-0005-0000-0000-000014630000}"/>
    <cellStyle name="SAPBEXHLevel3X 5" xfId="257" xr:uid="{00000000-0005-0000-0000-000015630000}"/>
    <cellStyle name="SAPBEXHLevel3X 5 2" xfId="13722" xr:uid="{00000000-0005-0000-0000-000016630000}"/>
    <cellStyle name="SAPBEXHLevel3X 5 2 2" xfId="25535" xr:uid="{00000000-0005-0000-0000-000017630000}"/>
    <cellStyle name="SAPBEXHLevel3X 6" xfId="13665" xr:uid="{00000000-0005-0000-0000-000018630000}"/>
    <cellStyle name="SAPBEXHLevel3X 6 2" xfId="25503" xr:uid="{00000000-0005-0000-0000-000019630000}"/>
    <cellStyle name="SAPBEXHLevel3X 7" xfId="24648" xr:uid="{00000000-0005-0000-0000-00001A630000}"/>
    <cellStyle name="SAPBEXHLevel3X 7 2" xfId="25392" xr:uid="{00000000-0005-0000-0000-00001B630000}"/>
    <cellStyle name="SAPBEXHLevel3X 7 3" xfId="25614" xr:uid="{00000000-0005-0000-0000-00001C630000}"/>
    <cellStyle name="SAPBEXHLevel3X 8" xfId="25125" xr:uid="{00000000-0005-0000-0000-00001D630000}"/>
    <cellStyle name="SAPBEXHLevel3X 8 2" xfId="25414" xr:uid="{00000000-0005-0000-0000-00001E630000}"/>
    <cellStyle name="SAPBEXHLevel3X 8 3" xfId="25723" xr:uid="{00000000-0005-0000-0000-00001F630000}"/>
    <cellStyle name="SAPBEXinputData" xfId="24270" xr:uid="{00000000-0005-0000-0000-000020630000}"/>
    <cellStyle name="SAPBEXinputData 2" xfId="24271" xr:uid="{00000000-0005-0000-0000-000021630000}"/>
    <cellStyle name="SAPBEXinputData 2 2" xfId="24927" xr:uid="{00000000-0005-0000-0000-000022630000}"/>
    <cellStyle name="SAPBEXinputData 3" xfId="24272" xr:uid="{00000000-0005-0000-0000-000023630000}"/>
    <cellStyle name="SAPBEXinputData 3 2" xfId="24924" xr:uid="{00000000-0005-0000-0000-000024630000}"/>
    <cellStyle name="SAPBEXinputData 4" xfId="24771" xr:uid="{00000000-0005-0000-0000-000025630000}"/>
    <cellStyle name="SAPBEXresData" xfId="135" xr:uid="{00000000-0005-0000-0000-000026630000}"/>
    <cellStyle name="SAPBEXresData 2" xfId="13669" xr:uid="{00000000-0005-0000-0000-000027630000}"/>
    <cellStyle name="SAPBEXresData 2 2" xfId="25507" xr:uid="{00000000-0005-0000-0000-000028630000}"/>
    <cellStyle name="SAPBEXresData 3" xfId="24645" xr:uid="{00000000-0005-0000-0000-000029630000}"/>
    <cellStyle name="SAPBEXresData 3 2" xfId="25341" xr:uid="{00000000-0005-0000-0000-00002A630000}"/>
    <cellStyle name="SAPBEXresData 3 3" xfId="25611" xr:uid="{00000000-0005-0000-0000-00002B630000}"/>
    <cellStyle name="SAPBEXresData 4" xfId="25128" xr:uid="{00000000-0005-0000-0000-00002C630000}"/>
    <cellStyle name="SAPBEXresData 4 2" xfId="25344" xr:uid="{00000000-0005-0000-0000-00002D630000}"/>
    <cellStyle name="SAPBEXresData 4 3" xfId="25726" xr:uid="{00000000-0005-0000-0000-00002E630000}"/>
    <cellStyle name="SAPBEXresDataEmph" xfId="136" xr:uid="{00000000-0005-0000-0000-00002F630000}"/>
    <cellStyle name="SAPBEXresDataEmph 2" xfId="13670" xr:uid="{00000000-0005-0000-0000-000030630000}"/>
    <cellStyle name="SAPBEXresDataEmph 2 2" xfId="25508" xr:uid="{00000000-0005-0000-0000-000031630000}"/>
    <cellStyle name="SAPBEXresDataEmph 3" xfId="24644" xr:uid="{00000000-0005-0000-0000-000032630000}"/>
    <cellStyle name="SAPBEXresDataEmph 3 2" xfId="25425" xr:uid="{00000000-0005-0000-0000-000033630000}"/>
    <cellStyle name="SAPBEXresDataEmph 3 3" xfId="25610" xr:uid="{00000000-0005-0000-0000-000034630000}"/>
    <cellStyle name="SAPBEXresDataEmph 4" xfId="25129" xr:uid="{00000000-0005-0000-0000-000035630000}"/>
    <cellStyle name="SAPBEXresDataEmph 4 2" xfId="25445" xr:uid="{00000000-0005-0000-0000-000036630000}"/>
    <cellStyle name="SAPBEXresDataEmph 4 3" xfId="25727" xr:uid="{00000000-0005-0000-0000-000037630000}"/>
    <cellStyle name="SAPBEXresItem" xfId="137" xr:uid="{00000000-0005-0000-0000-000038630000}"/>
    <cellStyle name="SAPBEXresItem 2" xfId="13671" xr:uid="{00000000-0005-0000-0000-000039630000}"/>
    <cellStyle name="SAPBEXresItem 2 2" xfId="25509" xr:uid="{00000000-0005-0000-0000-00003A630000}"/>
    <cellStyle name="SAPBEXresItem 3" xfId="24643" xr:uid="{00000000-0005-0000-0000-00003B630000}"/>
    <cellStyle name="SAPBEXresItem 3 2" xfId="25324" xr:uid="{00000000-0005-0000-0000-00003C630000}"/>
    <cellStyle name="SAPBEXresItem 3 3" xfId="25609" xr:uid="{00000000-0005-0000-0000-00003D630000}"/>
    <cellStyle name="SAPBEXresItem 4" xfId="25130" xr:uid="{00000000-0005-0000-0000-00003E630000}"/>
    <cellStyle name="SAPBEXresItem 4 2" xfId="25359" xr:uid="{00000000-0005-0000-0000-00003F630000}"/>
    <cellStyle name="SAPBEXresItem 4 3" xfId="25728" xr:uid="{00000000-0005-0000-0000-000040630000}"/>
    <cellStyle name="SAPBEXresItemX" xfId="138" xr:uid="{00000000-0005-0000-0000-000041630000}"/>
    <cellStyle name="SAPBEXresItemX 2" xfId="13672" xr:uid="{00000000-0005-0000-0000-000042630000}"/>
    <cellStyle name="SAPBEXresItemX 2 2" xfId="25510" xr:uid="{00000000-0005-0000-0000-000043630000}"/>
    <cellStyle name="SAPBEXresItemX 3" xfId="24642" xr:uid="{00000000-0005-0000-0000-000044630000}"/>
    <cellStyle name="SAPBEXresItemX 3 2" xfId="25411" xr:uid="{00000000-0005-0000-0000-000045630000}"/>
    <cellStyle name="SAPBEXresItemX 3 3" xfId="25608" xr:uid="{00000000-0005-0000-0000-000046630000}"/>
    <cellStyle name="SAPBEXresItemX 4" xfId="25131" xr:uid="{00000000-0005-0000-0000-000047630000}"/>
    <cellStyle name="SAPBEXresItemX 4 2" xfId="25296" xr:uid="{00000000-0005-0000-0000-000048630000}"/>
    <cellStyle name="SAPBEXresItemX 4 3" xfId="25729" xr:uid="{00000000-0005-0000-0000-000049630000}"/>
    <cellStyle name="SAPBEXstdData" xfId="139" xr:uid="{00000000-0005-0000-0000-00004A630000}"/>
    <cellStyle name="SAPBEXstdData 10" xfId="24641" xr:uid="{00000000-0005-0000-0000-00004B630000}"/>
    <cellStyle name="SAPBEXstdData 10 2" xfId="25309" xr:uid="{00000000-0005-0000-0000-00004C630000}"/>
    <cellStyle name="SAPBEXstdData 10 3" xfId="25607" xr:uid="{00000000-0005-0000-0000-00004D630000}"/>
    <cellStyle name="SAPBEXstdData 11" xfId="25132" xr:uid="{00000000-0005-0000-0000-00004E630000}"/>
    <cellStyle name="SAPBEXstdData 11 2" xfId="25282" xr:uid="{00000000-0005-0000-0000-00004F630000}"/>
    <cellStyle name="SAPBEXstdData 11 3" xfId="25730" xr:uid="{00000000-0005-0000-0000-000050630000}"/>
    <cellStyle name="SAPBEXstdData 2" xfId="140" xr:uid="{00000000-0005-0000-0000-000051630000}"/>
    <cellStyle name="SAPBEXstdData 2 2" xfId="13674" xr:uid="{00000000-0005-0000-0000-000052630000}"/>
    <cellStyle name="SAPBEXstdData 2 2 2" xfId="25512" xr:uid="{00000000-0005-0000-0000-000053630000}"/>
    <cellStyle name="SAPBEXstdData 3" xfId="258" xr:uid="{00000000-0005-0000-0000-000054630000}"/>
    <cellStyle name="SAPBEXstdData 3 2" xfId="13723" xr:uid="{00000000-0005-0000-0000-000055630000}"/>
    <cellStyle name="SAPBEXstdData 3 2 2" xfId="25536" xr:uid="{00000000-0005-0000-0000-000056630000}"/>
    <cellStyle name="SAPBEXstdData 4" xfId="259" xr:uid="{00000000-0005-0000-0000-000057630000}"/>
    <cellStyle name="SAPBEXstdData 4 2" xfId="13724" xr:uid="{00000000-0005-0000-0000-000058630000}"/>
    <cellStyle name="SAPBEXstdData 4 2 2" xfId="25537" xr:uid="{00000000-0005-0000-0000-000059630000}"/>
    <cellStyle name="SAPBEXstdData 5" xfId="260" xr:uid="{00000000-0005-0000-0000-00005A630000}"/>
    <cellStyle name="SAPBEXstdData 5 2" xfId="13725" xr:uid="{00000000-0005-0000-0000-00005B630000}"/>
    <cellStyle name="SAPBEXstdData 5 2 2" xfId="25538" xr:uid="{00000000-0005-0000-0000-00005C630000}"/>
    <cellStyle name="SAPBEXstdData 6" xfId="261" xr:uid="{00000000-0005-0000-0000-00005D630000}"/>
    <cellStyle name="SAPBEXstdData 6 2" xfId="13726" xr:uid="{00000000-0005-0000-0000-00005E630000}"/>
    <cellStyle name="SAPBEXstdData 6 2 2" xfId="25539" xr:uid="{00000000-0005-0000-0000-00005F630000}"/>
    <cellStyle name="SAPBEXstdData 7" xfId="262" xr:uid="{00000000-0005-0000-0000-000060630000}"/>
    <cellStyle name="SAPBEXstdData 8" xfId="415" xr:uid="{00000000-0005-0000-0000-000061630000}"/>
    <cellStyle name="SAPBEXstdData 8 2" xfId="13794" xr:uid="{00000000-0005-0000-0000-000062630000}"/>
    <cellStyle name="SAPBEXstdData 8 2 2" xfId="25552" xr:uid="{00000000-0005-0000-0000-000063630000}"/>
    <cellStyle name="SAPBEXstdData 9" xfId="13673" xr:uid="{00000000-0005-0000-0000-000064630000}"/>
    <cellStyle name="SAPBEXstdData 9 2" xfId="25511" xr:uid="{00000000-0005-0000-0000-000065630000}"/>
    <cellStyle name="SAPBEXstdData_Copy of xSAPtemp5457" xfId="263" xr:uid="{00000000-0005-0000-0000-000066630000}"/>
    <cellStyle name="SAPBEXstdDataEmph" xfId="141" xr:uid="{00000000-0005-0000-0000-000067630000}"/>
    <cellStyle name="SAPBEXstdDataEmph 2" xfId="13675" xr:uid="{00000000-0005-0000-0000-000068630000}"/>
    <cellStyle name="SAPBEXstdDataEmph 2 2" xfId="25513" xr:uid="{00000000-0005-0000-0000-000069630000}"/>
    <cellStyle name="SAPBEXstdDataEmph 3" xfId="24640" xr:uid="{00000000-0005-0000-0000-00006A630000}"/>
    <cellStyle name="SAPBEXstdDataEmph 3 2" xfId="25401" xr:uid="{00000000-0005-0000-0000-00006B630000}"/>
    <cellStyle name="SAPBEXstdDataEmph 3 3" xfId="25606" xr:uid="{00000000-0005-0000-0000-00006C630000}"/>
    <cellStyle name="SAPBEXstdDataEmph 4" xfId="25133" xr:uid="{00000000-0005-0000-0000-00006D630000}"/>
    <cellStyle name="SAPBEXstdDataEmph 4 2" xfId="25365" xr:uid="{00000000-0005-0000-0000-00006E630000}"/>
    <cellStyle name="SAPBEXstdDataEmph 4 3" xfId="25731" xr:uid="{00000000-0005-0000-0000-00006F630000}"/>
    <cellStyle name="SAPBEXstdItem" xfId="142" xr:uid="{00000000-0005-0000-0000-000070630000}"/>
    <cellStyle name="SAPBEXstdItem 10" xfId="13676" xr:uid="{00000000-0005-0000-0000-000071630000}"/>
    <cellStyle name="SAPBEXstdItem 10 2" xfId="25514" xr:uid="{00000000-0005-0000-0000-000072630000}"/>
    <cellStyle name="SAPBEXstdItem 11" xfId="24639" xr:uid="{00000000-0005-0000-0000-000073630000}"/>
    <cellStyle name="SAPBEXstdItem 11 2" xfId="25385" xr:uid="{00000000-0005-0000-0000-000074630000}"/>
    <cellStyle name="SAPBEXstdItem 11 3" xfId="25605" xr:uid="{00000000-0005-0000-0000-000075630000}"/>
    <cellStyle name="SAPBEXstdItem 12" xfId="25134" xr:uid="{00000000-0005-0000-0000-000076630000}"/>
    <cellStyle name="SAPBEXstdItem 12 2" xfId="25379" xr:uid="{00000000-0005-0000-0000-000077630000}"/>
    <cellStyle name="SAPBEXstdItem 12 3" xfId="25732" xr:uid="{00000000-0005-0000-0000-000078630000}"/>
    <cellStyle name="SAPBEXstdItem 2" xfId="143" xr:uid="{00000000-0005-0000-0000-000079630000}"/>
    <cellStyle name="SAPBEXstdItem 2 2" xfId="13677" xr:uid="{00000000-0005-0000-0000-00007A630000}"/>
    <cellStyle name="SAPBEXstdItem 2 2 2" xfId="25515" xr:uid="{00000000-0005-0000-0000-00007B630000}"/>
    <cellStyle name="SAPBEXstdItem 3" xfId="264" xr:uid="{00000000-0005-0000-0000-00007C630000}"/>
    <cellStyle name="SAPBEXstdItem 3 2" xfId="13727" xr:uid="{00000000-0005-0000-0000-00007D630000}"/>
    <cellStyle name="SAPBEXstdItem 3 2 2" xfId="25540" xr:uid="{00000000-0005-0000-0000-00007E630000}"/>
    <cellStyle name="SAPBEXstdItem 4" xfId="265" xr:uid="{00000000-0005-0000-0000-00007F630000}"/>
    <cellStyle name="SAPBEXstdItem 4 2" xfId="13728" xr:uid="{00000000-0005-0000-0000-000080630000}"/>
    <cellStyle name="SAPBEXstdItem 4 2 2" xfId="25541" xr:uid="{00000000-0005-0000-0000-000081630000}"/>
    <cellStyle name="SAPBEXstdItem 5" xfId="266" xr:uid="{00000000-0005-0000-0000-000082630000}"/>
    <cellStyle name="SAPBEXstdItem 5 2" xfId="13729" xr:uid="{00000000-0005-0000-0000-000083630000}"/>
    <cellStyle name="SAPBEXstdItem 5 2 2" xfId="25542" xr:uid="{00000000-0005-0000-0000-000084630000}"/>
    <cellStyle name="SAPBEXstdItem 6" xfId="267" xr:uid="{00000000-0005-0000-0000-000085630000}"/>
    <cellStyle name="SAPBEXstdItem 6 2" xfId="13730" xr:uid="{00000000-0005-0000-0000-000086630000}"/>
    <cellStyle name="SAPBEXstdItem 6 2 2" xfId="25543" xr:uid="{00000000-0005-0000-0000-000087630000}"/>
    <cellStyle name="SAPBEXstdItem 7" xfId="268" xr:uid="{00000000-0005-0000-0000-000088630000}"/>
    <cellStyle name="SAPBEXstdItem 7 2" xfId="13731" xr:uid="{00000000-0005-0000-0000-000089630000}"/>
    <cellStyle name="SAPBEXstdItem 7 2 2" xfId="25544" xr:uid="{00000000-0005-0000-0000-00008A630000}"/>
    <cellStyle name="SAPBEXstdItem 8" xfId="416" xr:uid="{00000000-0005-0000-0000-00008B630000}"/>
    <cellStyle name="SAPBEXstdItem 8 2" xfId="13795" xr:uid="{00000000-0005-0000-0000-00008C630000}"/>
    <cellStyle name="SAPBEXstdItem 8 2 2" xfId="25553" xr:uid="{00000000-0005-0000-0000-00008D630000}"/>
    <cellStyle name="SAPBEXstdItem 9" xfId="390" xr:uid="{00000000-0005-0000-0000-00008E630000}"/>
    <cellStyle name="SAPBEXstdItem 9 2" xfId="13785" xr:uid="{00000000-0005-0000-0000-00008F630000}"/>
    <cellStyle name="SAPBEXstdItem 9 2 2" xfId="25550" xr:uid="{00000000-0005-0000-0000-000090630000}"/>
    <cellStyle name="SAPBEXstdItem_Copy of xSAPtemp5457" xfId="269" xr:uid="{00000000-0005-0000-0000-000091630000}"/>
    <cellStyle name="SAPBEXstdItemX" xfId="144" xr:uid="{00000000-0005-0000-0000-000092630000}"/>
    <cellStyle name="SAPBEXstdItemX 10" xfId="24638" xr:uid="{00000000-0005-0000-0000-000093630000}"/>
    <cellStyle name="SAPBEXstdItemX 10 2" xfId="25372" xr:uid="{00000000-0005-0000-0000-000094630000}"/>
    <cellStyle name="SAPBEXstdItemX 10 3" xfId="25604" xr:uid="{00000000-0005-0000-0000-000095630000}"/>
    <cellStyle name="SAPBEXstdItemX 11" xfId="25135" xr:uid="{00000000-0005-0000-0000-000096630000}"/>
    <cellStyle name="SAPBEXstdItemX 11 2" xfId="25393" xr:uid="{00000000-0005-0000-0000-000097630000}"/>
    <cellStyle name="SAPBEXstdItemX 11 3" xfId="25733" xr:uid="{00000000-0005-0000-0000-000098630000}"/>
    <cellStyle name="SAPBEXstdItemX 2" xfId="145" xr:uid="{00000000-0005-0000-0000-000099630000}"/>
    <cellStyle name="SAPBEXstdItemX 2 2" xfId="13679" xr:uid="{00000000-0005-0000-0000-00009A630000}"/>
    <cellStyle name="SAPBEXstdItemX 2 2 2" xfId="25517" xr:uid="{00000000-0005-0000-0000-00009B630000}"/>
    <cellStyle name="SAPBEXstdItemX 3" xfId="270" xr:uid="{00000000-0005-0000-0000-00009C630000}"/>
    <cellStyle name="SAPBEXstdItemX 3 2" xfId="13732" xr:uid="{00000000-0005-0000-0000-00009D630000}"/>
    <cellStyle name="SAPBEXstdItemX 3 2 2" xfId="25545" xr:uid="{00000000-0005-0000-0000-00009E630000}"/>
    <cellStyle name="SAPBEXstdItemX 4" xfId="271" xr:uid="{00000000-0005-0000-0000-00009F630000}"/>
    <cellStyle name="SAPBEXstdItemX 4 2" xfId="13733" xr:uid="{00000000-0005-0000-0000-0000A0630000}"/>
    <cellStyle name="SAPBEXstdItemX 4 2 2" xfId="25546" xr:uid="{00000000-0005-0000-0000-0000A1630000}"/>
    <cellStyle name="SAPBEXstdItemX 5" xfId="272" xr:uid="{00000000-0005-0000-0000-0000A2630000}"/>
    <cellStyle name="SAPBEXstdItemX 5 2" xfId="13734" xr:uid="{00000000-0005-0000-0000-0000A3630000}"/>
    <cellStyle name="SAPBEXstdItemX 5 2 2" xfId="25547" xr:uid="{00000000-0005-0000-0000-0000A4630000}"/>
    <cellStyle name="SAPBEXstdItemX 6" xfId="273" xr:uid="{00000000-0005-0000-0000-0000A5630000}"/>
    <cellStyle name="SAPBEXstdItemX 6 2" xfId="13735" xr:uid="{00000000-0005-0000-0000-0000A6630000}"/>
    <cellStyle name="SAPBEXstdItemX 6 2 2" xfId="25548" xr:uid="{00000000-0005-0000-0000-0000A7630000}"/>
    <cellStyle name="SAPBEXstdItemX 7" xfId="274" xr:uid="{00000000-0005-0000-0000-0000A8630000}"/>
    <cellStyle name="SAPBEXstdItemX 7 2" xfId="13736" xr:uid="{00000000-0005-0000-0000-0000A9630000}"/>
    <cellStyle name="SAPBEXstdItemX 7 2 2" xfId="25549" xr:uid="{00000000-0005-0000-0000-0000AA630000}"/>
    <cellStyle name="SAPBEXstdItemX 8" xfId="417" xr:uid="{00000000-0005-0000-0000-0000AB630000}"/>
    <cellStyle name="SAPBEXstdItemX 8 2" xfId="13796" xr:uid="{00000000-0005-0000-0000-0000AC630000}"/>
    <cellStyle name="SAPBEXstdItemX 8 2 2" xfId="25554" xr:uid="{00000000-0005-0000-0000-0000AD630000}"/>
    <cellStyle name="SAPBEXstdItemX 9" xfId="13678" xr:uid="{00000000-0005-0000-0000-0000AE630000}"/>
    <cellStyle name="SAPBEXstdItemX 9 2" xfId="25516" xr:uid="{00000000-0005-0000-0000-0000AF630000}"/>
    <cellStyle name="SAPBEXstdItemX_Copy of xSAPtemp5457" xfId="275" xr:uid="{00000000-0005-0000-0000-0000B0630000}"/>
    <cellStyle name="SAPBEXtitle" xfId="7" xr:uid="{00000000-0005-0000-0000-0000B1630000}"/>
    <cellStyle name="SAPBEXtitle 2" xfId="146" xr:uid="{00000000-0005-0000-0000-0000B2630000}"/>
    <cellStyle name="SAPBEXtitle 3" xfId="147" xr:uid="{00000000-0005-0000-0000-0000B3630000}"/>
    <cellStyle name="SAPBEXtitle 4" xfId="148" xr:uid="{00000000-0005-0000-0000-0000B4630000}"/>
    <cellStyle name="SAPBEXtitle 5" xfId="276" xr:uid="{00000000-0005-0000-0000-0000B5630000}"/>
    <cellStyle name="SAPBEXtitle 6" xfId="277" xr:uid="{00000000-0005-0000-0000-0000B6630000}"/>
    <cellStyle name="SAPBEXtitle 7" xfId="278" xr:uid="{00000000-0005-0000-0000-0000B7630000}"/>
    <cellStyle name="SAPBEXtitle 8" xfId="279" xr:uid="{00000000-0005-0000-0000-0000B8630000}"/>
    <cellStyle name="SAPBEXtitle_Copy of xSAPtemp5457" xfId="280" xr:uid="{00000000-0005-0000-0000-0000B9630000}"/>
    <cellStyle name="SAPBEXundefined" xfId="149" xr:uid="{00000000-0005-0000-0000-0000BA630000}"/>
    <cellStyle name="SAPBEXundefined 2" xfId="13680" xr:uid="{00000000-0005-0000-0000-0000BB630000}"/>
    <cellStyle name="SAPBEXundefined 2 2" xfId="25518" xr:uid="{00000000-0005-0000-0000-0000BC630000}"/>
    <cellStyle name="SAPBEXundefined 3" xfId="24637" xr:uid="{00000000-0005-0000-0000-0000BD630000}"/>
    <cellStyle name="SAPBEXundefined 3 2" xfId="25290" xr:uid="{00000000-0005-0000-0000-0000BE630000}"/>
    <cellStyle name="SAPBEXundefined 3 3" xfId="25603" xr:uid="{00000000-0005-0000-0000-0000BF630000}"/>
    <cellStyle name="SAPBEXundefined 4" xfId="25136" xr:uid="{00000000-0005-0000-0000-0000C0630000}"/>
    <cellStyle name="SAPBEXundefined 4 2" xfId="25302" xr:uid="{00000000-0005-0000-0000-0000C1630000}"/>
    <cellStyle name="SAPBEXundefined 4 3" xfId="25734" xr:uid="{00000000-0005-0000-0000-0000C2630000}"/>
    <cellStyle name="Shade" xfId="150" xr:uid="{00000000-0005-0000-0000-0000C3630000}"/>
    <cellStyle name="Shaded" xfId="615" xr:uid="{00000000-0005-0000-0000-0000C4630000}"/>
    <cellStyle name="Sheet Title" xfId="24273" xr:uid="{00000000-0005-0000-0000-0000C5630000}"/>
    <cellStyle name="Special" xfId="151" xr:uid="{00000000-0005-0000-0000-0000C6630000}"/>
    <cellStyle name="Style 1" xfId="152" xr:uid="{00000000-0005-0000-0000-0000C7630000}"/>
    <cellStyle name="Style 1 2" xfId="24274" xr:uid="{00000000-0005-0000-0000-0000C8630000}"/>
    <cellStyle name="Style 1 3" xfId="23908" xr:uid="{00000000-0005-0000-0000-0000C9630000}"/>
    <cellStyle name="Style 27" xfId="153" xr:uid="{00000000-0005-0000-0000-0000CA630000}"/>
    <cellStyle name="Style 35" xfId="154" xr:uid="{00000000-0005-0000-0000-0000CB630000}"/>
    <cellStyle name="Style 36" xfId="155" xr:uid="{00000000-0005-0000-0000-0000CC630000}"/>
    <cellStyle name="Summary" xfId="616" xr:uid="{00000000-0005-0000-0000-0000CD630000}"/>
    <cellStyle name="System" xfId="617" xr:uid="{00000000-0005-0000-0000-0000CE630000}"/>
    <cellStyle name="Table Col Head" xfId="618" xr:uid="{00000000-0005-0000-0000-0000CF630000}"/>
    <cellStyle name="Table Sub Head" xfId="619" xr:uid="{00000000-0005-0000-0000-0000D0630000}"/>
    <cellStyle name="Table Title" xfId="620" xr:uid="{00000000-0005-0000-0000-0000D1630000}"/>
    <cellStyle name="Table Units" xfId="621" xr:uid="{00000000-0005-0000-0000-0000D2630000}"/>
    <cellStyle name="TableBase" xfId="622" xr:uid="{00000000-0005-0000-0000-0000D3630000}"/>
    <cellStyle name="TableBase 2" xfId="24528" xr:uid="{00000000-0005-0000-0000-0000D4630000}"/>
    <cellStyle name="TableBase 2 2" xfId="25352" xr:uid="{00000000-0005-0000-0000-0000D5630000}"/>
    <cellStyle name="TableBase 2 3" xfId="25598" xr:uid="{00000000-0005-0000-0000-0000D6630000}"/>
    <cellStyle name="TableBase 3" xfId="24688" xr:uid="{00000000-0005-0000-0000-0000D7630000}"/>
    <cellStyle name="TableBase 3 2" xfId="25440" xr:uid="{00000000-0005-0000-0000-0000D8630000}"/>
    <cellStyle name="TableBase 3 3" xfId="25650" xr:uid="{00000000-0005-0000-0000-0000D9630000}"/>
    <cellStyle name="TableHead" xfId="623" xr:uid="{00000000-0005-0000-0000-0000DA630000}"/>
    <cellStyle name="Text" xfId="624" xr:uid="{00000000-0005-0000-0000-0000DB630000}"/>
    <cellStyle name="Time" xfId="625" xr:uid="{00000000-0005-0000-0000-0000DC630000}"/>
    <cellStyle name="Time 2" xfId="24275" xr:uid="{00000000-0005-0000-0000-0000DD630000}"/>
    <cellStyle name="Title - Underline" xfId="626" xr:uid="{00000000-0005-0000-0000-0000DE630000}"/>
    <cellStyle name="Title 2" xfId="24276" xr:uid="{00000000-0005-0000-0000-0000DF630000}"/>
    <cellStyle name="Titles" xfId="156" xr:uid="{00000000-0005-0000-0000-0000E0630000}"/>
    <cellStyle name="Titles - Other" xfId="627" xr:uid="{00000000-0005-0000-0000-0000E1630000}"/>
    <cellStyle name="Titles - Other 2" xfId="24277" xr:uid="{00000000-0005-0000-0000-0000E2630000}"/>
    <cellStyle name="Titles 2" xfId="24929" xr:uid="{00000000-0005-0000-0000-0000E3630000}"/>
    <cellStyle name="Titles 3" xfId="25137" xr:uid="{00000000-0005-0000-0000-0000E4630000}"/>
    <cellStyle name="Total 10" xfId="3476" xr:uid="{00000000-0005-0000-0000-0000E5630000}"/>
    <cellStyle name="Total 11" xfId="3477" xr:uid="{00000000-0005-0000-0000-0000E6630000}"/>
    <cellStyle name="Total 12" xfId="3478" xr:uid="{00000000-0005-0000-0000-0000E7630000}"/>
    <cellStyle name="Total 13" xfId="3479" xr:uid="{00000000-0005-0000-0000-0000E8630000}"/>
    <cellStyle name="Total 14" xfId="3480" xr:uid="{00000000-0005-0000-0000-0000E9630000}"/>
    <cellStyle name="Total 15" xfId="3481" xr:uid="{00000000-0005-0000-0000-0000EA630000}"/>
    <cellStyle name="Total 16" xfId="3482" xr:uid="{00000000-0005-0000-0000-0000EB630000}"/>
    <cellStyle name="Total 17" xfId="3483" xr:uid="{00000000-0005-0000-0000-0000EC630000}"/>
    <cellStyle name="Total 18" xfId="3484" xr:uid="{00000000-0005-0000-0000-0000ED630000}"/>
    <cellStyle name="Total 19" xfId="3485" xr:uid="{00000000-0005-0000-0000-0000EE630000}"/>
    <cellStyle name="Total 2" xfId="157" xr:uid="{00000000-0005-0000-0000-0000EF630000}"/>
    <cellStyle name="Total 2 2" xfId="3486" xr:uid="{00000000-0005-0000-0000-0000F0630000}"/>
    <cellStyle name="Total 2 2 2" xfId="24279" xr:uid="{00000000-0005-0000-0000-0000F1630000}"/>
    <cellStyle name="Total 2 2 2 2" xfId="25412" xr:uid="{00000000-0005-0000-0000-0000F2630000}"/>
    <cellStyle name="Total 2 2 2 3" xfId="25592" xr:uid="{00000000-0005-0000-0000-0000F3630000}"/>
    <cellStyle name="Total 2 2 3" xfId="24633" xr:uid="{00000000-0005-0000-0000-0000F4630000}"/>
    <cellStyle name="Total 2 2 3 2" xfId="25351" xr:uid="{00000000-0005-0000-0000-0000F5630000}"/>
    <cellStyle name="Total 2 2 3 3" xfId="25601" xr:uid="{00000000-0005-0000-0000-0000F6630000}"/>
    <cellStyle name="Total 2 2 4" xfId="25139" xr:uid="{00000000-0005-0000-0000-0000F7630000}"/>
    <cellStyle name="Total 2 2 4 2" xfId="25422" xr:uid="{00000000-0005-0000-0000-0000F8630000}"/>
    <cellStyle name="Total 2 2 4 3" xfId="25736" xr:uid="{00000000-0005-0000-0000-0000F9630000}"/>
    <cellStyle name="Total 2 3" xfId="13681" xr:uid="{00000000-0005-0000-0000-0000FA630000}"/>
    <cellStyle name="Total 2 4" xfId="24278" xr:uid="{00000000-0005-0000-0000-0000FB630000}"/>
    <cellStyle name="Total 2 4 2" xfId="25310" xr:uid="{00000000-0005-0000-0000-0000FC630000}"/>
    <cellStyle name="Total 2 4 3" xfId="25591" xr:uid="{00000000-0005-0000-0000-0000FD630000}"/>
    <cellStyle name="Total 2 5" xfId="24634" xr:uid="{00000000-0005-0000-0000-0000FE630000}"/>
    <cellStyle name="Total 2 5 2" xfId="25452" xr:uid="{00000000-0005-0000-0000-0000FF630000}"/>
    <cellStyle name="Total 2 5 3" xfId="25602" xr:uid="{00000000-0005-0000-0000-000000640000}"/>
    <cellStyle name="Total 2 6" xfId="25138" xr:uid="{00000000-0005-0000-0000-000001640000}"/>
    <cellStyle name="Total 2 6 2" xfId="25318" xr:uid="{00000000-0005-0000-0000-000002640000}"/>
    <cellStyle name="Total 2 6 3" xfId="25735" xr:uid="{00000000-0005-0000-0000-000003640000}"/>
    <cellStyle name="Total 20" xfId="3487" xr:uid="{00000000-0005-0000-0000-000004640000}"/>
    <cellStyle name="Total 21" xfId="3488" xr:uid="{00000000-0005-0000-0000-000005640000}"/>
    <cellStyle name="Total 22" xfId="3489" xr:uid="{00000000-0005-0000-0000-000006640000}"/>
    <cellStyle name="Total 23" xfId="3490" xr:uid="{00000000-0005-0000-0000-000007640000}"/>
    <cellStyle name="Total 24" xfId="3491" xr:uid="{00000000-0005-0000-0000-000008640000}"/>
    <cellStyle name="Total 25" xfId="3492" xr:uid="{00000000-0005-0000-0000-000009640000}"/>
    <cellStyle name="Total 26" xfId="3493" xr:uid="{00000000-0005-0000-0000-00000A640000}"/>
    <cellStyle name="Total 27" xfId="3494" xr:uid="{00000000-0005-0000-0000-00000B640000}"/>
    <cellStyle name="Total 28" xfId="3495" xr:uid="{00000000-0005-0000-0000-00000C640000}"/>
    <cellStyle name="Total 29" xfId="3496" xr:uid="{00000000-0005-0000-0000-00000D640000}"/>
    <cellStyle name="Total 3" xfId="3497" xr:uid="{00000000-0005-0000-0000-00000E640000}"/>
    <cellStyle name="Total 3 2" xfId="24281" xr:uid="{00000000-0005-0000-0000-00000F640000}"/>
    <cellStyle name="Total 3 2 2" xfId="24631" xr:uid="{00000000-0005-0000-0000-000010640000}"/>
    <cellStyle name="Total 3 2 2 2" xfId="25334" xr:uid="{00000000-0005-0000-0000-000011640000}"/>
    <cellStyle name="Total 3 2 2 3" xfId="25599" xr:uid="{00000000-0005-0000-0000-000012640000}"/>
    <cellStyle name="Total 3 2 3" xfId="25141" xr:uid="{00000000-0005-0000-0000-000013640000}"/>
    <cellStyle name="Total 3 2 3 2" xfId="25436" xr:uid="{00000000-0005-0000-0000-000014640000}"/>
    <cellStyle name="Total 3 2 3 3" xfId="25738" xr:uid="{00000000-0005-0000-0000-000015640000}"/>
    <cellStyle name="Total 3 2 4" xfId="25426" xr:uid="{00000000-0005-0000-0000-000016640000}"/>
    <cellStyle name="Total 3 2 5" xfId="25594" xr:uid="{00000000-0005-0000-0000-000017640000}"/>
    <cellStyle name="Total 3 3" xfId="24280" xr:uid="{00000000-0005-0000-0000-000018640000}"/>
    <cellStyle name="Total 3 3 2" xfId="25325" xr:uid="{00000000-0005-0000-0000-000019640000}"/>
    <cellStyle name="Total 3 3 3" xfId="25593" xr:uid="{00000000-0005-0000-0000-00001A640000}"/>
    <cellStyle name="Total 3 4" xfId="24632" xr:uid="{00000000-0005-0000-0000-00001B640000}"/>
    <cellStyle name="Total 3 4 2" xfId="25435" xr:uid="{00000000-0005-0000-0000-00001C640000}"/>
    <cellStyle name="Total 3 4 3" xfId="25600" xr:uid="{00000000-0005-0000-0000-00001D640000}"/>
    <cellStyle name="Total 3 5" xfId="25140" xr:uid="{00000000-0005-0000-0000-00001E640000}"/>
    <cellStyle name="Total 3 5 2" xfId="25339" xr:uid="{00000000-0005-0000-0000-00001F640000}"/>
    <cellStyle name="Total 3 5 3" xfId="25737" xr:uid="{00000000-0005-0000-0000-000020640000}"/>
    <cellStyle name="Total 30" xfId="3498" xr:uid="{00000000-0005-0000-0000-000021640000}"/>
    <cellStyle name="Total 31" xfId="3499" xr:uid="{00000000-0005-0000-0000-000022640000}"/>
    <cellStyle name="Total 32" xfId="3500" xr:uid="{00000000-0005-0000-0000-000023640000}"/>
    <cellStyle name="Total 33" xfId="3501" xr:uid="{00000000-0005-0000-0000-000024640000}"/>
    <cellStyle name="Total 34" xfId="3502" xr:uid="{00000000-0005-0000-0000-000025640000}"/>
    <cellStyle name="Total 35" xfId="3503" xr:uid="{00000000-0005-0000-0000-000026640000}"/>
    <cellStyle name="Total 36" xfId="3504" xr:uid="{00000000-0005-0000-0000-000027640000}"/>
    <cellStyle name="Total 37" xfId="3505" xr:uid="{00000000-0005-0000-0000-000028640000}"/>
    <cellStyle name="Total 38" xfId="3506" xr:uid="{00000000-0005-0000-0000-000029640000}"/>
    <cellStyle name="Total 39" xfId="3507" xr:uid="{00000000-0005-0000-0000-00002A640000}"/>
    <cellStyle name="Total 4" xfId="3508" xr:uid="{00000000-0005-0000-0000-00002B640000}"/>
    <cellStyle name="Total 4 2" xfId="24282" xr:uid="{00000000-0005-0000-0000-00002C640000}"/>
    <cellStyle name="Total 4 2 2" xfId="25342" xr:uid="{00000000-0005-0000-0000-00002D640000}"/>
    <cellStyle name="Total 4 2 3" xfId="25595" xr:uid="{00000000-0005-0000-0000-00002E640000}"/>
    <cellStyle name="Total 4 3" xfId="24919" xr:uid="{00000000-0005-0000-0000-00002F640000}"/>
    <cellStyle name="Total 4 3 2" xfId="25398" xr:uid="{00000000-0005-0000-0000-000030640000}"/>
    <cellStyle name="Total 4 3 3" xfId="25666" xr:uid="{00000000-0005-0000-0000-000031640000}"/>
    <cellStyle name="Total 4 4" xfId="25142" xr:uid="{00000000-0005-0000-0000-000032640000}"/>
    <cellStyle name="Total 4 4 2" xfId="25353" xr:uid="{00000000-0005-0000-0000-000033640000}"/>
    <cellStyle name="Total 4 4 3" xfId="25739" xr:uid="{00000000-0005-0000-0000-000034640000}"/>
    <cellStyle name="Total 40" xfId="3509" xr:uid="{00000000-0005-0000-0000-000035640000}"/>
    <cellStyle name="Total 41" xfId="3510" xr:uid="{00000000-0005-0000-0000-000036640000}"/>
    <cellStyle name="Total 42" xfId="3511" xr:uid="{00000000-0005-0000-0000-000037640000}"/>
    <cellStyle name="Total 43" xfId="3512" xr:uid="{00000000-0005-0000-0000-000038640000}"/>
    <cellStyle name="Total 44" xfId="3513" xr:uid="{00000000-0005-0000-0000-000039640000}"/>
    <cellStyle name="Total 45" xfId="3514" xr:uid="{00000000-0005-0000-0000-00003A640000}"/>
    <cellStyle name="Total 46" xfId="3515" xr:uid="{00000000-0005-0000-0000-00003B640000}"/>
    <cellStyle name="Total 47" xfId="3516" xr:uid="{00000000-0005-0000-0000-00003C640000}"/>
    <cellStyle name="Total 48" xfId="3517" xr:uid="{00000000-0005-0000-0000-00003D640000}"/>
    <cellStyle name="Total 49" xfId="3518" xr:uid="{00000000-0005-0000-0000-00003E640000}"/>
    <cellStyle name="Total 5" xfId="3519" xr:uid="{00000000-0005-0000-0000-00003F640000}"/>
    <cellStyle name="Total 5 2" xfId="24283" xr:uid="{00000000-0005-0000-0000-000040640000}"/>
    <cellStyle name="Total 5 2 2" xfId="25443" xr:uid="{00000000-0005-0000-0000-000041640000}"/>
    <cellStyle name="Total 5 2 3" xfId="25596" xr:uid="{00000000-0005-0000-0000-000042640000}"/>
    <cellStyle name="Total 5 3" xfId="24920" xr:uid="{00000000-0005-0000-0000-000043640000}"/>
    <cellStyle name="Total 5 3 2" xfId="25306" xr:uid="{00000000-0005-0000-0000-000044640000}"/>
    <cellStyle name="Total 5 3 3" xfId="25667" xr:uid="{00000000-0005-0000-0000-000045640000}"/>
    <cellStyle name="Total 5 4" xfId="25143" xr:uid="{00000000-0005-0000-0000-000046640000}"/>
    <cellStyle name="Total 5 4 2" xfId="25387" xr:uid="{00000000-0005-0000-0000-000047640000}"/>
    <cellStyle name="Total 5 4 3" xfId="25740" xr:uid="{00000000-0005-0000-0000-000048640000}"/>
    <cellStyle name="Total 50" xfId="3520" xr:uid="{00000000-0005-0000-0000-000049640000}"/>
    <cellStyle name="Total 51" xfId="3521" xr:uid="{00000000-0005-0000-0000-00004A640000}"/>
    <cellStyle name="Total 52" xfId="3522" xr:uid="{00000000-0005-0000-0000-00004B640000}"/>
    <cellStyle name="Total 53" xfId="3523" xr:uid="{00000000-0005-0000-0000-00004C640000}"/>
    <cellStyle name="Total 54" xfId="3524" xr:uid="{00000000-0005-0000-0000-00004D640000}"/>
    <cellStyle name="Total 55" xfId="3525" xr:uid="{00000000-0005-0000-0000-00004E640000}"/>
    <cellStyle name="Total 56" xfId="3526" xr:uid="{00000000-0005-0000-0000-00004F640000}"/>
    <cellStyle name="Total 57" xfId="3527" xr:uid="{00000000-0005-0000-0000-000050640000}"/>
    <cellStyle name="Total 58" xfId="3528" xr:uid="{00000000-0005-0000-0000-000051640000}"/>
    <cellStyle name="Total 59" xfId="3529" xr:uid="{00000000-0005-0000-0000-000052640000}"/>
    <cellStyle name="Total 6" xfId="3530" xr:uid="{00000000-0005-0000-0000-000053640000}"/>
    <cellStyle name="Total 60" xfId="3531" xr:uid="{00000000-0005-0000-0000-000054640000}"/>
    <cellStyle name="Total 61" xfId="3532" xr:uid="{00000000-0005-0000-0000-000055640000}"/>
    <cellStyle name="Total 62" xfId="3533" xr:uid="{00000000-0005-0000-0000-000056640000}"/>
    <cellStyle name="Total 63" xfId="3534" xr:uid="{00000000-0005-0000-0000-000057640000}"/>
    <cellStyle name="Total 64" xfId="3535" xr:uid="{00000000-0005-0000-0000-000058640000}"/>
    <cellStyle name="Total 65" xfId="3536" xr:uid="{00000000-0005-0000-0000-000059640000}"/>
    <cellStyle name="Total 66" xfId="3537" xr:uid="{00000000-0005-0000-0000-00005A640000}"/>
    <cellStyle name="Total 67" xfId="3538" xr:uid="{00000000-0005-0000-0000-00005B640000}"/>
    <cellStyle name="Total 68" xfId="3539" xr:uid="{00000000-0005-0000-0000-00005C640000}"/>
    <cellStyle name="Total 69" xfId="3540" xr:uid="{00000000-0005-0000-0000-00005D640000}"/>
    <cellStyle name="Total 7" xfId="3541" xr:uid="{00000000-0005-0000-0000-00005E640000}"/>
    <cellStyle name="Total 70" xfId="3542" xr:uid="{00000000-0005-0000-0000-00005F640000}"/>
    <cellStyle name="Total 71" xfId="3543" xr:uid="{00000000-0005-0000-0000-000060640000}"/>
    <cellStyle name="Total 72" xfId="3544" xr:uid="{00000000-0005-0000-0000-000061640000}"/>
    <cellStyle name="Total 73" xfId="23927" xr:uid="{00000000-0005-0000-0000-000062640000}"/>
    <cellStyle name="Total 8" xfId="3545" xr:uid="{00000000-0005-0000-0000-000063640000}"/>
    <cellStyle name="Total 9" xfId="3546" xr:uid="{00000000-0005-0000-0000-000064640000}"/>
    <cellStyle name="Total2 - Style2" xfId="158" xr:uid="{00000000-0005-0000-0000-000065640000}"/>
    <cellStyle name="TRANSMISSION RELIABILITY PORTION OF PROJECT" xfId="159" xr:uid="{00000000-0005-0000-0000-000066640000}"/>
    <cellStyle name="Underl - Style4" xfId="160" xr:uid="{00000000-0005-0000-0000-000067640000}"/>
    <cellStyle name="UNLocked" xfId="628" xr:uid="{00000000-0005-0000-0000-000068640000}"/>
    <cellStyle name="UNLocked 2" xfId="24284" xr:uid="{00000000-0005-0000-0000-000069640000}"/>
    <cellStyle name="Unprot" xfId="161" xr:uid="{00000000-0005-0000-0000-00006A640000}"/>
    <cellStyle name="Unprot$" xfId="162" xr:uid="{00000000-0005-0000-0000-00006B640000}"/>
    <cellStyle name="Unprotect" xfId="163" xr:uid="{00000000-0005-0000-0000-00006C640000}"/>
    <cellStyle name="UploadThisRowValue" xfId="3547" xr:uid="{00000000-0005-0000-0000-00006D640000}"/>
    <cellStyle name="Warning Text 10" xfId="3548" xr:uid="{00000000-0005-0000-0000-00006E640000}"/>
    <cellStyle name="Warning Text 11" xfId="3549" xr:uid="{00000000-0005-0000-0000-00006F640000}"/>
    <cellStyle name="Warning Text 12" xfId="3550" xr:uid="{00000000-0005-0000-0000-000070640000}"/>
    <cellStyle name="Warning Text 13" xfId="3551" xr:uid="{00000000-0005-0000-0000-000071640000}"/>
    <cellStyle name="Warning Text 14" xfId="3552" xr:uid="{00000000-0005-0000-0000-000072640000}"/>
    <cellStyle name="Warning Text 15" xfId="3553" xr:uid="{00000000-0005-0000-0000-000073640000}"/>
    <cellStyle name="Warning Text 16" xfId="3554" xr:uid="{00000000-0005-0000-0000-000074640000}"/>
    <cellStyle name="Warning Text 17" xfId="3555" xr:uid="{00000000-0005-0000-0000-000075640000}"/>
    <cellStyle name="Warning Text 18" xfId="3556" xr:uid="{00000000-0005-0000-0000-000076640000}"/>
    <cellStyle name="Warning Text 19" xfId="3557" xr:uid="{00000000-0005-0000-0000-000077640000}"/>
    <cellStyle name="Warning Text 2" xfId="3558" xr:uid="{00000000-0005-0000-0000-000078640000}"/>
    <cellStyle name="Warning Text 2 2" xfId="24287" xr:uid="{00000000-0005-0000-0000-000079640000}"/>
    <cellStyle name="Warning Text 2 3" xfId="24286" xr:uid="{00000000-0005-0000-0000-00007A640000}"/>
    <cellStyle name="Warning Text 20" xfId="3559" xr:uid="{00000000-0005-0000-0000-00007B640000}"/>
    <cellStyle name="Warning Text 21" xfId="3560" xr:uid="{00000000-0005-0000-0000-00007C640000}"/>
    <cellStyle name="Warning Text 22" xfId="3561" xr:uid="{00000000-0005-0000-0000-00007D640000}"/>
    <cellStyle name="Warning Text 23" xfId="3562" xr:uid="{00000000-0005-0000-0000-00007E640000}"/>
    <cellStyle name="Warning Text 24" xfId="3563" xr:uid="{00000000-0005-0000-0000-00007F640000}"/>
    <cellStyle name="Warning Text 25" xfId="3564" xr:uid="{00000000-0005-0000-0000-000080640000}"/>
    <cellStyle name="Warning Text 26" xfId="3565" xr:uid="{00000000-0005-0000-0000-000081640000}"/>
    <cellStyle name="Warning Text 27" xfId="3566" xr:uid="{00000000-0005-0000-0000-000082640000}"/>
    <cellStyle name="Warning Text 28" xfId="3567" xr:uid="{00000000-0005-0000-0000-000083640000}"/>
    <cellStyle name="Warning Text 29" xfId="3568" xr:uid="{00000000-0005-0000-0000-000084640000}"/>
    <cellStyle name="Warning Text 3" xfId="3569" xr:uid="{00000000-0005-0000-0000-000085640000}"/>
    <cellStyle name="Warning Text 3 2" xfId="24289" xr:uid="{00000000-0005-0000-0000-000086640000}"/>
    <cellStyle name="Warning Text 3 3" xfId="24288" xr:uid="{00000000-0005-0000-0000-000087640000}"/>
    <cellStyle name="Warning Text 30" xfId="3570" xr:uid="{00000000-0005-0000-0000-000088640000}"/>
    <cellStyle name="Warning Text 31" xfId="3571" xr:uid="{00000000-0005-0000-0000-000089640000}"/>
    <cellStyle name="Warning Text 32" xfId="3572" xr:uid="{00000000-0005-0000-0000-00008A640000}"/>
    <cellStyle name="Warning Text 33" xfId="3573" xr:uid="{00000000-0005-0000-0000-00008B640000}"/>
    <cellStyle name="Warning Text 34" xfId="3574" xr:uid="{00000000-0005-0000-0000-00008C640000}"/>
    <cellStyle name="Warning Text 35" xfId="3575" xr:uid="{00000000-0005-0000-0000-00008D640000}"/>
    <cellStyle name="Warning Text 36" xfId="3576" xr:uid="{00000000-0005-0000-0000-00008E640000}"/>
    <cellStyle name="Warning Text 37" xfId="3577" xr:uid="{00000000-0005-0000-0000-00008F640000}"/>
    <cellStyle name="Warning Text 38" xfId="3578" xr:uid="{00000000-0005-0000-0000-000090640000}"/>
    <cellStyle name="Warning Text 39" xfId="3579" xr:uid="{00000000-0005-0000-0000-000091640000}"/>
    <cellStyle name="Warning Text 4" xfId="3580" xr:uid="{00000000-0005-0000-0000-000092640000}"/>
    <cellStyle name="Warning Text 4 2" xfId="24290" xr:uid="{00000000-0005-0000-0000-000093640000}"/>
    <cellStyle name="Warning Text 40" xfId="3581" xr:uid="{00000000-0005-0000-0000-000094640000}"/>
    <cellStyle name="Warning Text 41" xfId="3582" xr:uid="{00000000-0005-0000-0000-000095640000}"/>
    <cellStyle name="Warning Text 42" xfId="3583" xr:uid="{00000000-0005-0000-0000-000096640000}"/>
    <cellStyle name="Warning Text 43" xfId="3584" xr:uid="{00000000-0005-0000-0000-000097640000}"/>
    <cellStyle name="Warning Text 44" xfId="3585" xr:uid="{00000000-0005-0000-0000-000098640000}"/>
    <cellStyle name="Warning Text 45" xfId="3586" xr:uid="{00000000-0005-0000-0000-000099640000}"/>
    <cellStyle name="Warning Text 46" xfId="3587" xr:uid="{00000000-0005-0000-0000-00009A640000}"/>
    <cellStyle name="Warning Text 47" xfId="3588" xr:uid="{00000000-0005-0000-0000-00009B640000}"/>
    <cellStyle name="Warning Text 48" xfId="3589" xr:uid="{00000000-0005-0000-0000-00009C640000}"/>
    <cellStyle name="Warning Text 49" xfId="3590" xr:uid="{00000000-0005-0000-0000-00009D640000}"/>
    <cellStyle name="Warning Text 5" xfId="3591" xr:uid="{00000000-0005-0000-0000-00009E640000}"/>
    <cellStyle name="Warning Text 5 2" xfId="24291" xr:uid="{00000000-0005-0000-0000-00009F640000}"/>
    <cellStyle name="Warning Text 50" xfId="3592" xr:uid="{00000000-0005-0000-0000-0000A0640000}"/>
    <cellStyle name="Warning Text 51" xfId="3593" xr:uid="{00000000-0005-0000-0000-0000A1640000}"/>
    <cellStyle name="Warning Text 52" xfId="3594" xr:uid="{00000000-0005-0000-0000-0000A2640000}"/>
    <cellStyle name="Warning Text 53" xfId="3595" xr:uid="{00000000-0005-0000-0000-0000A3640000}"/>
    <cellStyle name="Warning Text 54" xfId="3596" xr:uid="{00000000-0005-0000-0000-0000A4640000}"/>
    <cellStyle name="Warning Text 55" xfId="3597" xr:uid="{00000000-0005-0000-0000-0000A5640000}"/>
    <cellStyle name="Warning Text 56" xfId="3598" xr:uid="{00000000-0005-0000-0000-0000A6640000}"/>
    <cellStyle name="Warning Text 57" xfId="3599" xr:uid="{00000000-0005-0000-0000-0000A7640000}"/>
    <cellStyle name="Warning Text 58" xfId="3600" xr:uid="{00000000-0005-0000-0000-0000A8640000}"/>
    <cellStyle name="Warning Text 59" xfId="3601" xr:uid="{00000000-0005-0000-0000-0000A9640000}"/>
    <cellStyle name="Warning Text 6" xfId="3602" xr:uid="{00000000-0005-0000-0000-0000AA640000}"/>
    <cellStyle name="Warning Text 60" xfId="3603" xr:uid="{00000000-0005-0000-0000-0000AB640000}"/>
    <cellStyle name="Warning Text 61" xfId="3604" xr:uid="{00000000-0005-0000-0000-0000AC640000}"/>
    <cellStyle name="Warning Text 62" xfId="3605" xr:uid="{00000000-0005-0000-0000-0000AD640000}"/>
    <cellStyle name="Warning Text 63" xfId="3606" xr:uid="{00000000-0005-0000-0000-0000AE640000}"/>
    <cellStyle name="Warning Text 64" xfId="3607" xr:uid="{00000000-0005-0000-0000-0000AF640000}"/>
    <cellStyle name="Warning Text 65" xfId="3608" xr:uid="{00000000-0005-0000-0000-0000B0640000}"/>
    <cellStyle name="Warning Text 66" xfId="3609" xr:uid="{00000000-0005-0000-0000-0000B1640000}"/>
    <cellStyle name="Warning Text 67" xfId="3610" xr:uid="{00000000-0005-0000-0000-0000B2640000}"/>
    <cellStyle name="Warning Text 68" xfId="3611" xr:uid="{00000000-0005-0000-0000-0000B3640000}"/>
    <cellStyle name="Warning Text 69" xfId="3612" xr:uid="{00000000-0005-0000-0000-0000B4640000}"/>
    <cellStyle name="Warning Text 7" xfId="3613" xr:uid="{00000000-0005-0000-0000-0000B5640000}"/>
    <cellStyle name="Warning Text 70" xfId="3614" xr:uid="{00000000-0005-0000-0000-0000B6640000}"/>
    <cellStyle name="Warning Text 71" xfId="3615" xr:uid="{00000000-0005-0000-0000-0000B7640000}"/>
    <cellStyle name="Warning Text 72" xfId="3616" xr:uid="{00000000-0005-0000-0000-0000B8640000}"/>
    <cellStyle name="Warning Text 8" xfId="3617" xr:uid="{00000000-0005-0000-0000-0000B9640000}"/>
    <cellStyle name="Warning Text 9" xfId="3618" xr:uid="{00000000-0005-0000-0000-0000BA640000}"/>
    <cellStyle name="WhitePattern" xfId="629" xr:uid="{00000000-0005-0000-0000-0000BB640000}"/>
    <cellStyle name="WhitePattern1" xfId="630" xr:uid="{00000000-0005-0000-0000-0000BC640000}"/>
    <cellStyle name="WhitePattern1 2" xfId="24526" xr:uid="{00000000-0005-0000-0000-0000BD640000}"/>
    <cellStyle name="WhitePattern1 2 2" xfId="25335" xr:uid="{00000000-0005-0000-0000-0000BE640000}"/>
    <cellStyle name="WhitePattern1 2 3" xfId="25597" xr:uid="{00000000-0005-0000-0000-0000BF640000}"/>
    <cellStyle name="WhitePattern1 3" xfId="24769" xr:uid="{00000000-0005-0000-0000-0000C0640000}"/>
    <cellStyle name="WhitePattern1 3 2" xfId="25286" xr:uid="{00000000-0005-0000-0000-0000C1640000}"/>
    <cellStyle name="WhitePattern1 3 3" xfId="25665" xr:uid="{00000000-0005-0000-0000-0000C2640000}"/>
    <cellStyle name="WhiteText" xfId="631" xr:uid="{00000000-0005-0000-0000-0000C3640000}"/>
    <cellStyle name="Year" xfId="632" xr:uid="{00000000-0005-0000-0000-0000C464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1642</v>
      </c>
    </row>
    <row r="2" spans="1:7">
      <c r="A2" s="20" t="s">
        <v>1678</v>
      </c>
    </row>
    <row r="3" spans="1:7">
      <c r="A3" s="20" t="s">
        <v>1643</v>
      </c>
    </row>
    <row r="4" spans="1:7">
      <c r="A4" s="21"/>
    </row>
    <row r="5" spans="1:7">
      <c r="A5" s="22"/>
    </row>
    <row r="6" spans="1:7">
      <c r="A6" s="22"/>
    </row>
    <row r="7" spans="1:7">
      <c r="A7" s="22"/>
    </row>
    <row r="8" spans="1:7">
      <c r="A8" s="22" t="s">
        <v>1641</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126</v>
      </c>
    </row>
    <row r="20" spans="1:1">
      <c r="A20" s="23"/>
    </row>
    <row r="21" spans="1:1">
      <c r="A21" s="23" t="s">
        <v>1644</v>
      </c>
    </row>
    <row r="22" spans="1:1">
      <c r="A22" s="23"/>
    </row>
    <row r="23" spans="1:1">
      <c r="A23" s="23"/>
    </row>
    <row r="24" spans="1:1">
      <c r="A24" s="24" t="s">
        <v>1677</v>
      </c>
    </row>
    <row r="25" spans="1:1">
      <c r="A25" s="23"/>
    </row>
    <row r="26" spans="1:1">
      <c r="A26" s="23"/>
    </row>
    <row r="27" spans="1:1">
      <c r="A27" s="23"/>
    </row>
    <row r="28" spans="1:1">
      <c r="A28" s="23"/>
    </row>
    <row r="29" spans="1:1">
      <c r="A29" s="23"/>
    </row>
    <row r="30" spans="1:1">
      <c r="A30" s="1011" t="s">
        <v>2167</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232"/>
  <sheetViews>
    <sheetView zoomScale="85" zoomScaleNormal="85" workbookViewId="0"/>
  </sheetViews>
  <sheetFormatPr defaultRowHeight="15.75"/>
  <cols>
    <col min="1" max="1" width="9.140625" style="8"/>
    <col min="2" max="2" width="14.140625" style="6" bestFit="1" customWidth="1"/>
    <col min="3" max="3" width="48.42578125" style="6" bestFit="1" customWidth="1"/>
    <col min="4" max="15" width="0" style="6" hidden="1" customWidth="1"/>
    <col min="16" max="16" width="16.7109375" style="6" bestFit="1" customWidth="1"/>
    <col min="17" max="17" width="9.42578125" style="6" bestFit="1" customWidth="1"/>
    <col min="18" max="18" width="16.7109375" style="6" bestFit="1" customWidth="1"/>
    <col min="19" max="19" width="9.28515625" style="6" bestFit="1" customWidth="1"/>
    <col min="20" max="20" width="16" style="6" bestFit="1" customWidth="1"/>
    <col min="21" max="23" width="12.140625" style="6" hidden="1" customWidth="1"/>
    <col min="24" max="24" width="18" style="6" bestFit="1" customWidth="1"/>
    <col min="25" max="25" width="12.28515625" style="6" bestFit="1" customWidth="1"/>
    <col min="26" max="26" width="12.7109375" style="6" bestFit="1" customWidth="1"/>
    <col min="27" max="16384" width="9.140625" style="6"/>
  </cols>
  <sheetData>
    <row r="1" spans="1:26">
      <c r="O1" s="1026" t="s">
        <v>119</v>
      </c>
      <c r="P1" s="1027"/>
      <c r="Q1" s="1027"/>
      <c r="R1" s="1028"/>
    </row>
    <row r="2" spans="1:26">
      <c r="O2" s="1017" t="s">
        <v>1688</v>
      </c>
      <c r="P2" s="1018"/>
      <c r="Q2" s="1018"/>
      <c r="R2" s="1019"/>
    </row>
    <row r="3" spans="1:26">
      <c r="O3" s="1017" t="s">
        <v>990</v>
      </c>
      <c r="P3" s="1018"/>
      <c r="Q3" s="1018"/>
      <c r="R3" s="1019"/>
    </row>
    <row r="4" spans="1:26">
      <c r="O4" s="1029"/>
      <c r="P4" s="1030"/>
      <c r="Q4" s="1030"/>
      <c r="R4" s="1031"/>
    </row>
    <row r="7" spans="1:26" ht="126">
      <c r="A7" s="1006" t="s">
        <v>891</v>
      </c>
      <c r="B7" s="258" t="s">
        <v>1373</v>
      </c>
      <c r="C7" s="258" t="s">
        <v>1374</v>
      </c>
      <c r="D7" s="259" t="s">
        <v>1375</v>
      </c>
      <c r="E7" s="260" t="s">
        <v>1376</v>
      </c>
      <c r="F7" s="260" t="s">
        <v>1377</v>
      </c>
      <c r="G7" s="260" t="s">
        <v>1378</v>
      </c>
      <c r="H7" s="260" t="s">
        <v>1132</v>
      </c>
      <c r="I7" s="261" t="s">
        <v>1379</v>
      </c>
      <c r="J7" s="262" t="s">
        <v>1380</v>
      </c>
      <c r="K7" s="262" t="s">
        <v>1381</v>
      </c>
      <c r="L7" s="262" t="s">
        <v>1382</v>
      </c>
      <c r="M7" s="262" t="s">
        <v>1383</v>
      </c>
      <c r="N7" s="262" t="s">
        <v>1384</v>
      </c>
      <c r="O7" s="263" t="s">
        <v>1385</v>
      </c>
      <c r="P7" s="264" t="s">
        <v>1386</v>
      </c>
      <c r="Q7" s="264" t="s">
        <v>1387</v>
      </c>
      <c r="R7" s="265" t="s">
        <v>2125</v>
      </c>
      <c r="S7" s="258" t="s">
        <v>1389</v>
      </c>
      <c r="T7" s="258" t="s">
        <v>112</v>
      </c>
      <c r="U7" s="266" t="s">
        <v>1390</v>
      </c>
      <c r="V7" s="267" t="s">
        <v>1391</v>
      </c>
      <c r="W7" s="265" t="s">
        <v>1388</v>
      </c>
      <c r="X7" s="258" t="s">
        <v>1392</v>
      </c>
      <c r="Y7" s="258" t="s">
        <v>1393</v>
      </c>
      <c r="Z7" s="258"/>
    </row>
    <row r="8" spans="1:26">
      <c r="A8" s="8">
        <v>1</v>
      </c>
      <c r="B8" s="268" t="s">
        <v>1394</v>
      </c>
      <c r="C8" s="268" t="s">
        <v>1395</v>
      </c>
      <c r="D8" s="269">
        <v>4579.78</v>
      </c>
      <c r="E8" s="270">
        <v>5301.53</v>
      </c>
      <c r="F8" s="270">
        <v>16669.349999999999</v>
      </c>
      <c r="G8" s="270">
        <v>14555.130000000001</v>
      </c>
      <c r="H8" s="270">
        <v>13030.86</v>
      </c>
      <c r="I8" s="271">
        <v>5648.89</v>
      </c>
      <c r="J8" s="272">
        <v>27209.15</v>
      </c>
      <c r="K8" s="272">
        <v>27359.22</v>
      </c>
      <c r="L8" s="272">
        <v>27510.100000000002</v>
      </c>
      <c r="M8" s="272">
        <v>27661.82</v>
      </c>
      <c r="N8" s="272">
        <v>27814.38</v>
      </c>
      <c r="O8" s="272">
        <v>27967.77</v>
      </c>
      <c r="P8" s="273">
        <v>43100</v>
      </c>
      <c r="Q8" s="274">
        <v>303</v>
      </c>
      <c r="R8" s="275">
        <v>225307.98</v>
      </c>
      <c r="S8" s="986">
        <f>+'State Allocation Formulas'!$L$25</f>
        <v>0.77239999999999998</v>
      </c>
      <c r="T8" s="276">
        <f>+R8*S8</f>
        <v>174027.88375199999</v>
      </c>
      <c r="U8" s="277">
        <f>SUM(D8:I8)</f>
        <v>59785.539999999994</v>
      </c>
      <c r="V8" s="278">
        <f>SUM(J8:O8)</f>
        <v>165522.44</v>
      </c>
      <c r="W8" s="275">
        <f>U8+V8</f>
        <v>225307.97999999998</v>
      </c>
      <c r="X8" s="279">
        <f>+T8</f>
        <v>174027.88375199999</v>
      </c>
      <c r="Y8" s="280">
        <v>7</v>
      </c>
      <c r="Z8" s="268"/>
    </row>
    <row r="9" spans="1:26">
      <c r="A9" s="8">
        <v>2</v>
      </c>
      <c r="B9" s="268" t="s">
        <v>1394</v>
      </c>
      <c r="C9" s="268" t="s">
        <v>1396</v>
      </c>
      <c r="D9" s="269">
        <v>2229</v>
      </c>
      <c r="E9" s="270">
        <v>1521.7</v>
      </c>
      <c r="F9" s="270">
        <v>2380.2600000000002</v>
      </c>
      <c r="G9" s="270">
        <v>3474.1</v>
      </c>
      <c r="H9" s="270">
        <v>25379.87</v>
      </c>
      <c r="I9" s="271">
        <v>55296.959999999999</v>
      </c>
      <c r="J9" s="272">
        <v>23211.14</v>
      </c>
      <c r="K9" s="272">
        <v>34103.15</v>
      </c>
      <c r="L9" s="272">
        <v>34291.230000000003</v>
      </c>
      <c r="M9" s="272">
        <v>34480.35</v>
      </c>
      <c r="N9" s="272">
        <v>34670.5</v>
      </c>
      <c r="O9" s="272">
        <v>45625.72</v>
      </c>
      <c r="P9" s="273">
        <v>43100</v>
      </c>
      <c r="Q9" s="274">
        <v>303</v>
      </c>
      <c r="R9" s="275">
        <v>296663.98</v>
      </c>
      <c r="S9" s="986">
        <f>+'State Allocation Formulas'!$L$25</f>
        <v>0.77239999999999998</v>
      </c>
      <c r="T9" s="276">
        <f t="shared" ref="T9:T21" si="0">+R9*S9</f>
        <v>229143.25815199997</v>
      </c>
      <c r="U9" s="277">
        <f t="shared" ref="U9:U22" si="1">SUM(D9:I9)</f>
        <v>90281.89</v>
      </c>
      <c r="V9" s="278">
        <f t="shared" ref="V9:V22" si="2">SUM(J9:O9)</f>
        <v>206382.09</v>
      </c>
      <c r="W9" s="275">
        <f t="shared" ref="W9:W22" si="3">U9+V9</f>
        <v>296663.98</v>
      </c>
      <c r="X9" s="279"/>
      <c r="Y9" s="280" t="s">
        <v>1400</v>
      </c>
      <c r="Z9" s="268"/>
    </row>
    <row r="10" spans="1:26">
      <c r="A10" s="8">
        <v>3</v>
      </c>
      <c r="B10" s="268" t="s">
        <v>1394</v>
      </c>
      <c r="C10" s="268" t="s">
        <v>1397</v>
      </c>
      <c r="D10" s="269">
        <v>2244.94</v>
      </c>
      <c r="E10" s="270">
        <v>0</v>
      </c>
      <c r="F10" s="270">
        <v>0</v>
      </c>
      <c r="G10" s="270">
        <v>0</v>
      </c>
      <c r="H10" s="270">
        <v>0</v>
      </c>
      <c r="I10" s="271">
        <v>0</v>
      </c>
      <c r="J10" s="272">
        <v>0</v>
      </c>
      <c r="K10" s="272">
        <v>0</v>
      </c>
      <c r="L10" s="272">
        <v>0</v>
      </c>
      <c r="M10" s="272">
        <v>0</v>
      </c>
      <c r="N10" s="272">
        <v>0</v>
      </c>
      <c r="O10" s="272">
        <v>0</v>
      </c>
      <c r="P10" s="273">
        <v>42124</v>
      </c>
      <c r="Q10" s="274">
        <v>303</v>
      </c>
      <c r="R10" s="275">
        <v>2244.94</v>
      </c>
      <c r="S10" s="986">
        <f>+'State Allocation Formulas'!$L$25</f>
        <v>0.77239999999999998</v>
      </c>
      <c r="T10" s="276">
        <f t="shared" si="0"/>
        <v>1733.9916559999999</v>
      </c>
      <c r="U10" s="277">
        <f t="shared" si="1"/>
        <v>2244.94</v>
      </c>
      <c r="V10" s="278">
        <f t="shared" si="2"/>
        <v>0</v>
      </c>
      <c r="W10" s="275">
        <f t="shared" si="3"/>
        <v>2244.94</v>
      </c>
      <c r="X10" s="279">
        <f t="shared" ref="X10:X21" si="4">+T10</f>
        <v>1733.9916559999999</v>
      </c>
      <c r="Y10" s="280">
        <v>9</v>
      </c>
      <c r="Z10" s="268"/>
    </row>
    <row r="11" spans="1:26">
      <c r="A11" s="8">
        <v>4</v>
      </c>
      <c r="B11" s="268" t="s">
        <v>1394</v>
      </c>
      <c r="C11" s="268" t="s">
        <v>1398</v>
      </c>
      <c r="D11" s="269">
        <v>181.94</v>
      </c>
      <c r="E11" s="270">
        <v>183.04</v>
      </c>
      <c r="F11" s="270">
        <v>184.16</v>
      </c>
      <c r="G11" s="270">
        <v>0</v>
      </c>
      <c r="H11" s="281">
        <v>0</v>
      </c>
      <c r="I11" s="271">
        <v>0</v>
      </c>
      <c r="J11" s="272">
        <v>0</v>
      </c>
      <c r="K11" s="272">
        <v>0</v>
      </c>
      <c r="L11" s="272">
        <v>0</v>
      </c>
      <c r="M11" s="272">
        <v>0</v>
      </c>
      <c r="N11" s="272">
        <v>0</v>
      </c>
      <c r="O11" s="272">
        <v>0</v>
      </c>
      <c r="P11" s="273">
        <v>40908</v>
      </c>
      <c r="Q11" s="274">
        <v>303</v>
      </c>
      <c r="R11" s="275">
        <v>549.14</v>
      </c>
      <c r="S11" s="986">
        <f>+'State Allocation Formulas'!$L$25</f>
        <v>0.77239999999999998</v>
      </c>
      <c r="T11" s="276">
        <f t="shared" si="0"/>
        <v>424.15573599999999</v>
      </c>
      <c r="U11" s="277">
        <f t="shared" si="1"/>
        <v>549.14</v>
      </c>
      <c r="V11" s="278">
        <f t="shared" si="2"/>
        <v>0</v>
      </c>
      <c r="W11" s="275">
        <f t="shared" si="3"/>
        <v>549.14</v>
      </c>
      <c r="X11" s="279"/>
      <c r="Y11" s="280" t="s">
        <v>1400</v>
      </c>
      <c r="Z11" s="268"/>
    </row>
    <row r="12" spans="1:26">
      <c r="A12" s="8">
        <v>5</v>
      </c>
      <c r="B12" s="268" t="s">
        <v>1394</v>
      </c>
      <c r="C12" s="268" t="s">
        <v>1399</v>
      </c>
      <c r="D12" s="269">
        <v>5053.25</v>
      </c>
      <c r="E12" s="270">
        <v>3746.89</v>
      </c>
      <c r="F12" s="270">
        <v>11336.18</v>
      </c>
      <c r="G12" s="270">
        <v>117570.51000000001</v>
      </c>
      <c r="H12" s="270">
        <v>717.04</v>
      </c>
      <c r="I12" s="271">
        <v>17165.09</v>
      </c>
      <c r="J12" s="272">
        <v>61108.6</v>
      </c>
      <c r="K12" s="272">
        <v>29153.62</v>
      </c>
      <c r="L12" s="272">
        <v>29314.41</v>
      </c>
      <c r="M12" s="272">
        <v>11500.19</v>
      </c>
      <c r="N12" s="272">
        <v>11563.62</v>
      </c>
      <c r="O12" s="272">
        <v>11627.39</v>
      </c>
      <c r="P12" s="273">
        <v>43220</v>
      </c>
      <c r="Q12" s="274">
        <v>303</v>
      </c>
      <c r="R12" s="275">
        <v>309856.78999999998</v>
      </c>
      <c r="S12" s="986">
        <f>+'State Allocation Formulas'!$L$25</f>
        <v>0.77239999999999998</v>
      </c>
      <c r="T12" s="276">
        <f t="shared" si="0"/>
        <v>239333.38459599999</v>
      </c>
      <c r="U12" s="277">
        <f t="shared" si="1"/>
        <v>155588.96000000002</v>
      </c>
      <c r="V12" s="278">
        <f t="shared" si="2"/>
        <v>154267.83000000002</v>
      </c>
      <c r="W12" s="275">
        <f t="shared" si="3"/>
        <v>309856.79000000004</v>
      </c>
      <c r="X12" s="279"/>
      <c r="Y12" s="280" t="s">
        <v>1400</v>
      </c>
      <c r="Z12" s="268"/>
    </row>
    <row r="13" spans="1:26">
      <c r="A13" s="8">
        <v>6</v>
      </c>
      <c r="B13" s="268" t="s">
        <v>1394</v>
      </c>
      <c r="C13" s="268" t="s">
        <v>1401</v>
      </c>
      <c r="D13" s="269">
        <v>2454.19</v>
      </c>
      <c r="E13" s="270">
        <v>48.44</v>
      </c>
      <c r="F13" s="270">
        <v>10572.23</v>
      </c>
      <c r="G13" s="270">
        <v>1015.26</v>
      </c>
      <c r="H13" s="270">
        <v>819.62</v>
      </c>
      <c r="I13" s="271">
        <v>56207.33</v>
      </c>
      <c r="J13" s="272">
        <v>30556.83</v>
      </c>
      <c r="K13" s="272">
        <v>30725.350000000002</v>
      </c>
      <c r="L13" s="272">
        <v>38346.35</v>
      </c>
      <c r="M13" s="272">
        <v>38557.840000000004</v>
      </c>
      <c r="N13" s="272">
        <v>38770.480000000003</v>
      </c>
      <c r="O13" s="272">
        <v>38984.31</v>
      </c>
      <c r="P13" s="273">
        <v>44531</v>
      </c>
      <c r="Q13" s="274">
        <v>303</v>
      </c>
      <c r="R13" s="275">
        <v>287058.23</v>
      </c>
      <c r="S13" s="986">
        <f>+'State Allocation Formulas'!$L$25</f>
        <v>0.77239999999999998</v>
      </c>
      <c r="T13" s="276">
        <f t="shared" si="0"/>
        <v>221723.77685199998</v>
      </c>
      <c r="U13" s="277">
        <f t="shared" si="1"/>
        <v>71117.070000000007</v>
      </c>
      <c r="V13" s="278">
        <f t="shared" si="2"/>
        <v>215941.16</v>
      </c>
      <c r="W13" s="275">
        <f t="shared" si="3"/>
        <v>287058.23</v>
      </c>
      <c r="X13" s="279">
        <f t="shared" si="4"/>
        <v>221723.77685199998</v>
      </c>
      <c r="Y13" s="280">
        <v>35</v>
      </c>
      <c r="Z13" s="268"/>
    </row>
    <row r="14" spans="1:26">
      <c r="A14" s="8">
        <v>7</v>
      </c>
      <c r="B14" s="268" t="s">
        <v>1394</v>
      </c>
      <c r="C14" s="268" t="s">
        <v>1402</v>
      </c>
      <c r="D14" s="269">
        <v>2512.64</v>
      </c>
      <c r="E14" s="270">
        <v>0</v>
      </c>
      <c r="F14" s="270">
        <v>-2512.64</v>
      </c>
      <c r="G14" s="270">
        <v>0</v>
      </c>
      <c r="H14" s="270">
        <v>3424.3</v>
      </c>
      <c r="I14" s="271">
        <v>1567.31</v>
      </c>
      <c r="J14" s="272">
        <v>12944.33</v>
      </c>
      <c r="K14" s="272">
        <v>14272.32</v>
      </c>
      <c r="L14" s="272">
        <v>14351.02</v>
      </c>
      <c r="M14" s="272">
        <v>14430.17</v>
      </c>
      <c r="N14" s="272">
        <v>14509.76</v>
      </c>
      <c r="O14" s="272">
        <v>14589.77</v>
      </c>
      <c r="P14" s="273">
        <v>43830</v>
      </c>
      <c r="Q14" s="274">
        <v>303</v>
      </c>
      <c r="R14" s="275">
        <v>90088.98</v>
      </c>
      <c r="S14" s="986">
        <f>+'State Allocation Formulas'!$L$25</f>
        <v>0.77239999999999998</v>
      </c>
      <c r="T14" s="276">
        <f t="shared" si="0"/>
        <v>69584.728151999996</v>
      </c>
      <c r="U14" s="277">
        <f t="shared" si="1"/>
        <v>4991.6100000000006</v>
      </c>
      <c r="V14" s="278">
        <f t="shared" si="2"/>
        <v>85097.37</v>
      </c>
      <c r="W14" s="275">
        <f t="shared" si="3"/>
        <v>90088.98</v>
      </c>
      <c r="X14" s="279"/>
      <c r="Y14" s="280" t="s">
        <v>1400</v>
      </c>
      <c r="Z14" s="268"/>
    </row>
    <row r="15" spans="1:26">
      <c r="A15" s="8">
        <v>8</v>
      </c>
      <c r="B15" s="268" t="s">
        <v>1394</v>
      </c>
      <c r="C15" s="268" t="s">
        <v>1403</v>
      </c>
      <c r="D15" s="269">
        <v>19907.98</v>
      </c>
      <c r="E15" s="270">
        <v>22622.22</v>
      </c>
      <c r="F15" s="270">
        <v>17942.170000000002</v>
      </c>
      <c r="G15" s="270">
        <v>16316.140000000001</v>
      </c>
      <c r="H15" s="270">
        <v>23348.65</v>
      </c>
      <c r="I15" s="271">
        <v>11262.17</v>
      </c>
      <c r="J15" s="272">
        <v>42078.99</v>
      </c>
      <c r="K15" s="272">
        <v>41063.99</v>
      </c>
      <c r="L15" s="272">
        <v>41063.99</v>
      </c>
      <c r="M15" s="272">
        <v>41063.99</v>
      </c>
      <c r="N15" s="272">
        <v>0</v>
      </c>
      <c r="O15" s="272">
        <v>0</v>
      </c>
      <c r="P15" s="273">
        <v>42917</v>
      </c>
      <c r="Q15" s="274">
        <v>303</v>
      </c>
      <c r="R15" s="275">
        <v>276670.28999999998</v>
      </c>
      <c r="S15" s="986">
        <f>+'State Allocation Formulas'!$L$25</f>
        <v>0.77239999999999998</v>
      </c>
      <c r="T15" s="276">
        <f t="shared" si="0"/>
        <v>213700.13199599998</v>
      </c>
      <c r="U15" s="277">
        <f t="shared" si="1"/>
        <v>111399.33</v>
      </c>
      <c r="V15" s="278">
        <f t="shared" si="2"/>
        <v>165270.96</v>
      </c>
      <c r="W15" s="275">
        <f t="shared" si="3"/>
        <v>276670.28999999998</v>
      </c>
      <c r="X15" s="279">
        <f t="shared" si="4"/>
        <v>213700.13199599998</v>
      </c>
      <c r="Y15" s="280">
        <v>41</v>
      </c>
      <c r="Z15" s="268"/>
    </row>
    <row r="16" spans="1:26">
      <c r="A16" s="8">
        <v>9</v>
      </c>
      <c r="B16" s="268" t="s">
        <v>1394</v>
      </c>
      <c r="C16" s="268" t="s">
        <v>1404</v>
      </c>
      <c r="D16" s="269">
        <v>-454.28000000000003</v>
      </c>
      <c r="E16" s="270">
        <v>0</v>
      </c>
      <c r="F16" s="270">
        <v>0</v>
      </c>
      <c r="G16" s="270">
        <v>0</v>
      </c>
      <c r="H16" s="270">
        <v>0</v>
      </c>
      <c r="I16" s="271">
        <v>0</v>
      </c>
      <c r="J16" s="272">
        <v>21528</v>
      </c>
      <c r="K16" s="272">
        <v>118.73</v>
      </c>
      <c r="L16" s="272">
        <v>119.38</v>
      </c>
      <c r="M16" s="272">
        <v>120.04</v>
      </c>
      <c r="N16" s="272">
        <v>120.7</v>
      </c>
      <c r="O16" s="272">
        <v>121.37</v>
      </c>
      <c r="P16" s="273">
        <v>44408</v>
      </c>
      <c r="Q16" s="274">
        <v>303</v>
      </c>
      <c r="R16" s="275">
        <v>21673.94</v>
      </c>
      <c r="S16" s="986">
        <f>+'State Allocation Formulas'!$L$25</f>
        <v>0.77239999999999998</v>
      </c>
      <c r="T16" s="276">
        <f t="shared" si="0"/>
        <v>16740.951255999997</v>
      </c>
      <c r="U16" s="277">
        <f t="shared" si="1"/>
        <v>-454.28000000000003</v>
      </c>
      <c r="V16" s="278">
        <f t="shared" si="2"/>
        <v>22128.22</v>
      </c>
      <c r="W16" s="275">
        <f t="shared" si="3"/>
        <v>21673.940000000002</v>
      </c>
      <c r="X16" s="279">
        <f>+T16</f>
        <v>16740.951255999997</v>
      </c>
      <c r="Y16" s="280">
        <v>42</v>
      </c>
      <c r="Z16" s="276"/>
    </row>
    <row r="17" spans="1:26">
      <c r="A17" s="8">
        <v>10</v>
      </c>
      <c r="B17" s="268" t="s">
        <v>1394</v>
      </c>
      <c r="C17" s="268" t="s">
        <v>1405</v>
      </c>
      <c r="D17" s="269">
        <v>0</v>
      </c>
      <c r="E17" s="270">
        <v>0</v>
      </c>
      <c r="F17" s="270">
        <v>0</v>
      </c>
      <c r="G17" s="270">
        <v>0</v>
      </c>
      <c r="H17" s="270">
        <v>0</v>
      </c>
      <c r="I17" s="271">
        <v>0</v>
      </c>
      <c r="J17" s="272">
        <v>5123.8500000000004</v>
      </c>
      <c r="K17" s="272">
        <v>5152.1099999999997</v>
      </c>
      <c r="L17" s="272">
        <v>5180.5200000000004</v>
      </c>
      <c r="M17" s="272">
        <v>5209.09</v>
      </c>
      <c r="N17" s="272">
        <v>5237.82</v>
      </c>
      <c r="O17" s="272">
        <v>5266.71</v>
      </c>
      <c r="P17" s="273">
        <v>43100</v>
      </c>
      <c r="Q17" s="274">
        <v>303</v>
      </c>
      <c r="R17" s="275">
        <v>31170.100000000002</v>
      </c>
      <c r="S17" s="986">
        <f>+'State Allocation Formulas'!$L$25</f>
        <v>0.77239999999999998</v>
      </c>
      <c r="T17" s="276">
        <f t="shared" si="0"/>
        <v>24075.785240000001</v>
      </c>
      <c r="U17" s="277">
        <f t="shared" si="1"/>
        <v>0</v>
      </c>
      <c r="V17" s="278">
        <f t="shared" si="2"/>
        <v>31170.1</v>
      </c>
      <c r="W17" s="275">
        <f t="shared" si="3"/>
        <v>31170.1</v>
      </c>
      <c r="X17" s="279">
        <f t="shared" si="4"/>
        <v>24075.785240000001</v>
      </c>
      <c r="Y17" s="280">
        <v>43</v>
      </c>
      <c r="Z17" s="268"/>
    </row>
    <row r="18" spans="1:26">
      <c r="A18" s="8">
        <v>11</v>
      </c>
      <c r="B18" s="268" t="s">
        <v>1394</v>
      </c>
      <c r="C18" s="268" t="s">
        <v>1406</v>
      </c>
      <c r="D18" s="269">
        <v>270.19</v>
      </c>
      <c r="E18" s="270">
        <v>271.82</v>
      </c>
      <c r="F18" s="270">
        <v>-2843.14</v>
      </c>
      <c r="G18" s="270">
        <v>0</v>
      </c>
      <c r="H18" s="270">
        <v>0</v>
      </c>
      <c r="I18" s="271">
        <v>0</v>
      </c>
      <c r="J18" s="272">
        <v>0</v>
      </c>
      <c r="K18" s="272">
        <v>0</v>
      </c>
      <c r="L18" s="272">
        <v>0</v>
      </c>
      <c r="M18" s="272">
        <v>0</v>
      </c>
      <c r="N18" s="272">
        <v>0</v>
      </c>
      <c r="O18" s="272">
        <v>0</v>
      </c>
      <c r="P18" s="273">
        <v>42004</v>
      </c>
      <c r="Q18" s="274">
        <v>303</v>
      </c>
      <c r="R18" s="275">
        <v>-2301.13</v>
      </c>
      <c r="S18" s="986">
        <f>+'State Allocation Formulas'!$L$25</f>
        <v>0.77239999999999998</v>
      </c>
      <c r="T18" s="276">
        <f t="shared" si="0"/>
        <v>-1777.392812</v>
      </c>
      <c r="U18" s="277">
        <f t="shared" si="1"/>
        <v>-2301.13</v>
      </c>
      <c r="V18" s="278">
        <f t="shared" si="2"/>
        <v>0</v>
      </c>
      <c r="W18" s="275">
        <f t="shared" si="3"/>
        <v>-2301.13</v>
      </c>
      <c r="X18" s="279"/>
      <c r="Y18" s="280" t="s">
        <v>1400</v>
      </c>
      <c r="Z18" s="268"/>
    </row>
    <row r="19" spans="1:26">
      <c r="A19" s="8">
        <v>12</v>
      </c>
      <c r="B19" s="268" t="s">
        <v>1394</v>
      </c>
      <c r="C19" s="268" t="s">
        <v>1407</v>
      </c>
      <c r="D19" s="269">
        <v>6223.95</v>
      </c>
      <c r="E19" s="270">
        <v>27101.57</v>
      </c>
      <c r="F19" s="270">
        <v>11331.39</v>
      </c>
      <c r="G19" s="270">
        <v>48868.270000000004</v>
      </c>
      <c r="H19" s="270">
        <v>25542.010000000002</v>
      </c>
      <c r="I19" s="271">
        <v>36582.28</v>
      </c>
      <c r="J19" s="272">
        <v>1355.3</v>
      </c>
      <c r="K19" s="272">
        <v>1362.77</v>
      </c>
      <c r="L19" s="272">
        <v>1370.29</v>
      </c>
      <c r="M19" s="272">
        <v>0</v>
      </c>
      <c r="N19" s="272">
        <v>0</v>
      </c>
      <c r="O19" s="272">
        <v>0</v>
      </c>
      <c r="P19" s="273">
        <v>43008</v>
      </c>
      <c r="Q19" s="274">
        <v>303</v>
      </c>
      <c r="R19" s="275">
        <v>159737.83000000002</v>
      </c>
      <c r="S19" s="986">
        <f>+'State Allocation Formulas'!$L$25</f>
        <v>0.77239999999999998</v>
      </c>
      <c r="T19" s="276">
        <f t="shared" si="0"/>
        <v>123381.49989200001</v>
      </c>
      <c r="U19" s="277">
        <f t="shared" si="1"/>
        <v>155649.47</v>
      </c>
      <c r="V19" s="278">
        <f t="shared" si="2"/>
        <v>4088.3599999999997</v>
      </c>
      <c r="W19" s="275">
        <f t="shared" si="3"/>
        <v>159737.82999999999</v>
      </c>
      <c r="X19" s="279">
        <f t="shared" si="4"/>
        <v>123381.49989200001</v>
      </c>
      <c r="Y19" s="280">
        <v>44</v>
      </c>
      <c r="Z19" s="268"/>
    </row>
    <row r="20" spans="1:26">
      <c r="A20" s="8">
        <v>13</v>
      </c>
      <c r="B20" s="268" t="s">
        <v>1394</v>
      </c>
      <c r="C20" s="268" t="s">
        <v>1408</v>
      </c>
      <c r="D20" s="269">
        <v>0</v>
      </c>
      <c r="E20" s="270">
        <v>0</v>
      </c>
      <c r="F20" s="270">
        <v>0</v>
      </c>
      <c r="G20" s="270">
        <v>0</v>
      </c>
      <c r="H20" s="270">
        <v>0</v>
      </c>
      <c r="I20" s="271">
        <v>0</v>
      </c>
      <c r="J20" s="272">
        <v>21976.5</v>
      </c>
      <c r="K20" s="272">
        <v>22097.7</v>
      </c>
      <c r="L20" s="272">
        <v>22219.56</v>
      </c>
      <c r="M20" s="272">
        <v>21976.5</v>
      </c>
      <c r="N20" s="272">
        <v>21976.5</v>
      </c>
      <c r="O20" s="272">
        <v>21976.5</v>
      </c>
      <c r="P20" s="273">
        <v>42979</v>
      </c>
      <c r="Q20" s="274">
        <v>303</v>
      </c>
      <c r="R20" s="275">
        <v>132223.26</v>
      </c>
      <c r="S20" s="986">
        <f>+'State Allocation Formulas'!$L$25</f>
        <v>0.77239999999999998</v>
      </c>
      <c r="T20" s="276">
        <f t="shared" si="0"/>
        <v>102129.24602400001</v>
      </c>
      <c r="U20" s="277">
        <f t="shared" si="1"/>
        <v>0</v>
      </c>
      <c r="V20" s="278">
        <f t="shared" si="2"/>
        <v>132223.26</v>
      </c>
      <c r="W20" s="275">
        <f t="shared" si="3"/>
        <v>132223.26</v>
      </c>
      <c r="X20" s="279">
        <f t="shared" si="4"/>
        <v>102129.24602400001</v>
      </c>
      <c r="Y20" s="280">
        <v>45</v>
      </c>
      <c r="Z20" s="268"/>
    </row>
    <row r="21" spans="1:26">
      <c r="A21" s="8">
        <v>14</v>
      </c>
      <c r="B21" s="268" t="s">
        <v>1394</v>
      </c>
      <c r="C21" s="268" t="s">
        <v>1409</v>
      </c>
      <c r="D21" s="269">
        <v>0</v>
      </c>
      <c r="E21" s="270">
        <v>0</v>
      </c>
      <c r="F21" s="270">
        <v>0</v>
      </c>
      <c r="G21" s="270">
        <v>0</v>
      </c>
      <c r="H21" s="270">
        <v>0</v>
      </c>
      <c r="I21" s="271">
        <v>0</v>
      </c>
      <c r="J21" s="272">
        <v>4395.3</v>
      </c>
      <c r="K21" s="272">
        <v>4419.54</v>
      </c>
      <c r="L21" s="272">
        <v>4443.92</v>
      </c>
      <c r="M21" s="272">
        <v>4395.3</v>
      </c>
      <c r="N21" s="272">
        <v>4395.3</v>
      </c>
      <c r="O21" s="272">
        <v>4395.3</v>
      </c>
      <c r="P21" s="273">
        <v>42979</v>
      </c>
      <c r="Q21" s="274">
        <v>303</v>
      </c>
      <c r="R21" s="275">
        <v>26444.66</v>
      </c>
      <c r="S21" s="986">
        <f>+'State Allocation Formulas'!$L$25</f>
        <v>0.77239999999999998</v>
      </c>
      <c r="T21" s="276">
        <f t="shared" si="0"/>
        <v>20425.855383999999</v>
      </c>
      <c r="U21" s="277">
        <f t="shared" si="1"/>
        <v>0</v>
      </c>
      <c r="V21" s="278">
        <f t="shared" si="2"/>
        <v>26444.66</v>
      </c>
      <c r="W21" s="275">
        <f t="shared" si="3"/>
        <v>26444.66</v>
      </c>
      <c r="X21" s="279">
        <f t="shared" si="4"/>
        <v>20425.855383999999</v>
      </c>
      <c r="Y21" s="280">
        <v>46</v>
      </c>
      <c r="Z21" s="268"/>
    </row>
    <row r="22" spans="1:26">
      <c r="A22" s="8">
        <v>15</v>
      </c>
      <c r="B22" s="282" t="s">
        <v>1394</v>
      </c>
      <c r="C22" s="282" t="s">
        <v>1410</v>
      </c>
      <c r="D22" s="283">
        <v>0</v>
      </c>
      <c r="E22" s="284">
        <v>0</v>
      </c>
      <c r="F22" s="284">
        <v>267.02</v>
      </c>
      <c r="G22" s="284">
        <v>99.67</v>
      </c>
      <c r="H22" s="284">
        <v>0</v>
      </c>
      <c r="I22" s="285">
        <v>0</v>
      </c>
      <c r="J22" s="274">
        <v>791.67000000000007</v>
      </c>
      <c r="K22" s="274">
        <v>791.67000000000007</v>
      </c>
      <c r="L22" s="274">
        <v>791.67000000000007</v>
      </c>
      <c r="M22" s="274">
        <v>791.67000000000007</v>
      </c>
      <c r="N22" s="274">
        <v>791.67000000000007</v>
      </c>
      <c r="O22" s="274">
        <v>791.67000000000007</v>
      </c>
      <c r="P22" s="273">
        <v>43100</v>
      </c>
      <c r="Q22" s="274">
        <v>303</v>
      </c>
      <c r="R22" s="286">
        <v>5116.71</v>
      </c>
      <c r="S22" s="282" t="s">
        <v>1411</v>
      </c>
      <c r="T22" s="276"/>
      <c r="U22" s="287">
        <f t="shared" si="1"/>
        <v>366.69</v>
      </c>
      <c r="V22" s="287">
        <f t="shared" si="2"/>
        <v>4750.0200000000004</v>
      </c>
      <c r="W22" s="287">
        <f t="shared" si="3"/>
        <v>5116.71</v>
      </c>
      <c r="X22" s="268"/>
      <c r="Y22" s="280"/>
      <c r="Z22" s="268"/>
    </row>
    <row r="23" spans="1:26">
      <c r="A23" s="8">
        <v>16</v>
      </c>
      <c r="B23" s="288"/>
      <c r="C23" s="289" t="s">
        <v>1412</v>
      </c>
      <c r="D23" s="290">
        <f>SUM(D8:D22)</f>
        <v>45203.58</v>
      </c>
      <c r="E23" s="291">
        <f>SUM(E8:E22)</f>
        <v>60797.21</v>
      </c>
      <c r="F23" s="291">
        <f>SUM(F8:F22)</f>
        <v>65326.98</v>
      </c>
      <c r="G23" s="291">
        <f>SUM(G8:G22)</f>
        <v>201899.08000000005</v>
      </c>
      <c r="H23" s="291">
        <f>SUM(H8:H22)</f>
        <v>92262.35</v>
      </c>
      <c r="I23" s="292">
        <f t="shared" ref="I23:N23" si="5">SUM(I8:I22)</f>
        <v>183730.03000000003</v>
      </c>
      <c r="J23" s="293">
        <f t="shared" si="5"/>
        <v>252279.65999999997</v>
      </c>
      <c r="K23" s="293">
        <f t="shared" si="5"/>
        <v>210620.17</v>
      </c>
      <c r="L23" s="293">
        <f t="shared" si="5"/>
        <v>219002.44</v>
      </c>
      <c r="M23" s="293">
        <f t="shared" si="5"/>
        <v>200186.96000000002</v>
      </c>
      <c r="N23" s="293">
        <f t="shared" si="5"/>
        <v>159850.73000000001</v>
      </c>
      <c r="O23" s="293">
        <f>SUM(O8:O22)</f>
        <v>171346.50999999998</v>
      </c>
      <c r="P23" s="294"/>
      <c r="Q23" s="294"/>
      <c r="R23" s="295">
        <f>SUM(R8:R22)</f>
        <v>1862505.7</v>
      </c>
      <c r="S23" s="288"/>
      <c r="T23" s="296">
        <f>SUM(T8:T22)</f>
        <v>1434647.2558760005</v>
      </c>
      <c r="U23" s="297">
        <f>SUM(U8:U22)</f>
        <v>649219.23</v>
      </c>
      <c r="V23" s="298">
        <f>SUM(V8:V22)</f>
        <v>1213286.47</v>
      </c>
      <c r="W23" s="295">
        <f>SUM(W8:W22)</f>
        <v>1862505.7000000002</v>
      </c>
      <c r="X23" s="296">
        <f>SUM(X8:X22)</f>
        <v>897939.1220519999</v>
      </c>
      <c r="Y23" s="299"/>
      <c r="Z23" s="288"/>
    </row>
    <row r="24" spans="1:26">
      <c r="A24" s="8">
        <v>17</v>
      </c>
      <c r="B24" s="288" t="s">
        <v>1677</v>
      </c>
      <c r="C24" s="288"/>
      <c r="D24" s="269"/>
      <c r="E24" s="270"/>
      <c r="F24" s="270"/>
      <c r="G24" s="270"/>
      <c r="H24" s="270"/>
      <c r="I24" s="271"/>
      <c r="J24" s="272"/>
      <c r="K24" s="272"/>
      <c r="L24" s="272"/>
      <c r="M24" s="272"/>
      <c r="N24" s="272"/>
      <c r="O24" s="300"/>
      <c r="P24" s="284"/>
      <c r="Q24" s="284"/>
      <c r="R24" s="275"/>
      <c r="S24" s="288"/>
      <c r="T24" s="301"/>
      <c r="U24" s="277"/>
      <c r="V24" s="278"/>
      <c r="W24" s="275"/>
      <c r="X24" s="288"/>
      <c r="Y24" s="299"/>
      <c r="Z24" s="288"/>
    </row>
    <row r="25" spans="1:26">
      <c r="B25" s="288"/>
      <c r="C25" s="289"/>
      <c r="D25" s="269"/>
      <c r="E25" s="270"/>
      <c r="F25" s="270"/>
      <c r="G25" s="270"/>
      <c r="H25" s="270"/>
      <c r="I25" s="271">
        <f>SUM(D23:I23)</f>
        <v>649219.2300000001</v>
      </c>
      <c r="J25" s="272"/>
      <c r="K25" s="272"/>
      <c r="L25" s="272"/>
      <c r="M25" s="272"/>
      <c r="N25" s="272"/>
      <c r="O25" s="300">
        <f>SUM(J23:O23)</f>
        <v>1213286.47</v>
      </c>
      <c r="P25" s="284"/>
      <c r="Q25" s="284"/>
      <c r="R25" s="275"/>
      <c r="S25" s="288"/>
      <c r="T25" s="301"/>
      <c r="U25" s="277"/>
      <c r="V25" s="278"/>
      <c r="W25" s="275"/>
      <c r="X25" s="288"/>
      <c r="Y25" s="299"/>
      <c r="Z25" s="288"/>
    </row>
    <row r="26" spans="1:26">
      <c r="B26" s="288"/>
      <c r="C26" s="288"/>
      <c r="D26" s="269"/>
      <c r="E26" s="270"/>
      <c r="F26" s="270"/>
      <c r="G26" s="270"/>
      <c r="H26" s="270"/>
      <c r="I26" s="271"/>
      <c r="J26" s="272"/>
      <c r="K26" s="272"/>
      <c r="L26" s="272"/>
      <c r="M26" s="272"/>
      <c r="N26" s="272"/>
      <c r="O26" s="300"/>
      <c r="P26" s="284"/>
      <c r="Q26" s="284"/>
      <c r="R26" s="275"/>
      <c r="S26" s="288"/>
      <c r="T26" s="301"/>
      <c r="U26" s="277"/>
      <c r="V26" s="278"/>
      <c r="W26" s="275"/>
      <c r="X26" s="288"/>
      <c r="Y26" s="299"/>
      <c r="Z26" s="288"/>
    </row>
    <row r="27" spans="1:26">
      <c r="A27" s="8">
        <v>18</v>
      </c>
      <c r="B27" s="268" t="s">
        <v>1413</v>
      </c>
      <c r="C27" s="268" t="s">
        <v>1414</v>
      </c>
      <c r="D27" s="269">
        <v>7025.21</v>
      </c>
      <c r="E27" s="270">
        <v>4262.29</v>
      </c>
      <c r="F27" s="270">
        <v>44902.51</v>
      </c>
      <c r="G27" s="270">
        <v>-12102.300000000001</v>
      </c>
      <c r="H27" s="270">
        <v>80907.680000000008</v>
      </c>
      <c r="I27" s="271">
        <v>29116.46</v>
      </c>
      <c r="J27" s="272">
        <v>44197.88</v>
      </c>
      <c r="K27" s="272">
        <v>44197.88</v>
      </c>
      <c r="L27" s="272">
        <v>44197.88</v>
      </c>
      <c r="M27" s="272">
        <v>44197.88</v>
      </c>
      <c r="N27" s="272">
        <v>44197.88</v>
      </c>
      <c r="O27" s="272">
        <v>126897.23</v>
      </c>
      <c r="P27" s="274"/>
      <c r="Q27" s="274"/>
      <c r="R27" s="275">
        <v>501998.48</v>
      </c>
      <c r="S27" s="268"/>
      <c r="T27" s="276"/>
      <c r="U27" s="277">
        <f t="shared" ref="U27:U90" si="6">SUM(D27:I27)</f>
        <v>154111.85</v>
      </c>
      <c r="V27" s="278">
        <f t="shared" ref="V27:V90" si="7">SUM(J27:O27)</f>
        <v>347886.63</v>
      </c>
      <c r="W27" s="275">
        <f t="shared" ref="W27:W90" si="8">U27+V27</f>
        <v>501998.48</v>
      </c>
      <c r="X27" s="268"/>
      <c r="Y27" s="280"/>
      <c r="Z27" s="268"/>
    </row>
    <row r="28" spans="1:26">
      <c r="A28" s="8">
        <v>19</v>
      </c>
      <c r="B28" s="268" t="s">
        <v>1413</v>
      </c>
      <c r="C28" s="268" t="s">
        <v>1415</v>
      </c>
      <c r="D28" s="269">
        <v>0</v>
      </c>
      <c r="E28" s="270">
        <v>0</v>
      </c>
      <c r="F28" s="270">
        <v>0</v>
      </c>
      <c r="G28" s="270">
        <v>0</v>
      </c>
      <c r="H28" s="270">
        <v>0</v>
      </c>
      <c r="I28" s="271">
        <v>0</v>
      </c>
      <c r="J28" s="272">
        <v>6324.5</v>
      </c>
      <c r="K28" s="272">
        <v>6324.5</v>
      </c>
      <c r="L28" s="272">
        <v>6324.5</v>
      </c>
      <c r="M28" s="272">
        <v>6324.5</v>
      </c>
      <c r="N28" s="272">
        <v>6324.5</v>
      </c>
      <c r="O28" s="272">
        <v>6324.5</v>
      </c>
      <c r="P28" s="274"/>
      <c r="Q28" s="274"/>
      <c r="R28" s="275">
        <v>37947</v>
      </c>
      <c r="S28" s="268"/>
      <c r="T28" s="276"/>
      <c r="U28" s="277">
        <f t="shared" si="6"/>
        <v>0</v>
      </c>
      <c r="V28" s="278">
        <f t="shared" si="7"/>
        <v>37947</v>
      </c>
      <c r="W28" s="275">
        <f t="shared" si="8"/>
        <v>37947</v>
      </c>
      <c r="X28" s="268"/>
      <c r="Y28" s="280"/>
      <c r="Z28" s="268"/>
    </row>
    <row r="29" spans="1:26">
      <c r="A29" s="8">
        <v>20</v>
      </c>
      <c r="B29" s="268" t="s">
        <v>1413</v>
      </c>
      <c r="C29" s="268" t="s">
        <v>1416</v>
      </c>
      <c r="D29" s="269">
        <v>3394.29</v>
      </c>
      <c r="E29" s="270">
        <v>239.51</v>
      </c>
      <c r="F29" s="270">
        <v>23740.81</v>
      </c>
      <c r="G29" s="270">
        <v>58620.25</v>
      </c>
      <c r="H29" s="270">
        <v>42423.87</v>
      </c>
      <c r="I29" s="271">
        <v>15083.32</v>
      </c>
      <c r="J29" s="272">
        <v>32939.26</v>
      </c>
      <c r="K29" s="272">
        <v>32939.26</v>
      </c>
      <c r="L29" s="272">
        <v>32939.26</v>
      </c>
      <c r="M29" s="272">
        <v>32939.26</v>
      </c>
      <c r="N29" s="272">
        <v>32939.26</v>
      </c>
      <c r="O29" s="272">
        <v>88543</v>
      </c>
      <c r="P29" s="274"/>
      <c r="Q29" s="274"/>
      <c r="R29" s="275">
        <v>396741.35000000003</v>
      </c>
      <c r="S29" s="268"/>
      <c r="T29" s="276"/>
      <c r="U29" s="277">
        <f t="shared" si="6"/>
        <v>143502.05000000002</v>
      </c>
      <c r="V29" s="278">
        <f t="shared" si="7"/>
        <v>253239.30000000002</v>
      </c>
      <c r="W29" s="275">
        <f t="shared" si="8"/>
        <v>396741.35000000003</v>
      </c>
      <c r="X29" s="268"/>
      <c r="Y29" s="280"/>
      <c r="Z29" s="268"/>
    </row>
    <row r="30" spans="1:26">
      <c r="A30" s="8">
        <v>21</v>
      </c>
      <c r="B30" s="268" t="s">
        <v>1413</v>
      </c>
      <c r="C30" s="268" t="s">
        <v>1417</v>
      </c>
      <c r="D30" s="269">
        <v>0</v>
      </c>
      <c r="E30" s="270">
        <v>0</v>
      </c>
      <c r="F30" s="270">
        <v>0</v>
      </c>
      <c r="G30" s="270">
        <v>0</v>
      </c>
      <c r="H30" s="270">
        <v>0</v>
      </c>
      <c r="I30" s="271">
        <v>0</v>
      </c>
      <c r="J30" s="272">
        <v>0</v>
      </c>
      <c r="K30" s="272">
        <v>0</v>
      </c>
      <c r="L30" s="272">
        <v>0</v>
      </c>
      <c r="M30" s="272">
        <v>0</v>
      </c>
      <c r="N30" s="272">
        <v>0</v>
      </c>
      <c r="O30" s="272">
        <v>69109.960000000006</v>
      </c>
      <c r="P30" s="274"/>
      <c r="Q30" s="274"/>
      <c r="R30" s="275">
        <v>69109.960000000006</v>
      </c>
      <c r="S30" s="268"/>
      <c r="T30" s="276"/>
      <c r="U30" s="277">
        <f t="shared" si="6"/>
        <v>0</v>
      </c>
      <c r="V30" s="278">
        <f t="shared" si="7"/>
        <v>69109.960000000006</v>
      </c>
      <c r="W30" s="275">
        <f t="shared" si="8"/>
        <v>69109.960000000006</v>
      </c>
      <c r="X30" s="268"/>
      <c r="Y30" s="280"/>
      <c r="Z30" s="268"/>
    </row>
    <row r="31" spans="1:26">
      <c r="A31" s="8">
        <v>22</v>
      </c>
      <c r="B31" s="268" t="s">
        <v>1413</v>
      </c>
      <c r="C31" s="268" t="s">
        <v>1418</v>
      </c>
      <c r="D31" s="269">
        <v>-4237.34</v>
      </c>
      <c r="E31" s="270">
        <v>0</v>
      </c>
      <c r="F31" s="270">
        <v>0</v>
      </c>
      <c r="G31" s="270">
        <v>291.43</v>
      </c>
      <c r="H31" s="270">
        <v>0</v>
      </c>
      <c r="I31" s="271">
        <v>0</v>
      </c>
      <c r="J31" s="272">
        <v>0</v>
      </c>
      <c r="K31" s="272">
        <v>0</v>
      </c>
      <c r="L31" s="272">
        <v>0</v>
      </c>
      <c r="M31" s="272">
        <v>0</v>
      </c>
      <c r="N31" s="272">
        <v>0</v>
      </c>
      <c r="O31" s="272">
        <v>110766.16</v>
      </c>
      <c r="P31" s="274"/>
      <c r="Q31" s="274"/>
      <c r="R31" s="275">
        <v>106820.25</v>
      </c>
      <c r="S31" s="268"/>
      <c r="T31" s="276"/>
      <c r="U31" s="277">
        <f t="shared" si="6"/>
        <v>-3945.9100000000003</v>
      </c>
      <c r="V31" s="278">
        <f t="shared" si="7"/>
        <v>110766.16</v>
      </c>
      <c r="W31" s="275">
        <f t="shared" si="8"/>
        <v>106820.25</v>
      </c>
      <c r="X31" s="268"/>
      <c r="Y31" s="280"/>
      <c r="Z31" s="268"/>
    </row>
    <row r="32" spans="1:26">
      <c r="A32" s="8">
        <v>23</v>
      </c>
      <c r="B32" s="268" t="s">
        <v>1413</v>
      </c>
      <c r="C32" s="268" t="s">
        <v>1419</v>
      </c>
      <c r="D32" s="269">
        <v>97360.1</v>
      </c>
      <c r="E32" s="270">
        <v>26649.760000000002</v>
      </c>
      <c r="F32" s="270">
        <v>192426.7</v>
      </c>
      <c r="G32" s="270">
        <v>31603.49</v>
      </c>
      <c r="H32" s="270">
        <v>193926.27</v>
      </c>
      <c r="I32" s="271">
        <v>172868.14</v>
      </c>
      <c r="J32" s="272">
        <v>116785.69</v>
      </c>
      <c r="K32" s="272">
        <v>116785.69</v>
      </c>
      <c r="L32" s="272">
        <v>116785.69</v>
      </c>
      <c r="M32" s="272">
        <v>116785.69</v>
      </c>
      <c r="N32" s="272">
        <v>116785.69</v>
      </c>
      <c r="O32" s="272">
        <v>116785.69</v>
      </c>
      <c r="P32" s="274"/>
      <c r="Q32" s="274"/>
      <c r="R32" s="275">
        <v>1415548.6</v>
      </c>
      <c r="S32" s="268"/>
      <c r="T32" s="276"/>
      <c r="U32" s="277">
        <f t="shared" si="6"/>
        <v>714834.46000000008</v>
      </c>
      <c r="V32" s="278">
        <f t="shared" si="7"/>
        <v>700714.1399999999</v>
      </c>
      <c r="W32" s="275">
        <f t="shared" si="8"/>
        <v>1415548.6</v>
      </c>
      <c r="X32" s="268"/>
      <c r="Y32" s="280"/>
      <c r="Z32" s="268"/>
    </row>
    <row r="33" spans="1:26">
      <c r="A33" s="8">
        <v>24</v>
      </c>
      <c r="B33" s="268" t="s">
        <v>1413</v>
      </c>
      <c r="C33" s="268" t="s">
        <v>1420</v>
      </c>
      <c r="D33" s="269">
        <v>10533.15</v>
      </c>
      <c r="E33" s="270">
        <v>5840.72</v>
      </c>
      <c r="F33" s="270">
        <v>17174.099999999999</v>
      </c>
      <c r="G33" s="270">
        <v>17213.68</v>
      </c>
      <c r="H33" s="270">
        <v>34235.57</v>
      </c>
      <c r="I33" s="271">
        <v>51626.239999999998</v>
      </c>
      <c r="J33" s="272">
        <v>19827.310000000001</v>
      </c>
      <c r="K33" s="272">
        <v>19827.310000000001</v>
      </c>
      <c r="L33" s="272">
        <v>19827.310000000001</v>
      </c>
      <c r="M33" s="272">
        <v>19827.310000000001</v>
      </c>
      <c r="N33" s="272">
        <v>19827.310000000001</v>
      </c>
      <c r="O33" s="272">
        <v>19827.310000000001</v>
      </c>
      <c r="P33" s="274"/>
      <c r="Q33" s="274"/>
      <c r="R33" s="275">
        <v>255587.32</v>
      </c>
      <c r="S33" s="268"/>
      <c r="T33" s="276"/>
      <c r="U33" s="277">
        <f t="shared" si="6"/>
        <v>136623.46</v>
      </c>
      <c r="V33" s="278">
        <f t="shared" si="7"/>
        <v>118963.86</v>
      </c>
      <c r="W33" s="275">
        <f t="shared" si="8"/>
        <v>255587.32</v>
      </c>
      <c r="X33" s="268"/>
      <c r="Y33" s="280"/>
      <c r="Z33" s="268"/>
    </row>
    <row r="34" spans="1:26">
      <c r="A34" s="8">
        <v>25</v>
      </c>
      <c r="B34" s="268" t="s">
        <v>1413</v>
      </c>
      <c r="C34" s="268" t="s">
        <v>1421</v>
      </c>
      <c r="D34" s="269">
        <v>3622.07</v>
      </c>
      <c r="E34" s="270">
        <v>9555.98</v>
      </c>
      <c r="F34" s="270">
        <v>7372.41</v>
      </c>
      <c r="G34" s="270">
        <v>20552.5</v>
      </c>
      <c r="H34" s="270">
        <v>23622.99</v>
      </c>
      <c r="I34" s="271">
        <v>6922.1</v>
      </c>
      <c r="J34" s="272">
        <v>7589.4000000000005</v>
      </c>
      <c r="K34" s="272">
        <v>7589.4000000000005</v>
      </c>
      <c r="L34" s="272">
        <v>7589.4000000000005</v>
      </c>
      <c r="M34" s="272">
        <v>7589.4000000000005</v>
      </c>
      <c r="N34" s="272">
        <v>7589.4000000000005</v>
      </c>
      <c r="O34" s="272">
        <v>7589.4000000000005</v>
      </c>
      <c r="P34" s="274"/>
      <c r="Q34" s="274"/>
      <c r="R34" s="275">
        <v>117184.45</v>
      </c>
      <c r="S34" s="268"/>
      <c r="T34" s="276"/>
      <c r="U34" s="277">
        <f t="shared" si="6"/>
        <v>71648.05</v>
      </c>
      <c r="V34" s="278">
        <f t="shared" si="7"/>
        <v>45536.4</v>
      </c>
      <c r="W34" s="275">
        <f t="shared" si="8"/>
        <v>117184.45000000001</v>
      </c>
      <c r="X34" s="268"/>
      <c r="Y34" s="280"/>
      <c r="Z34" s="268"/>
    </row>
    <row r="35" spans="1:26">
      <c r="A35" s="8">
        <v>26</v>
      </c>
      <c r="B35" s="268" t="s">
        <v>1413</v>
      </c>
      <c r="C35" s="268" t="s">
        <v>1422</v>
      </c>
      <c r="D35" s="269">
        <v>11115.52</v>
      </c>
      <c r="E35" s="270">
        <v>2703.19</v>
      </c>
      <c r="F35" s="270">
        <v>45201.42</v>
      </c>
      <c r="G35" s="270">
        <v>17931.8</v>
      </c>
      <c r="H35" s="270">
        <v>111877.54000000001</v>
      </c>
      <c r="I35" s="271">
        <v>62225.42</v>
      </c>
      <c r="J35" s="272">
        <v>37947</v>
      </c>
      <c r="K35" s="272">
        <v>37947</v>
      </c>
      <c r="L35" s="272">
        <v>37947</v>
      </c>
      <c r="M35" s="272">
        <v>37947</v>
      </c>
      <c r="N35" s="272">
        <v>37947</v>
      </c>
      <c r="O35" s="272">
        <v>37947</v>
      </c>
      <c r="P35" s="274"/>
      <c r="Q35" s="274"/>
      <c r="R35" s="275">
        <v>478736.89</v>
      </c>
      <c r="S35" s="268"/>
      <c r="T35" s="276"/>
      <c r="U35" s="277">
        <f t="shared" si="6"/>
        <v>251054.89</v>
      </c>
      <c r="V35" s="278">
        <f t="shared" si="7"/>
        <v>227682</v>
      </c>
      <c r="W35" s="275">
        <f t="shared" si="8"/>
        <v>478736.89</v>
      </c>
      <c r="X35" s="268"/>
      <c r="Y35" s="280"/>
      <c r="Z35" s="268"/>
    </row>
    <row r="36" spans="1:26">
      <c r="A36" s="8">
        <v>27</v>
      </c>
      <c r="B36" s="268" t="s">
        <v>1413</v>
      </c>
      <c r="C36" s="268" t="s">
        <v>1423</v>
      </c>
      <c r="D36" s="269">
        <v>5782.16</v>
      </c>
      <c r="E36" s="270">
        <v>15529</v>
      </c>
      <c r="F36" s="270">
        <v>0</v>
      </c>
      <c r="G36" s="270">
        <v>0</v>
      </c>
      <c r="H36" s="270">
        <v>4292.18</v>
      </c>
      <c r="I36" s="271">
        <v>10611.68</v>
      </c>
      <c r="J36" s="272">
        <v>5270.42</v>
      </c>
      <c r="K36" s="272">
        <v>5270.42</v>
      </c>
      <c r="L36" s="272">
        <v>5270.42</v>
      </c>
      <c r="M36" s="272">
        <v>5270.42</v>
      </c>
      <c r="N36" s="272">
        <v>5270.42</v>
      </c>
      <c r="O36" s="272">
        <v>5270.42</v>
      </c>
      <c r="P36" s="274"/>
      <c r="Q36" s="274"/>
      <c r="R36" s="275">
        <v>67837.540000000008</v>
      </c>
      <c r="S36" s="268"/>
      <c r="T36" s="276"/>
      <c r="U36" s="277">
        <f t="shared" si="6"/>
        <v>36215.020000000004</v>
      </c>
      <c r="V36" s="278">
        <f t="shared" si="7"/>
        <v>31622.519999999997</v>
      </c>
      <c r="W36" s="275">
        <f t="shared" si="8"/>
        <v>67837.540000000008</v>
      </c>
      <c r="X36" s="268"/>
      <c r="Y36" s="280"/>
      <c r="Z36" s="268"/>
    </row>
    <row r="37" spans="1:26">
      <c r="A37" s="8">
        <v>28</v>
      </c>
      <c r="B37" s="268" t="s">
        <v>1413</v>
      </c>
      <c r="C37" s="268" t="s">
        <v>1424</v>
      </c>
      <c r="D37" s="269">
        <v>4129.54</v>
      </c>
      <c r="E37" s="270">
        <v>315.92</v>
      </c>
      <c r="F37" s="270">
        <v>18598.36</v>
      </c>
      <c r="G37" s="270">
        <v>2754.36</v>
      </c>
      <c r="H37" s="270">
        <v>4024.1600000000003</v>
      </c>
      <c r="I37" s="271">
        <v>13219.57</v>
      </c>
      <c r="J37" s="272">
        <v>4005.52</v>
      </c>
      <c r="K37" s="272">
        <v>4005.52</v>
      </c>
      <c r="L37" s="272">
        <v>4005.52</v>
      </c>
      <c r="M37" s="272">
        <v>4005.52</v>
      </c>
      <c r="N37" s="272">
        <v>4005.52</v>
      </c>
      <c r="O37" s="272">
        <v>4005.52</v>
      </c>
      <c r="P37" s="274"/>
      <c r="Q37" s="274"/>
      <c r="R37" s="275">
        <v>67075.03</v>
      </c>
      <c r="S37" s="268"/>
      <c r="T37" s="276"/>
      <c r="U37" s="277">
        <f t="shared" si="6"/>
        <v>43041.91</v>
      </c>
      <c r="V37" s="278">
        <f t="shared" si="7"/>
        <v>24033.119999999999</v>
      </c>
      <c r="W37" s="275">
        <f t="shared" si="8"/>
        <v>67075.03</v>
      </c>
      <c r="X37" s="268"/>
      <c r="Y37" s="280"/>
      <c r="Z37" s="268"/>
    </row>
    <row r="38" spans="1:26">
      <c r="A38" s="8">
        <v>29</v>
      </c>
      <c r="B38" s="268" t="s">
        <v>1413</v>
      </c>
      <c r="C38" s="268" t="s">
        <v>1425</v>
      </c>
      <c r="D38" s="269">
        <v>128777.05</v>
      </c>
      <c r="E38" s="270">
        <v>199095.2</v>
      </c>
      <c r="F38" s="270">
        <v>212719.1</v>
      </c>
      <c r="G38" s="270">
        <v>537905.22</v>
      </c>
      <c r="H38" s="270">
        <v>289073.14</v>
      </c>
      <c r="I38" s="271">
        <v>512652.10000000003</v>
      </c>
      <c r="J38" s="272">
        <v>88395.77</v>
      </c>
      <c r="K38" s="272">
        <v>88395.77</v>
      </c>
      <c r="L38" s="272">
        <v>88395.77</v>
      </c>
      <c r="M38" s="272">
        <v>88395.77</v>
      </c>
      <c r="N38" s="272">
        <v>88395.77</v>
      </c>
      <c r="O38" s="272">
        <v>88395.77</v>
      </c>
      <c r="P38" s="273">
        <v>46022</v>
      </c>
      <c r="Q38" s="274">
        <v>376</v>
      </c>
      <c r="R38" s="275">
        <v>2410596.4300000002</v>
      </c>
      <c r="S38" s="268"/>
      <c r="T38" s="276">
        <f>+R38</f>
        <v>2410596.4300000002</v>
      </c>
      <c r="U38" s="277">
        <f t="shared" si="6"/>
        <v>1880221.81</v>
      </c>
      <c r="V38" s="278">
        <f t="shared" si="7"/>
        <v>530374.62</v>
      </c>
      <c r="W38" s="275">
        <f t="shared" si="8"/>
        <v>2410596.4300000002</v>
      </c>
      <c r="X38" s="268"/>
      <c r="Y38" s="280" t="s">
        <v>1426</v>
      </c>
      <c r="Z38" s="268"/>
    </row>
    <row r="39" spans="1:26">
      <c r="A39" s="8">
        <v>30</v>
      </c>
      <c r="B39" s="268" t="s">
        <v>1413</v>
      </c>
      <c r="C39" s="268" t="s">
        <v>1427</v>
      </c>
      <c r="D39" s="269">
        <v>40580.67</v>
      </c>
      <c r="E39" s="270">
        <v>3314.71</v>
      </c>
      <c r="F39" s="270">
        <v>256.88</v>
      </c>
      <c r="G39" s="270">
        <v>32158</v>
      </c>
      <c r="H39" s="270">
        <v>11349.61</v>
      </c>
      <c r="I39" s="271">
        <v>8247.75</v>
      </c>
      <c r="J39" s="272">
        <v>13913.9</v>
      </c>
      <c r="K39" s="272">
        <v>13913.9</v>
      </c>
      <c r="L39" s="272">
        <v>13913.9</v>
      </c>
      <c r="M39" s="272">
        <v>13913.9</v>
      </c>
      <c r="N39" s="272">
        <v>13913.9</v>
      </c>
      <c r="O39" s="272">
        <v>13913.9</v>
      </c>
      <c r="P39" s="273">
        <v>46022</v>
      </c>
      <c r="Q39" s="274">
        <v>376</v>
      </c>
      <c r="R39" s="275">
        <v>179391.02</v>
      </c>
      <c r="S39" s="268"/>
      <c r="T39" s="276">
        <f t="shared" ref="T39:T47" si="9">+R39</f>
        <v>179391.02</v>
      </c>
      <c r="U39" s="277">
        <f t="shared" si="6"/>
        <v>95907.62</v>
      </c>
      <c r="V39" s="278">
        <f t="shared" si="7"/>
        <v>83483.399999999994</v>
      </c>
      <c r="W39" s="275">
        <f t="shared" si="8"/>
        <v>179391.02</v>
      </c>
      <c r="X39" s="276">
        <f t="shared" ref="X39:X40" si="10">+T39</f>
        <v>179391.02</v>
      </c>
      <c r="Y39" s="280" t="s">
        <v>1428</v>
      </c>
      <c r="Z39" s="268"/>
    </row>
    <row r="40" spans="1:26">
      <c r="A40" s="8">
        <v>31</v>
      </c>
      <c r="B40" s="268" t="s">
        <v>1413</v>
      </c>
      <c r="C40" s="268" t="s">
        <v>1429</v>
      </c>
      <c r="D40" s="269">
        <v>55687.64</v>
      </c>
      <c r="E40" s="270">
        <v>82878.48</v>
      </c>
      <c r="F40" s="270">
        <v>35242.370000000003</v>
      </c>
      <c r="G40" s="270">
        <v>199515.2</v>
      </c>
      <c r="H40" s="270">
        <v>124679.45</v>
      </c>
      <c r="I40" s="271">
        <v>287916.64</v>
      </c>
      <c r="J40" s="272">
        <v>103420.76000000001</v>
      </c>
      <c r="K40" s="272">
        <v>103420.76000000001</v>
      </c>
      <c r="L40" s="272">
        <v>103420.76000000001</v>
      </c>
      <c r="M40" s="272">
        <v>103420.76000000001</v>
      </c>
      <c r="N40" s="272">
        <v>103420.76000000001</v>
      </c>
      <c r="O40" s="272">
        <v>170761.5</v>
      </c>
      <c r="P40" s="273">
        <v>46022</v>
      </c>
      <c r="Q40" s="274">
        <v>376</v>
      </c>
      <c r="R40" s="275">
        <v>1473785.08</v>
      </c>
      <c r="S40" s="268"/>
      <c r="T40" s="276">
        <f t="shared" si="9"/>
        <v>1473785.08</v>
      </c>
      <c r="U40" s="277">
        <f t="shared" si="6"/>
        <v>785919.78</v>
      </c>
      <c r="V40" s="278">
        <f t="shared" si="7"/>
        <v>687865.3</v>
      </c>
      <c r="W40" s="275">
        <f t="shared" si="8"/>
        <v>1473785.08</v>
      </c>
      <c r="X40" s="276">
        <f t="shared" si="10"/>
        <v>1473785.08</v>
      </c>
      <c r="Y40" s="280" t="s">
        <v>1428</v>
      </c>
      <c r="Z40" s="268"/>
    </row>
    <row r="41" spans="1:26">
      <c r="A41" s="8">
        <v>32</v>
      </c>
      <c r="B41" s="268" t="s">
        <v>1413</v>
      </c>
      <c r="C41" s="268" t="s">
        <v>1430</v>
      </c>
      <c r="D41" s="269">
        <v>0</v>
      </c>
      <c r="E41" s="270">
        <v>0</v>
      </c>
      <c r="F41" s="270">
        <v>0</v>
      </c>
      <c r="G41" s="270">
        <v>0</v>
      </c>
      <c r="H41" s="270">
        <v>0</v>
      </c>
      <c r="I41" s="271">
        <v>0</v>
      </c>
      <c r="J41" s="272">
        <v>4148.87</v>
      </c>
      <c r="K41" s="272">
        <v>4148.87</v>
      </c>
      <c r="L41" s="272">
        <v>4148.87</v>
      </c>
      <c r="M41" s="272">
        <v>4148.87</v>
      </c>
      <c r="N41" s="272">
        <v>4148.87</v>
      </c>
      <c r="O41" s="272">
        <v>11257.61</v>
      </c>
      <c r="P41" s="273">
        <v>44561</v>
      </c>
      <c r="Q41" s="274"/>
      <c r="R41" s="275">
        <v>32001.96</v>
      </c>
      <c r="S41" s="268"/>
      <c r="T41" s="276">
        <f t="shared" si="9"/>
        <v>32001.96</v>
      </c>
      <c r="U41" s="277">
        <f t="shared" si="6"/>
        <v>0</v>
      </c>
      <c r="V41" s="278">
        <f t="shared" si="7"/>
        <v>32001.96</v>
      </c>
      <c r="W41" s="275">
        <f t="shared" si="8"/>
        <v>32001.96</v>
      </c>
      <c r="X41" s="268"/>
      <c r="Y41" s="280" t="s">
        <v>1426</v>
      </c>
      <c r="Z41" s="268"/>
    </row>
    <row r="42" spans="1:26">
      <c r="A42" s="8">
        <v>33</v>
      </c>
      <c r="B42" s="268" t="s">
        <v>1413</v>
      </c>
      <c r="C42" s="268" t="s">
        <v>1431</v>
      </c>
      <c r="D42" s="269">
        <v>3196.17</v>
      </c>
      <c r="E42" s="270">
        <v>14268.12</v>
      </c>
      <c r="F42" s="270">
        <v>35800.400000000001</v>
      </c>
      <c r="G42" s="270">
        <v>19489.97</v>
      </c>
      <c r="H42" s="270">
        <v>34540.31</v>
      </c>
      <c r="I42" s="271">
        <v>597.29</v>
      </c>
      <c r="J42" s="272">
        <v>28547.53</v>
      </c>
      <c r="K42" s="272">
        <v>28547.53</v>
      </c>
      <c r="L42" s="272">
        <v>28547.53</v>
      </c>
      <c r="M42" s="272">
        <v>28547.53</v>
      </c>
      <c r="N42" s="272">
        <v>28547.53</v>
      </c>
      <c r="O42" s="272">
        <v>63346.85</v>
      </c>
      <c r="P42" s="273">
        <v>44561</v>
      </c>
      <c r="Q42" s="274">
        <v>378</v>
      </c>
      <c r="R42" s="275">
        <v>313976.76</v>
      </c>
      <c r="S42" s="268"/>
      <c r="T42" s="276">
        <f t="shared" si="9"/>
        <v>313976.76</v>
      </c>
      <c r="U42" s="277">
        <f t="shared" si="6"/>
        <v>107892.26</v>
      </c>
      <c r="V42" s="278">
        <f t="shared" si="7"/>
        <v>206084.5</v>
      </c>
      <c r="W42" s="275">
        <f t="shared" si="8"/>
        <v>313976.76</v>
      </c>
      <c r="X42" s="276">
        <f t="shared" ref="X42" si="11">+T42</f>
        <v>313976.76</v>
      </c>
      <c r="Y42" s="280">
        <v>1</v>
      </c>
      <c r="Z42" s="268"/>
    </row>
    <row r="43" spans="1:26">
      <c r="A43" s="8">
        <v>34</v>
      </c>
      <c r="B43" s="268" t="s">
        <v>1413</v>
      </c>
      <c r="C43" s="268" t="s">
        <v>1432</v>
      </c>
      <c r="D43" s="269">
        <v>425471.21</v>
      </c>
      <c r="E43" s="270">
        <v>427992.8</v>
      </c>
      <c r="F43" s="270">
        <v>801069.6</v>
      </c>
      <c r="G43" s="270">
        <v>583642.74</v>
      </c>
      <c r="H43" s="270">
        <v>976127.56</v>
      </c>
      <c r="I43" s="271">
        <v>830737.68</v>
      </c>
      <c r="J43" s="272">
        <v>406853.45</v>
      </c>
      <c r="K43" s="272">
        <v>406853.45</v>
      </c>
      <c r="L43" s="272">
        <v>406853.45</v>
      </c>
      <c r="M43" s="272">
        <v>406853.45</v>
      </c>
      <c r="N43" s="272">
        <v>406853.45</v>
      </c>
      <c r="O43" s="272">
        <v>406853.45</v>
      </c>
      <c r="P43" s="273">
        <v>46022</v>
      </c>
      <c r="Q43" s="274">
        <v>380</v>
      </c>
      <c r="R43" s="275">
        <v>6486162.29</v>
      </c>
      <c r="S43" s="268"/>
      <c r="T43" s="276">
        <f t="shared" si="9"/>
        <v>6486162.29</v>
      </c>
      <c r="U43" s="277">
        <f t="shared" si="6"/>
        <v>4045041.59</v>
      </c>
      <c r="V43" s="278">
        <f t="shared" si="7"/>
        <v>2441120.7000000002</v>
      </c>
      <c r="W43" s="275">
        <f t="shared" si="8"/>
        <v>6486162.29</v>
      </c>
      <c r="X43" s="268"/>
      <c r="Y43" s="280" t="s">
        <v>1426</v>
      </c>
      <c r="Z43" s="268"/>
    </row>
    <row r="44" spans="1:26">
      <c r="A44" s="8">
        <v>35</v>
      </c>
      <c r="B44" s="268" t="s">
        <v>1413</v>
      </c>
      <c r="C44" s="268" t="s">
        <v>1433</v>
      </c>
      <c r="D44" s="269">
        <v>16055.460000000001</v>
      </c>
      <c r="E44" s="270">
        <v>10871.14</v>
      </c>
      <c r="F44" s="270">
        <v>12512.68</v>
      </c>
      <c r="G44" s="270">
        <v>11191.84</v>
      </c>
      <c r="H44" s="270">
        <v>12369.720000000001</v>
      </c>
      <c r="I44" s="271">
        <v>9354.7199999999993</v>
      </c>
      <c r="J44" s="272">
        <v>10540.83</v>
      </c>
      <c r="K44" s="272">
        <v>10540.83</v>
      </c>
      <c r="L44" s="272">
        <v>10540.83</v>
      </c>
      <c r="M44" s="272">
        <v>10540.83</v>
      </c>
      <c r="N44" s="272">
        <v>10540.83</v>
      </c>
      <c r="O44" s="272">
        <v>10540.83</v>
      </c>
      <c r="P44" s="273">
        <v>46022</v>
      </c>
      <c r="Q44" s="274">
        <v>385</v>
      </c>
      <c r="R44" s="275">
        <v>135600.54</v>
      </c>
      <c r="S44" s="268"/>
      <c r="T44" s="276">
        <f t="shared" si="9"/>
        <v>135600.54</v>
      </c>
      <c r="U44" s="277">
        <f t="shared" si="6"/>
        <v>72355.56</v>
      </c>
      <c r="V44" s="278">
        <f t="shared" si="7"/>
        <v>63244.98</v>
      </c>
      <c r="W44" s="275">
        <f t="shared" si="8"/>
        <v>135600.54</v>
      </c>
      <c r="X44" s="268"/>
      <c r="Y44" s="280" t="s">
        <v>1426</v>
      </c>
      <c r="Z44" s="268"/>
    </row>
    <row r="45" spans="1:26">
      <c r="A45" s="8">
        <v>36</v>
      </c>
      <c r="B45" s="268" t="s">
        <v>1413</v>
      </c>
      <c r="C45" s="268" t="s">
        <v>1434</v>
      </c>
      <c r="D45" s="269">
        <v>53877.35</v>
      </c>
      <c r="E45" s="270">
        <v>44300.14</v>
      </c>
      <c r="F45" s="270">
        <v>118263.37</v>
      </c>
      <c r="G45" s="270">
        <v>54435.64</v>
      </c>
      <c r="H45" s="270">
        <v>108146.2</v>
      </c>
      <c r="I45" s="271">
        <v>56643.76</v>
      </c>
      <c r="J45" s="272">
        <v>72099.3</v>
      </c>
      <c r="K45" s="272">
        <v>72099.3</v>
      </c>
      <c r="L45" s="272">
        <v>72099.3</v>
      </c>
      <c r="M45" s="272">
        <v>72099.3</v>
      </c>
      <c r="N45" s="272">
        <v>72099.3</v>
      </c>
      <c r="O45" s="272">
        <v>72099.3</v>
      </c>
      <c r="P45" s="273">
        <v>46022</v>
      </c>
      <c r="Q45" s="274">
        <v>385</v>
      </c>
      <c r="R45" s="275">
        <v>868262.26</v>
      </c>
      <c r="S45" s="268"/>
      <c r="T45" s="276">
        <f t="shared" si="9"/>
        <v>868262.26</v>
      </c>
      <c r="U45" s="277">
        <f t="shared" si="6"/>
        <v>435666.46</v>
      </c>
      <c r="V45" s="278">
        <f t="shared" si="7"/>
        <v>432595.8</v>
      </c>
      <c r="W45" s="275">
        <f t="shared" si="8"/>
        <v>868262.26</v>
      </c>
      <c r="X45" s="276">
        <f t="shared" ref="X45" si="12">+T45</f>
        <v>868262.26</v>
      </c>
      <c r="Y45" s="280">
        <v>1</v>
      </c>
      <c r="Z45" s="268"/>
    </row>
    <row r="46" spans="1:26">
      <c r="A46" s="8">
        <v>37</v>
      </c>
      <c r="B46" s="268" t="s">
        <v>1413</v>
      </c>
      <c r="C46" s="268" t="s">
        <v>1435</v>
      </c>
      <c r="D46" s="269">
        <v>7209.58</v>
      </c>
      <c r="E46" s="270">
        <v>11044.86</v>
      </c>
      <c r="F46" s="270">
        <v>12298.220000000001</v>
      </c>
      <c r="G46" s="270">
        <v>5253.38</v>
      </c>
      <c r="H46" s="270">
        <v>4908.74</v>
      </c>
      <c r="I46" s="271">
        <v>24161.05</v>
      </c>
      <c r="J46" s="272">
        <v>14967.98</v>
      </c>
      <c r="K46" s="272">
        <v>14967.98</v>
      </c>
      <c r="L46" s="272">
        <v>14967.98</v>
      </c>
      <c r="M46" s="272">
        <v>14967.98</v>
      </c>
      <c r="N46" s="272">
        <v>14967.98</v>
      </c>
      <c r="O46" s="272">
        <v>14967.98</v>
      </c>
      <c r="P46" s="273">
        <v>46022</v>
      </c>
      <c r="Q46" s="274">
        <v>385</v>
      </c>
      <c r="R46" s="275">
        <v>154683.71</v>
      </c>
      <c r="S46" s="268"/>
      <c r="T46" s="276">
        <f t="shared" si="9"/>
        <v>154683.71</v>
      </c>
      <c r="U46" s="277">
        <f t="shared" si="6"/>
        <v>64875.83</v>
      </c>
      <c r="V46" s="278">
        <f t="shared" si="7"/>
        <v>89807.87999999999</v>
      </c>
      <c r="W46" s="275">
        <f t="shared" si="8"/>
        <v>154683.71</v>
      </c>
      <c r="X46" s="268"/>
      <c r="Y46" s="280" t="s">
        <v>1426</v>
      </c>
      <c r="Z46" s="268"/>
    </row>
    <row r="47" spans="1:26">
      <c r="A47" s="8">
        <v>38</v>
      </c>
      <c r="B47" s="268" t="s">
        <v>1413</v>
      </c>
      <c r="C47" s="268" t="s">
        <v>1436</v>
      </c>
      <c r="D47" s="269">
        <v>8555.82</v>
      </c>
      <c r="E47" s="270">
        <v>9462.36</v>
      </c>
      <c r="F47" s="270">
        <v>10953.56</v>
      </c>
      <c r="G47" s="270">
        <v>19761.36</v>
      </c>
      <c r="H47" s="270">
        <v>28329.13</v>
      </c>
      <c r="I47" s="271">
        <v>38182.980000000003</v>
      </c>
      <c r="J47" s="272">
        <v>10766.210000000001</v>
      </c>
      <c r="K47" s="272">
        <v>10766.210000000001</v>
      </c>
      <c r="L47" s="272">
        <v>10766.210000000001</v>
      </c>
      <c r="M47" s="272">
        <v>10766.210000000001</v>
      </c>
      <c r="N47" s="272">
        <v>10766.210000000001</v>
      </c>
      <c r="O47" s="272">
        <v>10766.210000000001</v>
      </c>
      <c r="P47" s="273">
        <v>46022</v>
      </c>
      <c r="Q47" s="274">
        <v>385</v>
      </c>
      <c r="R47" s="275">
        <v>179842.47</v>
      </c>
      <c r="S47" s="268"/>
      <c r="T47" s="276">
        <f t="shared" si="9"/>
        <v>179842.47</v>
      </c>
      <c r="U47" s="277">
        <f t="shared" si="6"/>
        <v>115245.20999999999</v>
      </c>
      <c r="V47" s="278">
        <f t="shared" si="7"/>
        <v>64597.26</v>
      </c>
      <c r="W47" s="275">
        <f t="shared" si="8"/>
        <v>179842.47</v>
      </c>
      <c r="X47" s="276">
        <f t="shared" ref="X47" si="13">+T47</f>
        <v>179842.47</v>
      </c>
      <c r="Y47" s="280" t="s">
        <v>1428</v>
      </c>
      <c r="Z47" s="268"/>
    </row>
    <row r="48" spans="1:26">
      <c r="A48" s="8">
        <v>39</v>
      </c>
      <c r="B48" s="268" t="s">
        <v>1413</v>
      </c>
      <c r="C48" s="268" t="s">
        <v>1437</v>
      </c>
      <c r="D48" s="269">
        <v>33464.85</v>
      </c>
      <c r="E48" s="270">
        <v>831159.6</v>
      </c>
      <c r="F48" s="270">
        <v>199409.07</v>
      </c>
      <c r="G48" s="270">
        <v>48252.06</v>
      </c>
      <c r="H48" s="270">
        <v>56381.25</v>
      </c>
      <c r="I48" s="271">
        <v>408318.52</v>
      </c>
      <c r="J48" s="272">
        <v>390010.83</v>
      </c>
      <c r="K48" s="272">
        <v>390010.83</v>
      </c>
      <c r="L48" s="272">
        <v>390010.83</v>
      </c>
      <c r="M48" s="272">
        <v>390010.83</v>
      </c>
      <c r="N48" s="272">
        <v>390010.83</v>
      </c>
      <c r="O48" s="272">
        <v>390010.83</v>
      </c>
      <c r="P48" s="273">
        <v>46022</v>
      </c>
      <c r="Q48" s="274"/>
      <c r="R48" s="275">
        <v>3917050.33</v>
      </c>
      <c r="S48" s="986">
        <f>+'State Allocation Formulas'!$L$25</f>
        <v>0.77239999999999998</v>
      </c>
      <c r="T48" s="276">
        <f t="shared" ref="T48:T49" si="14">+R48*S48</f>
        <v>3025529.6748919999</v>
      </c>
      <c r="U48" s="277">
        <f t="shared" si="6"/>
        <v>1576985.35</v>
      </c>
      <c r="V48" s="278">
        <f t="shared" si="7"/>
        <v>2340064.98</v>
      </c>
      <c r="W48" s="275">
        <f t="shared" si="8"/>
        <v>3917050.33</v>
      </c>
      <c r="X48" s="268"/>
      <c r="Y48" s="280" t="s">
        <v>1426</v>
      </c>
      <c r="Z48" s="268"/>
    </row>
    <row r="49" spans="1:26">
      <c r="A49" s="8">
        <v>40</v>
      </c>
      <c r="B49" s="268" t="s">
        <v>1413</v>
      </c>
      <c r="C49" s="268" t="s">
        <v>1438</v>
      </c>
      <c r="D49" s="269">
        <v>16226.91</v>
      </c>
      <c r="E49" s="270">
        <v>78726.98</v>
      </c>
      <c r="F49" s="270">
        <v>47950.559999999998</v>
      </c>
      <c r="G49" s="270">
        <v>32704.15</v>
      </c>
      <c r="H49" s="270">
        <v>38599.06</v>
      </c>
      <c r="I49" s="271">
        <v>43650.64</v>
      </c>
      <c r="J49" s="272">
        <v>30146.78</v>
      </c>
      <c r="K49" s="272">
        <v>30146.78</v>
      </c>
      <c r="L49" s="272">
        <v>30146.78</v>
      </c>
      <c r="M49" s="272">
        <v>30146.78</v>
      </c>
      <c r="N49" s="272">
        <v>30146.78</v>
      </c>
      <c r="O49" s="272">
        <v>30146.78</v>
      </c>
      <c r="P49" s="273">
        <v>46022</v>
      </c>
      <c r="Q49" s="274"/>
      <c r="R49" s="275">
        <v>438738.98</v>
      </c>
      <c r="S49" s="986">
        <f>+'State Allocation Formulas'!$L$25</f>
        <v>0.77239999999999998</v>
      </c>
      <c r="T49" s="276">
        <f t="shared" si="14"/>
        <v>338881.98815199995</v>
      </c>
      <c r="U49" s="277">
        <f t="shared" si="6"/>
        <v>257858.3</v>
      </c>
      <c r="V49" s="278">
        <f t="shared" si="7"/>
        <v>180880.68</v>
      </c>
      <c r="W49" s="275">
        <f t="shared" si="8"/>
        <v>438738.98</v>
      </c>
      <c r="X49" s="268"/>
      <c r="Y49" s="280" t="s">
        <v>1426</v>
      </c>
      <c r="Z49" s="268"/>
    </row>
    <row r="50" spans="1:26">
      <c r="A50" s="8">
        <v>41</v>
      </c>
      <c r="B50" s="268" t="s">
        <v>1413</v>
      </c>
      <c r="C50" s="268" t="s">
        <v>1439</v>
      </c>
      <c r="D50" s="269">
        <v>55182.26</v>
      </c>
      <c r="E50" s="270">
        <v>51675.71</v>
      </c>
      <c r="F50" s="270">
        <v>117859.57</v>
      </c>
      <c r="G50" s="270">
        <v>134681.64000000001</v>
      </c>
      <c r="H50" s="270">
        <v>114745.13</v>
      </c>
      <c r="I50" s="271">
        <v>151471.5</v>
      </c>
      <c r="J50" s="272">
        <v>25375.16</v>
      </c>
      <c r="K50" s="272">
        <v>25375.16</v>
      </c>
      <c r="L50" s="272">
        <v>25375.16</v>
      </c>
      <c r="M50" s="272">
        <v>25375.16</v>
      </c>
      <c r="N50" s="272">
        <v>25375.16</v>
      </c>
      <c r="O50" s="272">
        <v>25375.16</v>
      </c>
      <c r="P50" s="273">
        <v>46022</v>
      </c>
      <c r="Q50" s="274">
        <v>380</v>
      </c>
      <c r="R50" s="275">
        <v>777866.77</v>
      </c>
      <c r="S50" s="268"/>
      <c r="T50" s="276">
        <f t="shared" ref="T50:T53" si="15">+R50</f>
        <v>777866.77</v>
      </c>
      <c r="U50" s="277">
        <f t="shared" si="6"/>
        <v>625615.81000000006</v>
      </c>
      <c r="V50" s="278">
        <f t="shared" si="7"/>
        <v>152250.96</v>
      </c>
      <c r="W50" s="275">
        <f t="shared" si="8"/>
        <v>777866.77</v>
      </c>
      <c r="X50" s="276">
        <f t="shared" ref="X50" si="16">+T50</f>
        <v>777866.77</v>
      </c>
      <c r="Y50" s="280">
        <v>1</v>
      </c>
      <c r="Z50" s="268"/>
    </row>
    <row r="51" spans="1:26">
      <c r="A51" s="8">
        <v>42</v>
      </c>
      <c r="B51" s="268" t="s">
        <v>1413</v>
      </c>
      <c r="C51" s="268" t="s">
        <v>1440</v>
      </c>
      <c r="D51" s="269">
        <v>58.800000000000004</v>
      </c>
      <c r="E51" s="270">
        <v>7802.16</v>
      </c>
      <c r="F51" s="270">
        <v>20236.580000000002</v>
      </c>
      <c r="G51" s="270">
        <v>-49</v>
      </c>
      <c r="H51" s="270">
        <v>1377</v>
      </c>
      <c r="I51" s="271">
        <v>0</v>
      </c>
      <c r="J51" s="272">
        <v>0</v>
      </c>
      <c r="K51" s="272">
        <v>0</v>
      </c>
      <c r="L51" s="272">
        <v>0</v>
      </c>
      <c r="M51" s="272">
        <v>0</v>
      </c>
      <c r="N51" s="272">
        <v>0</v>
      </c>
      <c r="O51" s="272">
        <v>0</v>
      </c>
      <c r="P51" s="273">
        <v>42643</v>
      </c>
      <c r="Q51" s="274">
        <v>376</v>
      </c>
      <c r="R51" s="275">
        <v>29425.54</v>
      </c>
      <c r="S51" s="268"/>
      <c r="T51" s="276">
        <f t="shared" si="15"/>
        <v>29425.54</v>
      </c>
      <c r="U51" s="277">
        <f t="shared" si="6"/>
        <v>29425.54</v>
      </c>
      <c r="V51" s="278">
        <f t="shared" si="7"/>
        <v>0</v>
      </c>
      <c r="W51" s="275">
        <f t="shared" si="8"/>
        <v>29425.54</v>
      </c>
      <c r="X51" s="268"/>
      <c r="Y51" s="280" t="s">
        <v>1441</v>
      </c>
      <c r="Z51" s="268"/>
    </row>
    <row r="52" spans="1:26">
      <c r="A52" s="8">
        <v>43</v>
      </c>
      <c r="B52" s="268" t="s">
        <v>1413</v>
      </c>
      <c r="C52" s="268" t="s">
        <v>1442</v>
      </c>
      <c r="D52" s="269">
        <v>-241.59</v>
      </c>
      <c r="E52" s="270">
        <v>-12212.15</v>
      </c>
      <c r="F52" s="270">
        <v>13201.27</v>
      </c>
      <c r="G52" s="270">
        <v>3359.34</v>
      </c>
      <c r="H52" s="270">
        <v>8699.16</v>
      </c>
      <c r="I52" s="271">
        <v>9996.68</v>
      </c>
      <c r="J52" s="272">
        <v>0</v>
      </c>
      <c r="K52" s="272">
        <v>0</v>
      </c>
      <c r="L52" s="272">
        <v>0</v>
      </c>
      <c r="M52" s="272">
        <v>0</v>
      </c>
      <c r="N52" s="272">
        <v>75000</v>
      </c>
      <c r="O52" s="272">
        <v>0</v>
      </c>
      <c r="P52" s="273">
        <v>43100</v>
      </c>
      <c r="Q52" s="274">
        <v>378</v>
      </c>
      <c r="R52" s="275">
        <v>97802.71</v>
      </c>
      <c r="S52" s="268"/>
      <c r="T52" s="276">
        <f t="shared" si="15"/>
        <v>97802.71</v>
      </c>
      <c r="U52" s="277">
        <f t="shared" si="6"/>
        <v>22802.71</v>
      </c>
      <c r="V52" s="278">
        <f t="shared" si="7"/>
        <v>75000</v>
      </c>
      <c r="W52" s="275">
        <f t="shared" si="8"/>
        <v>97802.709999999992</v>
      </c>
      <c r="X52" s="276">
        <f t="shared" ref="X52" si="17">+T52</f>
        <v>97802.71</v>
      </c>
      <c r="Y52" s="280">
        <v>19</v>
      </c>
      <c r="Z52" s="268"/>
    </row>
    <row r="53" spans="1:26">
      <c r="A53" s="8">
        <v>44</v>
      </c>
      <c r="B53" s="268" t="s">
        <v>1413</v>
      </c>
      <c r="C53" s="268" t="s">
        <v>1443</v>
      </c>
      <c r="D53" s="269">
        <v>0</v>
      </c>
      <c r="E53" s="270">
        <v>3434.7200000000003</v>
      </c>
      <c r="F53" s="270">
        <v>3455.5</v>
      </c>
      <c r="G53" s="270">
        <v>4089.88</v>
      </c>
      <c r="H53" s="270">
        <v>3192.06</v>
      </c>
      <c r="I53" s="271">
        <v>0</v>
      </c>
      <c r="J53" s="272">
        <v>0</v>
      </c>
      <c r="K53" s="272">
        <v>0</v>
      </c>
      <c r="L53" s="272">
        <v>0</v>
      </c>
      <c r="M53" s="272">
        <v>0</v>
      </c>
      <c r="N53" s="272">
        <v>0</v>
      </c>
      <c r="O53" s="272">
        <v>0</v>
      </c>
      <c r="P53" s="273">
        <v>42810</v>
      </c>
      <c r="Q53" s="274">
        <v>376</v>
      </c>
      <c r="R53" s="275">
        <v>14172.16</v>
      </c>
      <c r="S53" s="268"/>
      <c r="T53" s="276">
        <f t="shared" si="15"/>
        <v>14172.16</v>
      </c>
      <c r="U53" s="277">
        <f t="shared" si="6"/>
        <v>14172.16</v>
      </c>
      <c r="V53" s="278">
        <f t="shared" si="7"/>
        <v>0</v>
      </c>
      <c r="W53" s="275">
        <f t="shared" si="8"/>
        <v>14172.16</v>
      </c>
      <c r="X53" s="279"/>
      <c r="Y53" s="280" t="s">
        <v>1444</v>
      </c>
      <c r="Z53" s="268"/>
    </row>
    <row r="54" spans="1:26">
      <c r="A54" s="8">
        <v>45</v>
      </c>
      <c r="B54" s="268" t="s">
        <v>1413</v>
      </c>
      <c r="C54" s="268" t="s">
        <v>1445</v>
      </c>
      <c r="D54" s="269">
        <v>95867.94</v>
      </c>
      <c r="E54" s="270">
        <v>3845.17</v>
      </c>
      <c r="F54" s="270">
        <v>45604.25</v>
      </c>
      <c r="G54" s="270">
        <v>6382.88</v>
      </c>
      <c r="H54" s="270">
        <v>34460.33</v>
      </c>
      <c r="I54" s="271">
        <v>-3542.42</v>
      </c>
      <c r="J54" s="272">
        <v>0</v>
      </c>
      <c r="K54" s="272">
        <v>0</v>
      </c>
      <c r="L54" s="272">
        <v>0</v>
      </c>
      <c r="M54" s="272">
        <v>0</v>
      </c>
      <c r="N54" s="272">
        <v>0</v>
      </c>
      <c r="O54" s="272">
        <v>0</v>
      </c>
      <c r="P54" s="274"/>
      <c r="Q54" s="274"/>
      <c r="R54" s="275">
        <v>182618.15</v>
      </c>
      <c r="S54" s="268"/>
      <c r="T54" s="276"/>
      <c r="U54" s="277">
        <f t="shared" si="6"/>
        <v>182618.15</v>
      </c>
      <c r="V54" s="278">
        <f t="shared" si="7"/>
        <v>0</v>
      </c>
      <c r="W54" s="275">
        <f t="shared" si="8"/>
        <v>182618.15</v>
      </c>
      <c r="X54" s="268"/>
      <c r="Y54" s="280"/>
      <c r="Z54" s="268"/>
    </row>
    <row r="55" spans="1:26">
      <c r="A55" s="8">
        <v>46</v>
      </c>
      <c r="B55" s="268" t="s">
        <v>1413</v>
      </c>
      <c r="C55" s="268" t="s">
        <v>1446</v>
      </c>
      <c r="D55" s="269">
        <v>2409.87</v>
      </c>
      <c r="E55" s="270">
        <v>28588.36</v>
      </c>
      <c r="F55" s="270">
        <v>3748.52</v>
      </c>
      <c r="G55" s="270">
        <v>1542.54</v>
      </c>
      <c r="H55" s="270">
        <v>2553.92</v>
      </c>
      <c r="I55" s="271">
        <v>27719.61</v>
      </c>
      <c r="J55" s="272">
        <v>253141.74000000002</v>
      </c>
      <c r="K55" s="272">
        <v>381027.81</v>
      </c>
      <c r="L55" s="272">
        <v>655082.67000000004</v>
      </c>
      <c r="M55" s="272">
        <v>861079.46</v>
      </c>
      <c r="N55" s="272">
        <v>644470.81000000006</v>
      </c>
      <c r="O55" s="272">
        <v>331800.07</v>
      </c>
      <c r="P55" s="273">
        <v>44531</v>
      </c>
      <c r="Q55" s="274"/>
      <c r="R55" s="275">
        <v>3193165.38</v>
      </c>
      <c r="S55" s="268"/>
      <c r="T55" s="276">
        <f t="shared" ref="T55:T56" si="18">+R55</f>
        <v>3193165.38</v>
      </c>
      <c r="U55" s="277">
        <f t="shared" si="6"/>
        <v>66562.820000000007</v>
      </c>
      <c r="V55" s="278">
        <f t="shared" si="7"/>
        <v>3126602.56</v>
      </c>
      <c r="W55" s="275">
        <f t="shared" si="8"/>
        <v>3193165.38</v>
      </c>
      <c r="X55" s="268"/>
      <c r="Y55" s="280" t="s">
        <v>1441</v>
      </c>
      <c r="Z55" s="268"/>
    </row>
    <row r="56" spans="1:26">
      <c r="A56" s="8">
        <v>47</v>
      </c>
      <c r="B56" s="268" t="s">
        <v>1413</v>
      </c>
      <c r="C56" s="268" t="s">
        <v>1447</v>
      </c>
      <c r="D56" s="269">
        <v>13508.300000000001</v>
      </c>
      <c r="E56" s="270">
        <v>30443.24</v>
      </c>
      <c r="F56" s="270">
        <v>62108.880000000005</v>
      </c>
      <c r="G56" s="270">
        <v>21952.49</v>
      </c>
      <c r="H56" s="270">
        <v>111589.23</v>
      </c>
      <c r="I56" s="271">
        <v>27022.850000000002</v>
      </c>
      <c r="J56" s="272">
        <v>465089.71</v>
      </c>
      <c r="K56" s="272">
        <v>467654.68</v>
      </c>
      <c r="L56" s="272">
        <v>210929.30000000002</v>
      </c>
      <c r="M56" s="272">
        <v>212092.57</v>
      </c>
      <c r="N56" s="272">
        <v>205546.25</v>
      </c>
      <c r="O56" s="272">
        <v>205546.25</v>
      </c>
      <c r="P56" s="273">
        <v>43039</v>
      </c>
      <c r="Q56" s="274"/>
      <c r="R56" s="275">
        <v>2033483.75</v>
      </c>
      <c r="S56" s="268"/>
      <c r="T56" s="276">
        <f t="shared" si="18"/>
        <v>2033483.75</v>
      </c>
      <c r="U56" s="277">
        <f t="shared" si="6"/>
        <v>266624.99</v>
      </c>
      <c r="V56" s="278">
        <f t="shared" si="7"/>
        <v>1766858.76</v>
      </c>
      <c r="W56" s="275">
        <f t="shared" si="8"/>
        <v>2033483.75</v>
      </c>
      <c r="X56" s="268"/>
      <c r="Y56" s="280" t="s">
        <v>1441</v>
      </c>
      <c r="Z56" s="268"/>
    </row>
    <row r="57" spans="1:26">
      <c r="A57" s="8">
        <v>48</v>
      </c>
      <c r="B57" s="268" t="s">
        <v>1413</v>
      </c>
      <c r="C57" s="268" t="s">
        <v>1448</v>
      </c>
      <c r="D57" s="269">
        <v>47821.770000000004</v>
      </c>
      <c r="E57" s="270">
        <v>5899.81</v>
      </c>
      <c r="F57" s="270">
        <v>48333.93</v>
      </c>
      <c r="G57" s="270">
        <v>184273.71</v>
      </c>
      <c r="H57" s="270">
        <v>420724.88</v>
      </c>
      <c r="I57" s="271">
        <v>122117.23</v>
      </c>
      <c r="J57" s="272">
        <v>417942.54000000004</v>
      </c>
      <c r="K57" s="272">
        <v>420247.49</v>
      </c>
      <c r="L57" s="272">
        <v>422565.16000000003</v>
      </c>
      <c r="M57" s="272">
        <v>424895.60000000003</v>
      </c>
      <c r="N57" s="272">
        <v>389291.9</v>
      </c>
      <c r="O57" s="272">
        <v>126490</v>
      </c>
      <c r="P57" s="274"/>
      <c r="Q57" s="274"/>
      <c r="R57" s="275">
        <v>3030604.02</v>
      </c>
      <c r="S57" s="268"/>
      <c r="T57" s="276"/>
      <c r="U57" s="277">
        <f t="shared" si="6"/>
        <v>829171.33</v>
      </c>
      <c r="V57" s="278">
        <f t="shared" si="7"/>
        <v>2201432.69</v>
      </c>
      <c r="W57" s="275">
        <f t="shared" si="8"/>
        <v>3030604.02</v>
      </c>
      <c r="X57" s="268"/>
      <c r="Y57" s="280"/>
      <c r="Z57" s="268"/>
    </row>
    <row r="58" spans="1:26">
      <c r="A58" s="8">
        <v>49</v>
      </c>
      <c r="B58" s="268" t="s">
        <v>1413</v>
      </c>
      <c r="C58" s="268" t="s">
        <v>1449</v>
      </c>
      <c r="D58" s="269">
        <v>161.38</v>
      </c>
      <c r="E58" s="270">
        <v>162.36000000000001</v>
      </c>
      <c r="F58" s="270">
        <v>163.34</v>
      </c>
      <c r="G58" s="270">
        <v>149.82</v>
      </c>
      <c r="H58" s="270">
        <v>150.64000000000001</v>
      </c>
      <c r="I58" s="271">
        <v>151.47999999999999</v>
      </c>
      <c r="J58" s="272">
        <v>152.31</v>
      </c>
      <c r="K58" s="272">
        <v>153.15</v>
      </c>
      <c r="L58" s="272">
        <v>153.99</v>
      </c>
      <c r="M58" s="272">
        <v>31777.350000000002</v>
      </c>
      <c r="N58" s="272">
        <v>31952.59</v>
      </c>
      <c r="O58" s="272">
        <v>506.32</v>
      </c>
      <c r="P58" s="274"/>
      <c r="Q58" s="274"/>
      <c r="R58" s="275">
        <v>65634.73</v>
      </c>
      <c r="S58" s="268"/>
      <c r="T58" s="276"/>
      <c r="U58" s="277">
        <f t="shared" si="6"/>
        <v>939.0200000000001</v>
      </c>
      <c r="V58" s="278">
        <f t="shared" si="7"/>
        <v>64695.71</v>
      </c>
      <c r="W58" s="275">
        <f t="shared" si="8"/>
        <v>65634.73</v>
      </c>
      <c r="X58" s="268"/>
      <c r="Y58" s="280"/>
      <c r="Z58" s="268"/>
    </row>
    <row r="59" spans="1:26">
      <c r="A59" s="8">
        <v>50</v>
      </c>
      <c r="B59" s="268" t="s">
        <v>1413</v>
      </c>
      <c r="C59" s="268" t="s">
        <v>1450</v>
      </c>
      <c r="D59" s="269">
        <v>0</v>
      </c>
      <c r="E59" s="270">
        <v>718.92</v>
      </c>
      <c r="F59" s="270">
        <v>808.77</v>
      </c>
      <c r="G59" s="270">
        <v>0</v>
      </c>
      <c r="H59" s="270">
        <v>447.34000000000003</v>
      </c>
      <c r="I59" s="271">
        <v>0</v>
      </c>
      <c r="J59" s="272">
        <v>0</v>
      </c>
      <c r="K59" s="272">
        <v>0</v>
      </c>
      <c r="L59" s="272">
        <v>0</v>
      </c>
      <c r="M59" s="272">
        <v>0</v>
      </c>
      <c r="N59" s="272">
        <v>0</v>
      </c>
      <c r="O59" s="272">
        <v>0</v>
      </c>
      <c r="P59" s="273">
        <v>42735</v>
      </c>
      <c r="Q59" s="274"/>
      <c r="R59" s="275">
        <v>1975.03</v>
      </c>
      <c r="S59" s="268"/>
      <c r="T59" s="276">
        <f t="shared" ref="T59:T62" si="19">+R59</f>
        <v>1975.03</v>
      </c>
      <c r="U59" s="277">
        <f t="shared" si="6"/>
        <v>1975.0300000000002</v>
      </c>
      <c r="V59" s="278">
        <f t="shared" si="7"/>
        <v>0</v>
      </c>
      <c r="W59" s="275">
        <f t="shared" si="8"/>
        <v>1975.0300000000002</v>
      </c>
      <c r="X59" s="268"/>
      <c r="Y59" s="280" t="s">
        <v>1441</v>
      </c>
      <c r="Z59" s="268"/>
    </row>
    <row r="60" spans="1:26">
      <c r="A60" s="8">
        <v>51</v>
      </c>
      <c r="B60" s="268" t="s">
        <v>1413</v>
      </c>
      <c r="C60" s="268" t="s">
        <v>1451</v>
      </c>
      <c r="D60" s="269">
        <v>0</v>
      </c>
      <c r="E60" s="270">
        <v>0</v>
      </c>
      <c r="F60" s="270">
        <v>0</v>
      </c>
      <c r="G60" s="270">
        <v>0</v>
      </c>
      <c r="H60" s="270">
        <v>52745.33</v>
      </c>
      <c r="I60" s="271">
        <v>6744.02</v>
      </c>
      <c r="J60" s="272">
        <v>306.19</v>
      </c>
      <c r="K60" s="272">
        <v>632757.87</v>
      </c>
      <c r="L60" s="272">
        <v>636247.54</v>
      </c>
      <c r="M60" s="272">
        <v>632450</v>
      </c>
      <c r="N60" s="272">
        <v>0</v>
      </c>
      <c r="O60" s="272">
        <v>0</v>
      </c>
      <c r="P60" s="273">
        <v>42993</v>
      </c>
      <c r="Q60" s="274"/>
      <c r="R60" s="275">
        <v>1961250.9500000002</v>
      </c>
      <c r="S60" s="268"/>
      <c r="T60" s="276">
        <f t="shared" si="19"/>
        <v>1961250.9500000002</v>
      </c>
      <c r="U60" s="277">
        <f t="shared" si="6"/>
        <v>59489.350000000006</v>
      </c>
      <c r="V60" s="278">
        <f t="shared" si="7"/>
        <v>1901761.6</v>
      </c>
      <c r="W60" s="275">
        <f t="shared" si="8"/>
        <v>1961250.9500000002</v>
      </c>
      <c r="X60" s="268"/>
      <c r="Y60" s="280" t="s">
        <v>1441</v>
      </c>
      <c r="Z60" s="268"/>
    </row>
    <row r="61" spans="1:26">
      <c r="A61" s="8">
        <v>52</v>
      </c>
      <c r="B61" s="268" t="s">
        <v>1413</v>
      </c>
      <c r="C61" s="268" t="s">
        <v>1452</v>
      </c>
      <c r="D61" s="269">
        <v>0</v>
      </c>
      <c r="E61" s="270">
        <v>0</v>
      </c>
      <c r="F61" s="270">
        <v>13660.92</v>
      </c>
      <c r="G61" s="270">
        <v>5570.43</v>
      </c>
      <c r="H61" s="270">
        <v>67349.39</v>
      </c>
      <c r="I61" s="271">
        <v>436956.91000000003</v>
      </c>
      <c r="J61" s="272">
        <v>635240.45000000007</v>
      </c>
      <c r="K61" s="272">
        <v>278247.3</v>
      </c>
      <c r="L61" s="272">
        <v>7828.33</v>
      </c>
      <c r="M61" s="272">
        <v>7871.51</v>
      </c>
      <c r="N61" s="272">
        <v>7914.92</v>
      </c>
      <c r="O61" s="272">
        <v>7958.5700000000006</v>
      </c>
      <c r="P61" s="273">
        <v>43100</v>
      </c>
      <c r="Q61" s="274"/>
      <c r="R61" s="275">
        <v>1468598.73</v>
      </c>
      <c r="S61" s="268"/>
      <c r="T61" s="276">
        <f t="shared" si="19"/>
        <v>1468598.73</v>
      </c>
      <c r="U61" s="277">
        <f t="shared" si="6"/>
        <v>523537.65</v>
      </c>
      <c r="V61" s="278">
        <f t="shared" si="7"/>
        <v>945061.08</v>
      </c>
      <c r="W61" s="275">
        <f t="shared" si="8"/>
        <v>1468598.73</v>
      </c>
      <c r="X61" s="268"/>
      <c r="Y61" s="280" t="s">
        <v>1441</v>
      </c>
      <c r="Z61" s="268"/>
    </row>
    <row r="62" spans="1:26">
      <c r="A62" s="8">
        <v>53</v>
      </c>
      <c r="B62" s="268" t="s">
        <v>1413</v>
      </c>
      <c r="C62" s="268" t="s">
        <v>1453</v>
      </c>
      <c r="D62" s="269">
        <v>47337.67</v>
      </c>
      <c r="E62" s="270">
        <v>71.81</v>
      </c>
      <c r="F62" s="270">
        <v>15571.87</v>
      </c>
      <c r="G62" s="270">
        <v>18753.09</v>
      </c>
      <c r="H62" s="270">
        <v>0</v>
      </c>
      <c r="I62" s="271">
        <v>4155.0200000000004</v>
      </c>
      <c r="J62" s="272">
        <v>14999.99</v>
      </c>
      <c r="K62" s="272">
        <v>24999.99</v>
      </c>
      <c r="L62" s="272">
        <v>55787.55</v>
      </c>
      <c r="M62" s="272">
        <v>28718.62</v>
      </c>
      <c r="N62" s="272">
        <v>19999.990000000002</v>
      </c>
      <c r="O62" s="272">
        <v>15405.720000000001</v>
      </c>
      <c r="P62" s="273">
        <v>46022</v>
      </c>
      <c r="Q62" s="274">
        <v>376</v>
      </c>
      <c r="R62" s="275">
        <v>245801.32</v>
      </c>
      <c r="S62" s="268"/>
      <c r="T62" s="276">
        <f t="shared" si="19"/>
        <v>245801.32</v>
      </c>
      <c r="U62" s="277">
        <f t="shared" si="6"/>
        <v>85889.46</v>
      </c>
      <c r="V62" s="278">
        <f t="shared" si="7"/>
        <v>159911.85999999999</v>
      </c>
      <c r="W62" s="275">
        <f t="shared" si="8"/>
        <v>245801.32</v>
      </c>
      <c r="X62" s="276">
        <f t="shared" ref="X62" si="20">+T62</f>
        <v>245801.32</v>
      </c>
      <c r="Y62" s="280">
        <v>24</v>
      </c>
      <c r="Z62" s="268"/>
    </row>
    <row r="63" spans="1:26">
      <c r="A63" s="8">
        <v>54</v>
      </c>
      <c r="B63" s="268" t="s">
        <v>1413</v>
      </c>
      <c r="C63" s="268" t="s">
        <v>1454</v>
      </c>
      <c r="D63" s="269">
        <v>9728.630000000001</v>
      </c>
      <c r="E63" s="270">
        <v>0</v>
      </c>
      <c r="F63" s="270">
        <v>0</v>
      </c>
      <c r="G63" s="270">
        <v>0</v>
      </c>
      <c r="H63" s="270">
        <v>0</v>
      </c>
      <c r="I63" s="271">
        <v>0</v>
      </c>
      <c r="J63" s="272">
        <v>32893.78</v>
      </c>
      <c r="K63" s="272">
        <v>22893.77</v>
      </c>
      <c r="L63" s="272">
        <v>14999.99</v>
      </c>
      <c r="M63" s="272">
        <v>38972.42</v>
      </c>
      <c r="N63" s="272">
        <v>32893.79</v>
      </c>
      <c r="O63" s="272">
        <v>23612.77</v>
      </c>
      <c r="P63" s="274"/>
      <c r="Q63" s="274"/>
      <c r="R63" s="275">
        <v>175995.15</v>
      </c>
      <c r="S63" s="268"/>
      <c r="T63" s="276"/>
      <c r="U63" s="277">
        <f t="shared" si="6"/>
        <v>9728.630000000001</v>
      </c>
      <c r="V63" s="278">
        <f t="shared" si="7"/>
        <v>166266.51999999999</v>
      </c>
      <c r="W63" s="275">
        <f t="shared" si="8"/>
        <v>175995.15</v>
      </c>
      <c r="X63" s="268"/>
      <c r="Y63" s="280"/>
      <c r="Z63" s="268"/>
    </row>
    <row r="64" spans="1:26">
      <c r="A64" s="8">
        <v>55</v>
      </c>
      <c r="B64" s="268" t="s">
        <v>1413</v>
      </c>
      <c r="C64" s="268" t="s">
        <v>1455</v>
      </c>
      <c r="D64" s="269">
        <v>0</v>
      </c>
      <c r="E64" s="270">
        <v>265.63</v>
      </c>
      <c r="F64" s="270">
        <v>9157.73</v>
      </c>
      <c r="G64" s="270">
        <v>126480.43000000001</v>
      </c>
      <c r="H64" s="270">
        <v>178259.96</v>
      </c>
      <c r="I64" s="271">
        <v>287444.65000000002</v>
      </c>
      <c r="J64" s="272">
        <v>508507.55</v>
      </c>
      <c r="K64" s="272">
        <v>258331.97</v>
      </c>
      <c r="L64" s="272">
        <v>133266.67000000001</v>
      </c>
      <c r="M64" s="272">
        <v>7511.63</v>
      </c>
      <c r="N64" s="272">
        <v>7553.06</v>
      </c>
      <c r="O64" s="272">
        <v>7594.72</v>
      </c>
      <c r="P64" s="273">
        <v>43100</v>
      </c>
      <c r="Q64" s="274">
        <v>376</v>
      </c>
      <c r="R64" s="275">
        <v>1524374</v>
      </c>
      <c r="S64" s="268"/>
      <c r="T64" s="276">
        <f>+R64</f>
        <v>1524374</v>
      </c>
      <c r="U64" s="277">
        <f t="shared" si="6"/>
        <v>601608.4</v>
      </c>
      <c r="V64" s="278">
        <f t="shared" si="7"/>
        <v>922765.60000000009</v>
      </c>
      <c r="W64" s="275">
        <f t="shared" si="8"/>
        <v>1524374</v>
      </c>
      <c r="X64" s="276">
        <f t="shared" ref="X64" si="21">+T64</f>
        <v>1524374</v>
      </c>
      <c r="Y64" s="280">
        <v>20</v>
      </c>
      <c r="Z64" s="268"/>
    </row>
    <row r="65" spans="1:26">
      <c r="A65" s="8">
        <v>56</v>
      </c>
      <c r="B65" s="268" t="s">
        <v>1413</v>
      </c>
      <c r="C65" s="268" t="s">
        <v>1456</v>
      </c>
      <c r="D65" s="269">
        <v>111.42</v>
      </c>
      <c r="E65" s="270">
        <v>112.10000000000001</v>
      </c>
      <c r="F65" s="270">
        <v>112.77</v>
      </c>
      <c r="G65" s="270">
        <v>103.44</v>
      </c>
      <c r="H65" s="270">
        <v>1969.68</v>
      </c>
      <c r="I65" s="271">
        <v>15647.970000000001</v>
      </c>
      <c r="J65" s="272">
        <v>253179.63</v>
      </c>
      <c r="K65" s="272">
        <v>191330.91</v>
      </c>
      <c r="L65" s="272">
        <v>15300.11</v>
      </c>
      <c r="M65" s="272">
        <v>2735.4900000000002</v>
      </c>
      <c r="N65" s="272">
        <v>2750.57</v>
      </c>
      <c r="O65" s="272">
        <v>2765.7400000000002</v>
      </c>
      <c r="P65" s="273">
        <v>43100</v>
      </c>
      <c r="Q65" s="274">
        <v>376</v>
      </c>
      <c r="R65" s="275">
        <v>486119.83</v>
      </c>
      <c r="S65" s="268"/>
      <c r="T65" s="276"/>
      <c r="U65" s="277">
        <f t="shared" si="6"/>
        <v>18057.38</v>
      </c>
      <c r="V65" s="278">
        <f t="shared" si="7"/>
        <v>468062.45</v>
      </c>
      <c r="W65" s="275">
        <f t="shared" si="8"/>
        <v>486119.83</v>
      </c>
      <c r="X65" s="268"/>
      <c r="Y65" s="280"/>
      <c r="Z65" s="268"/>
    </row>
    <row r="66" spans="1:26">
      <c r="A66" s="8">
        <v>57</v>
      </c>
      <c r="B66" s="268" t="s">
        <v>1413</v>
      </c>
      <c r="C66" s="268" t="s">
        <v>1457</v>
      </c>
      <c r="D66" s="269">
        <v>0</v>
      </c>
      <c r="E66" s="270">
        <v>0</v>
      </c>
      <c r="F66" s="270">
        <v>0</v>
      </c>
      <c r="G66" s="270">
        <v>0</v>
      </c>
      <c r="H66" s="270">
        <v>0</v>
      </c>
      <c r="I66" s="271">
        <v>177619.28</v>
      </c>
      <c r="J66" s="272">
        <v>252980</v>
      </c>
      <c r="K66" s="272">
        <v>127885.18000000001</v>
      </c>
      <c r="L66" s="272">
        <v>2100.4700000000003</v>
      </c>
      <c r="M66" s="272">
        <v>2112.0500000000002</v>
      </c>
      <c r="N66" s="272">
        <v>0</v>
      </c>
      <c r="O66" s="272">
        <v>0</v>
      </c>
      <c r="P66" s="273">
        <v>43100</v>
      </c>
      <c r="Q66" s="274">
        <v>376</v>
      </c>
      <c r="R66" s="275">
        <v>562696.98</v>
      </c>
      <c r="S66" s="268"/>
      <c r="T66" s="276"/>
      <c r="U66" s="277">
        <f t="shared" si="6"/>
        <v>177619.28</v>
      </c>
      <c r="V66" s="278">
        <f t="shared" si="7"/>
        <v>385077.69999999995</v>
      </c>
      <c r="W66" s="275">
        <f t="shared" si="8"/>
        <v>562696.98</v>
      </c>
      <c r="X66" s="268"/>
      <c r="Y66" s="280"/>
      <c r="Z66" s="268"/>
    </row>
    <row r="67" spans="1:26">
      <c r="A67" s="8">
        <v>58</v>
      </c>
      <c r="B67" s="268" t="s">
        <v>1413</v>
      </c>
      <c r="C67" s="268" t="s">
        <v>1458</v>
      </c>
      <c r="D67" s="269">
        <v>9233.2199999999993</v>
      </c>
      <c r="E67" s="270">
        <v>9289.07</v>
      </c>
      <c r="F67" s="270">
        <v>9345.26</v>
      </c>
      <c r="G67" s="270">
        <v>8571.81</v>
      </c>
      <c r="H67" s="270">
        <v>66407.25</v>
      </c>
      <c r="I67" s="271">
        <v>366.23</v>
      </c>
      <c r="J67" s="272">
        <v>8987.34</v>
      </c>
      <c r="K67" s="272">
        <v>9036.9</v>
      </c>
      <c r="L67" s="272">
        <v>75493.990000000005</v>
      </c>
      <c r="M67" s="272">
        <v>9503.09</v>
      </c>
      <c r="N67" s="272">
        <v>9555.5</v>
      </c>
      <c r="O67" s="272">
        <v>9608.2000000000007</v>
      </c>
      <c r="P67" s="273">
        <v>43100</v>
      </c>
      <c r="Q67" s="274">
        <v>378</v>
      </c>
      <c r="R67" s="275">
        <v>225397.86000000002</v>
      </c>
      <c r="S67" s="268"/>
      <c r="T67" s="276">
        <f>+R67</f>
        <v>225397.86000000002</v>
      </c>
      <c r="U67" s="277">
        <f t="shared" si="6"/>
        <v>103212.84</v>
      </c>
      <c r="V67" s="278">
        <f t="shared" si="7"/>
        <v>122185.02</v>
      </c>
      <c r="W67" s="275">
        <f t="shared" si="8"/>
        <v>225397.86</v>
      </c>
      <c r="X67" s="276">
        <f t="shared" ref="X67" si="22">+T67</f>
        <v>225397.86000000002</v>
      </c>
      <c r="Y67" s="280">
        <v>8</v>
      </c>
      <c r="Z67" s="268"/>
    </row>
    <row r="68" spans="1:26">
      <c r="A68" s="8">
        <v>59</v>
      </c>
      <c r="B68" s="268" t="s">
        <v>1413</v>
      </c>
      <c r="C68" s="268" t="s">
        <v>1459</v>
      </c>
      <c r="D68" s="269">
        <v>0</v>
      </c>
      <c r="E68" s="270">
        <v>-201.38</v>
      </c>
      <c r="F68" s="270">
        <v>0</v>
      </c>
      <c r="G68" s="270">
        <v>0</v>
      </c>
      <c r="H68" s="270">
        <v>0</v>
      </c>
      <c r="I68" s="271">
        <v>0</v>
      </c>
      <c r="J68" s="272">
        <v>0</v>
      </c>
      <c r="K68" s="272">
        <v>0</v>
      </c>
      <c r="L68" s="272">
        <v>0</v>
      </c>
      <c r="M68" s="272">
        <v>0</v>
      </c>
      <c r="N68" s="272">
        <v>0</v>
      </c>
      <c r="O68" s="272">
        <v>0</v>
      </c>
      <c r="P68" s="274"/>
      <c r="Q68" s="274"/>
      <c r="R68" s="275">
        <v>-201.38</v>
      </c>
      <c r="S68" s="268"/>
      <c r="T68" s="276"/>
      <c r="U68" s="277">
        <f t="shared" si="6"/>
        <v>-201.38</v>
      </c>
      <c r="V68" s="278">
        <f t="shared" si="7"/>
        <v>0</v>
      </c>
      <c r="W68" s="275">
        <f t="shared" si="8"/>
        <v>-201.38</v>
      </c>
      <c r="X68" s="268"/>
      <c r="Y68" s="280"/>
      <c r="Z68" s="268"/>
    </row>
    <row r="69" spans="1:26">
      <c r="A69" s="8">
        <v>60</v>
      </c>
      <c r="B69" s="268" t="s">
        <v>1413</v>
      </c>
      <c r="C69" s="268" t="s">
        <v>1460</v>
      </c>
      <c r="D69" s="269">
        <v>0</v>
      </c>
      <c r="E69" s="270">
        <v>0</v>
      </c>
      <c r="F69" s="270">
        <v>0</v>
      </c>
      <c r="G69" s="270">
        <v>0</v>
      </c>
      <c r="H69" s="270">
        <v>0</v>
      </c>
      <c r="I69" s="271">
        <v>18107.37</v>
      </c>
      <c r="J69" s="272">
        <v>0</v>
      </c>
      <c r="K69" s="272">
        <v>0</v>
      </c>
      <c r="L69" s="272">
        <v>88543</v>
      </c>
      <c r="M69" s="272">
        <v>126490</v>
      </c>
      <c r="N69" s="272">
        <v>0</v>
      </c>
      <c r="O69" s="272">
        <v>0</v>
      </c>
      <c r="P69" s="273">
        <v>42962</v>
      </c>
      <c r="Q69" s="274">
        <v>376</v>
      </c>
      <c r="R69" s="275">
        <v>233140.37</v>
      </c>
      <c r="S69" s="268"/>
      <c r="T69" s="276">
        <f t="shared" ref="T69:T71" si="23">+R69</f>
        <v>233140.37</v>
      </c>
      <c r="U69" s="277">
        <f t="shared" si="6"/>
        <v>18107.37</v>
      </c>
      <c r="V69" s="278">
        <f t="shared" si="7"/>
        <v>215033</v>
      </c>
      <c r="W69" s="275">
        <f t="shared" si="8"/>
        <v>233140.37</v>
      </c>
      <c r="X69" s="279">
        <f t="shared" ref="X69" si="24">+T69</f>
        <v>233140.37</v>
      </c>
      <c r="Y69" s="280">
        <v>52</v>
      </c>
      <c r="Z69" s="268"/>
    </row>
    <row r="70" spans="1:26">
      <c r="A70" s="8">
        <v>61</v>
      </c>
      <c r="B70" s="268" t="s">
        <v>1413</v>
      </c>
      <c r="C70" s="268" t="s">
        <v>1461</v>
      </c>
      <c r="D70" s="269">
        <v>169.19</v>
      </c>
      <c r="E70" s="270">
        <v>170.22</v>
      </c>
      <c r="F70" s="270">
        <v>171.24</v>
      </c>
      <c r="G70" s="270">
        <v>157.07</v>
      </c>
      <c r="H70" s="270">
        <v>6995.9800000000005</v>
      </c>
      <c r="I70" s="271">
        <v>758.09</v>
      </c>
      <c r="J70" s="272">
        <v>31822.21</v>
      </c>
      <c r="K70" s="272">
        <v>19348.71</v>
      </c>
      <c r="L70" s="272">
        <v>6806.41</v>
      </c>
      <c r="M70" s="272">
        <v>11843.960000000001</v>
      </c>
      <c r="N70" s="272">
        <v>0</v>
      </c>
      <c r="O70" s="272">
        <v>0</v>
      </c>
      <c r="P70" s="273">
        <v>43039</v>
      </c>
      <c r="Q70" s="274">
        <v>376</v>
      </c>
      <c r="R70" s="275">
        <v>78243.08</v>
      </c>
      <c r="S70" s="268"/>
      <c r="T70" s="276">
        <f t="shared" si="23"/>
        <v>78243.08</v>
      </c>
      <c r="U70" s="277">
        <f t="shared" si="6"/>
        <v>8421.7900000000009</v>
      </c>
      <c r="V70" s="278">
        <f t="shared" si="7"/>
        <v>69821.290000000008</v>
      </c>
      <c r="W70" s="275">
        <f t="shared" si="8"/>
        <v>78243.080000000016</v>
      </c>
      <c r="X70" s="268"/>
      <c r="Y70" s="280" t="s">
        <v>1441</v>
      </c>
      <c r="Z70" s="268"/>
    </row>
    <row r="71" spans="1:26">
      <c r="A71" s="8">
        <v>62</v>
      </c>
      <c r="B71" s="268" t="s">
        <v>1413</v>
      </c>
      <c r="C71" s="268" t="s">
        <v>1462</v>
      </c>
      <c r="D71" s="269">
        <v>4804.3599999999997</v>
      </c>
      <c r="E71" s="270">
        <v>5192.38</v>
      </c>
      <c r="F71" s="270">
        <v>68244.149999999994</v>
      </c>
      <c r="G71" s="270">
        <v>-1980.78</v>
      </c>
      <c r="H71" s="270">
        <v>0</v>
      </c>
      <c r="I71" s="271">
        <v>0</v>
      </c>
      <c r="J71" s="272">
        <v>0</v>
      </c>
      <c r="K71" s="272">
        <v>0</v>
      </c>
      <c r="L71" s="272">
        <v>0</v>
      </c>
      <c r="M71" s="272">
        <v>0</v>
      </c>
      <c r="N71" s="272">
        <v>0</v>
      </c>
      <c r="O71" s="272">
        <v>0</v>
      </c>
      <c r="P71" s="273">
        <v>42735</v>
      </c>
      <c r="Q71" s="274">
        <v>376</v>
      </c>
      <c r="R71" s="275">
        <v>76260.11</v>
      </c>
      <c r="S71" s="268"/>
      <c r="T71" s="276">
        <f t="shared" si="23"/>
        <v>76260.11</v>
      </c>
      <c r="U71" s="277">
        <f t="shared" si="6"/>
        <v>76260.11</v>
      </c>
      <c r="V71" s="278">
        <f t="shared" si="7"/>
        <v>0</v>
      </c>
      <c r="W71" s="275">
        <f t="shared" si="8"/>
        <v>76260.11</v>
      </c>
      <c r="X71" s="276">
        <f t="shared" ref="X71" si="25">+T71</f>
        <v>76260.11</v>
      </c>
      <c r="Y71" s="280">
        <v>39</v>
      </c>
      <c r="Z71" s="268"/>
    </row>
    <row r="72" spans="1:26">
      <c r="A72" s="8">
        <v>63</v>
      </c>
      <c r="B72" s="268" t="s">
        <v>1413</v>
      </c>
      <c r="C72" s="268" t="s">
        <v>1463</v>
      </c>
      <c r="D72" s="269">
        <v>-8308.2900000000009</v>
      </c>
      <c r="E72" s="270">
        <v>203.88</v>
      </c>
      <c r="F72" s="270">
        <v>0</v>
      </c>
      <c r="G72" s="270">
        <v>-504.77000000000004</v>
      </c>
      <c r="H72" s="270">
        <v>1.73</v>
      </c>
      <c r="I72" s="271">
        <v>0</v>
      </c>
      <c r="J72" s="272">
        <v>0</v>
      </c>
      <c r="K72" s="272">
        <v>0</v>
      </c>
      <c r="L72" s="272">
        <v>0</v>
      </c>
      <c r="M72" s="272">
        <v>0</v>
      </c>
      <c r="N72" s="272">
        <v>0</v>
      </c>
      <c r="O72" s="272">
        <v>0</v>
      </c>
      <c r="P72" s="274"/>
      <c r="Q72" s="274"/>
      <c r="R72" s="275">
        <v>-8607.4500000000007</v>
      </c>
      <c r="S72" s="268"/>
      <c r="T72" s="276"/>
      <c r="U72" s="277">
        <f t="shared" si="6"/>
        <v>-8607.4500000000007</v>
      </c>
      <c r="V72" s="278">
        <f t="shared" si="7"/>
        <v>0</v>
      </c>
      <c r="W72" s="275">
        <f t="shared" si="8"/>
        <v>-8607.4500000000007</v>
      </c>
      <c r="X72" s="268"/>
      <c r="Y72" s="280"/>
      <c r="Z72" s="268"/>
    </row>
    <row r="73" spans="1:26">
      <c r="A73" s="8">
        <v>64</v>
      </c>
      <c r="B73" s="268" t="s">
        <v>1413</v>
      </c>
      <c r="C73" s="268" t="s">
        <v>1464</v>
      </c>
      <c r="D73" s="269">
        <v>0</v>
      </c>
      <c r="E73" s="270">
        <v>0</v>
      </c>
      <c r="F73" s="270">
        <v>0</v>
      </c>
      <c r="G73" s="270">
        <v>0</v>
      </c>
      <c r="H73" s="270">
        <v>0</v>
      </c>
      <c r="I73" s="271">
        <v>0</v>
      </c>
      <c r="J73" s="272">
        <v>0</v>
      </c>
      <c r="K73" s="272">
        <v>0</v>
      </c>
      <c r="L73" s="272">
        <v>0</v>
      </c>
      <c r="M73" s="272">
        <v>0</v>
      </c>
      <c r="N73" s="272">
        <v>0</v>
      </c>
      <c r="O73" s="272">
        <v>2691</v>
      </c>
      <c r="P73" s="274"/>
      <c r="Q73" s="274"/>
      <c r="R73" s="275">
        <v>2691</v>
      </c>
      <c r="S73" s="268"/>
      <c r="T73" s="276">
        <f>+R73</f>
        <v>2691</v>
      </c>
      <c r="U73" s="277">
        <f t="shared" si="6"/>
        <v>0</v>
      </c>
      <c r="V73" s="278">
        <f t="shared" si="7"/>
        <v>2691</v>
      </c>
      <c r="W73" s="275">
        <f t="shared" si="8"/>
        <v>2691</v>
      </c>
      <c r="X73" s="268"/>
      <c r="Y73" s="280" t="s">
        <v>1426</v>
      </c>
      <c r="Z73" s="268"/>
    </row>
    <row r="74" spans="1:26">
      <c r="A74" s="8">
        <v>65</v>
      </c>
      <c r="B74" s="268" t="s">
        <v>1413</v>
      </c>
      <c r="C74" s="268" t="s">
        <v>1465</v>
      </c>
      <c r="D74" s="269">
        <v>1581.56</v>
      </c>
      <c r="E74" s="270">
        <v>188.84</v>
      </c>
      <c r="F74" s="270">
        <v>189.98</v>
      </c>
      <c r="G74" s="270">
        <v>538.54</v>
      </c>
      <c r="H74" s="270">
        <v>4090.82</v>
      </c>
      <c r="I74" s="271">
        <v>26086.03</v>
      </c>
      <c r="J74" s="272">
        <v>632793.65</v>
      </c>
      <c r="K74" s="272">
        <v>320058.5</v>
      </c>
      <c r="L74" s="272">
        <v>132088.63</v>
      </c>
      <c r="M74" s="272">
        <v>37949.599999999999</v>
      </c>
      <c r="N74" s="272">
        <v>25509.89</v>
      </c>
      <c r="O74" s="272">
        <v>13001.57</v>
      </c>
      <c r="P74" s="274"/>
      <c r="Q74" s="274"/>
      <c r="R74" s="275">
        <v>1194077.6100000001</v>
      </c>
      <c r="S74" s="268"/>
      <c r="T74" s="276"/>
      <c r="U74" s="277">
        <f t="shared" si="6"/>
        <v>32675.769999999997</v>
      </c>
      <c r="V74" s="278">
        <f t="shared" si="7"/>
        <v>1161401.8400000001</v>
      </c>
      <c r="W74" s="275">
        <f t="shared" si="8"/>
        <v>1194077.6100000001</v>
      </c>
      <c r="X74" s="268"/>
      <c r="Y74" s="280"/>
      <c r="Z74" s="268"/>
    </row>
    <row r="75" spans="1:26">
      <c r="A75" s="8">
        <v>66</v>
      </c>
      <c r="B75" s="268" t="s">
        <v>1413</v>
      </c>
      <c r="C75" s="268" t="s">
        <v>1466</v>
      </c>
      <c r="D75" s="269">
        <v>0</v>
      </c>
      <c r="E75" s="270">
        <v>0</v>
      </c>
      <c r="F75" s="270">
        <v>0</v>
      </c>
      <c r="G75" s="270">
        <v>0</v>
      </c>
      <c r="H75" s="270">
        <v>0</v>
      </c>
      <c r="I75" s="271">
        <v>259.08</v>
      </c>
      <c r="J75" s="272">
        <v>0</v>
      </c>
      <c r="K75" s="272">
        <v>0</v>
      </c>
      <c r="L75" s="272">
        <v>0</v>
      </c>
      <c r="M75" s="272">
        <v>0</v>
      </c>
      <c r="N75" s="272">
        <v>0</v>
      </c>
      <c r="O75" s="272">
        <v>0</v>
      </c>
      <c r="P75" s="274"/>
      <c r="Q75" s="274"/>
      <c r="R75" s="275">
        <v>259.08</v>
      </c>
      <c r="S75" s="268"/>
      <c r="T75" s="276">
        <f t="shared" ref="T75:T76" si="26">+R75</f>
        <v>259.08</v>
      </c>
      <c r="U75" s="277">
        <f t="shared" si="6"/>
        <v>259.08</v>
      </c>
      <c r="V75" s="278">
        <f t="shared" si="7"/>
        <v>0</v>
      </c>
      <c r="W75" s="275">
        <f t="shared" si="8"/>
        <v>259.08</v>
      </c>
      <c r="X75" s="279"/>
      <c r="Y75" s="280" t="s">
        <v>1444</v>
      </c>
      <c r="Z75" s="268"/>
    </row>
    <row r="76" spans="1:26">
      <c r="A76" s="8">
        <v>67</v>
      </c>
      <c r="B76" s="268" t="s">
        <v>1413</v>
      </c>
      <c r="C76" s="268" t="s">
        <v>1467</v>
      </c>
      <c r="D76" s="269">
        <v>286.55</v>
      </c>
      <c r="E76" s="270">
        <v>291.92</v>
      </c>
      <c r="F76" s="270">
        <v>287.55</v>
      </c>
      <c r="G76" s="270">
        <v>282.27</v>
      </c>
      <c r="H76" s="270">
        <v>-997.89</v>
      </c>
      <c r="I76" s="271">
        <v>286.55</v>
      </c>
      <c r="J76" s="272">
        <v>0</v>
      </c>
      <c r="K76" s="272">
        <v>0</v>
      </c>
      <c r="L76" s="272">
        <v>0</v>
      </c>
      <c r="M76" s="272">
        <v>0</v>
      </c>
      <c r="N76" s="272">
        <v>0</v>
      </c>
      <c r="O76" s="272">
        <v>0</v>
      </c>
      <c r="P76" s="273">
        <v>42643</v>
      </c>
      <c r="Q76" s="274">
        <v>376</v>
      </c>
      <c r="R76" s="275">
        <v>436.95</v>
      </c>
      <c r="S76" s="268"/>
      <c r="T76" s="276">
        <f t="shared" si="26"/>
        <v>436.95</v>
      </c>
      <c r="U76" s="277">
        <f t="shared" si="6"/>
        <v>436.95</v>
      </c>
      <c r="V76" s="278">
        <f t="shared" si="7"/>
        <v>0</v>
      </c>
      <c r="W76" s="275">
        <f t="shared" si="8"/>
        <v>436.95</v>
      </c>
      <c r="X76" s="268"/>
      <c r="Y76" s="280" t="s">
        <v>1441</v>
      </c>
      <c r="Z76" s="268"/>
    </row>
    <row r="77" spans="1:26">
      <c r="A77" s="8">
        <v>68</v>
      </c>
      <c r="B77" s="268" t="s">
        <v>1413</v>
      </c>
      <c r="C77" s="268" t="s">
        <v>1468</v>
      </c>
      <c r="D77" s="269">
        <v>62961.020000000004</v>
      </c>
      <c r="E77" s="270">
        <v>2667.92</v>
      </c>
      <c r="F77" s="270">
        <v>11996.460000000001</v>
      </c>
      <c r="G77" s="270">
        <v>9586.56</v>
      </c>
      <c r="H77" s="270">
        <v>94435.75</v>
      </c>
      <c r="I77" s="271">
        <v>6081.1500000000005</v>
      </c>
      <c r="J77" s="272">
        <v>0</v>
      </c>
      <c r="K77" s="272">
        <v>0</v>
      </c>
      <c r="L77" s="272">
        <v>0</v>
      </c>
      <c r="M77" s="272">
        <v>0</v>
      </c>
      <c r="N77" s="272">
        <v>0</v>
      </c>
      <c r="O77" s="272">
        <v>0</v>
      </c>
      <c r="P77" s="274"/>
      <c r="Q77" s="274"/>
      <c r="R77" s="275">
        <v>187728.86000000002</v>
      </c>
      <c r="S77" s="268"/>
      <c r="T77" s="276"/>
      <c r="U77" s="277">
        <f t="shared" si="6"/>
        <v>187728.86000000002</v>
      </c>
      <c r="V77" s="278">
        <f t="shared" si="7"/>
        <v>0</v>
      </c>
      <c r="W77" s="275">
        <f t="shared" si="8"/>
        <v>187728.86000000002</v>
      </c>
      <c r="X77" s="268"/>
      <c r="Y77" s="280"/>
      <c r="Z77" s="268"/>
    </row>
    <row r="78" spans="1:26">
      <c r="A78" s="8">
        <v>69</v>
      </c>
      <c r="B78" s="268" t="s">
        <v>1413</v>
      </c>
      <c r="C78" s="268" t="s">
        <v>1469</v>
      </c>
      <c r="D78" s="269">
        <v>-482.39</v>
      </c>
      <c r="E78" s="270">
        <v>0.02</v>
      </c>
      <c r="F78" s="270">
        <v>0.02</v>
      </c>
      <c r="G78" s="270">
        <v>0.02</v>
      </c>
      <c r="H78" s="270">
        <v>0.02</v>
      </c>
      <c r="I78" s="271">
        <v>0.02</v>
      </c>
      <c r="J78" s="272">
        <v>0</v>
      </c>
      <c r="K78" s="272">
        <v>0</v>
      </c>
      <c r="L78" s="272">
        <v>0</v>
      </c>
      <c r="M78" s="272">
        <v>0</v>
      </c>
      <c r="N78" s="272">
        <v>0</v>
      </c>
      <c r="O78" s="272">
        <v>0</v>
      </c>
      <c r="P78" s="274"/>
      <c r="Q78" s="274"/>
      <c r="R78" s="275">
        <v>-482.29</v>
      </c>
      <c r="S78" s="268"/>
      <c r="T78" s="276"/>
      <c r="U78" s="277">
        <f t="shared" si="6"/>
        <v>-482.29000000000008</v>
      </c>
      <c r="V78" s="278">
        <f t="shared" si="7"/>
        <v>0</v>
      </c>
      <c r="W78" s="275">
        <f t="shared" si="8"/>
        <v>-482.29000000000008</v>
      </c>
      <c r="X78" s="268"/>
      <c r="Y78" s="280"/>
      <c r="Z78" s="268"/>
    </row>
    <row r="79" spans="1:26">
      <c r="A79" s="8">
        <v>70</v>
      </c>
      <c r="B79" s="268" t="s">
        <v>1413</v>
      </c>
      <c r="C79" s="268" t="s">
        <v>1470</v>
      </c>
      <c r="D79" s="269">
        <v>48876.19</v>
      </c>
      <c r="E79" s="270">
        <v>3676.62</v>
      </c>
      <c r="F79" s="270">
        <v>7909.26</v>
      </c>
      <c r="G79" s="270">
        <v>0</v>
      </c>
      <c r="H79" s="270">
        <v>0</v>
      </c>
      <c r="I79" s="271">
        <v>0</v>
      </c>
      <c r="J79" s="272">
        <v>0</v>
      </c>
      <c r="K79" s="272">
        <v>0</v>
      </c>
      <c r="L79" s="272">
        <v>0</v>
      </c>
      <c r="M79" s="272">
        <v>0</v>
      </c>
      <c r="N79" s="272">
        <v>0</v>
      </c>
      <c r="O79" s="272">
        <v>0</v>
      </c>
      <c r="P79" s="273">
        <v>42735</v>
      </c>
      <c r="Q79" s="274"/>
      <c r="R79" s="275">
        <v>60462.07</v>
      </c>
      <c r="S79" s="268"/>
      <c r="T79" s="276">
        <f t="shared" ref="T79:T95" si="27">+R79</f>
        <v>60462.07</v>
      </c>
      <c r="U79" s="277">
        <f t="shared" si="6"/>
        <v>60462.070000000007</v>
      </c>
      <c r="V79" s="278">
        <f t="shared" si="7"/>
        <v>0</v>
      </c>
      <c r="W79" s="275">
        <f t="shared" si="8"/>
        <v>60462.070000000007</v>
      </c>
      <c r="X79" s="268"/>
      <c r="Y79" s="280" t="s">
        <v>1441</v>
      </c>
      <c r="Z79" s="268"/>
    </row>
    <row r="80" spans="1:26">
      <c r="A80" s="8">
        <v>71</v>
      </c>
      <c r="B80" s="268" t="s">
        <v>1413</v>
      </c>
      <c r="C80" s="268" t="s">
        <v>1471</v>
      </c>
      <c r="D80" s="269">
        <v>48936.62</v>
      </c>
      <c r="E80" s="270">
        <v>3676.62</v>
      </c>
      <c r="F80" s="270">
        <v>19416.47</v>
      </c>
      <c r="G80" s="270">
        <v>0</v>
      </c>
      <c r="H80" s="270">
        <v>0</v>
      </c>
      <c r="I80" s="271">
        <v>0</v>
      </c>
      <c r="J80" s="272">
        <v>0</v>
      </c>
      <c r="K80" s="272">
        <v>0</v>
      </c>
      <c r="L80" s="272">
        <v>0</v>
      </c>
      <c r="M80" s="272">
        <v>0</v>
      </c>
      <c r="N80" s="272">
        <v>0</v>
      </c>
      <c r="O80" s="272">
        <v>0</v>
      </c>
      <c r="P80" s="273">
        <v>42735</v>
      </c>
      <c r="Q80" s="274"/>
      <c r="R80" s="275">
        <v>72029.710000000006</v>
      </c>
      <c r="S80" s="268"/>
      <c r="T80" s="276">
        <f t="shared" si="27"/>
        <v>72029.710000000006</v>
      </c>
      <c r="U80" s="277">
        <f t="shared" si="6"/>
        <v>72029.710000000006</v>
      </c>
      <c r="V80" s="278">
        <f t="shared" si="7"/>
        <v>0</v>
      </c>
      <c r="W80" s="275">
        <f t="shared" si="8"/>
        <v>72029.710000000006</v>
      </c>
      <c r="X80" s="268"/>
      <c r="Y80" s="280" t="s">
        <v>1441</v>
      </c>
      <c r="Z80" s="268"/>
    </row>
    <row r="81" spans="1:26">
      <c r="A81" s="8">
        <v>72</v>
      </c>
      <c r="B81" s="268" t="s">
        <v>1413</v>
      </c>
      <c r="C81" s="268" t="s">
        <v>1472</v>
      </c>
      <c r="D81" s="269">
        <v>0</v>
      </c>
      <c r="E81" s="270">
        <v>0</v>
      </c>
      <c r="F81" s="270">
        <v>0</v>
      </c>
      <c r="G81" s="270">
        <v>0</v>
      </c>
      <c r="H81" s="270">
        <v>0</v>
      </c>
      <c r="I81" s="271">
        <v>0</v>
      </c>
      <c r="J81" s="272">
        <v>0</v>
      </c>
      <c r="K81" s="272">
        <v>0</v>
      </c>
      <c r="L81" s="272">
        <v>50596</v>
      </c>
      <c r="M81" s="272">
        <v>69569.5</v>
      </c>
      <c r="N81" s="272">
        <v>0</v>
      </c>
      <c r="O81" s="272">
        <v>0</v>
      </c>
      <c r="P81" s="274"/>
      <c r="Q81" s="274"/>
      <c r="R81" s="275">
        <v>120165.5</v>
      </c>
      <c r="S81" s="268"/>
      <c r="T81" s="276"/>
      <c r="U81" s="277">
        <f t="shared" si="6"/>
        <v>0</v>
      </c>
      <c r="V81" s="278">
        <f t="shared" si="7"/>
        <v>120165.5</v>
      </c>
      <c r="W81" s="275">
        <f t="shared" si="8"/>
        <v>120165.5</v>
      </c>
      <c r="X81" s="268"/>
      <c r="Y81" s="280"/>
      <c r="Z81" s="268"/>
    </row>
    <row r="82" spans="1:26">
      <c r="A82" s="8">
        <v>73</v>
      </c>
      <c r="B82" s="268" t="s">
        <v>1413</v>
      </c>
      <c r="C82" s="268" t="s">
        <v>1473</v>
      </c>
      <c r="D82" s="269">
        <v>6756.88</v>
      </c>
      <c r="E82" s="270">
        <v>24852.29</v>
      </c>
      <c r="F82" s="270">
        <v>96288.92</v>
      </c>
      <c r="G82" s="270">
        <v>832898.79</v>
      </c>
      <c r="H82" s="270">
        <v>457551.32</v>
      </c>
      <c r="I82" s="271">
        <v>131346.23999999999</v>
      </c>
      <c r="J82" s="272">
        <v>50000</v>
      </c>
      <c r="K82" s="272">
        <v>275.75</v>
      </c>
      <c r="L82" s="272">
        <v>0</v>
      </c>
      <c r="M82" s="272">
        <v>0</v>
      </c>
      <c r="N82" s="272">
        <v>0</v>
      </c>
      <c r="O82" s="272">
        <v>0</v>
      </c>
      <c r="P82" s="273">
        <v>42978</v>
      </c>
      <c r="Q82" s="274">
        <v>376</v>
      </c>
      <c r="R82" s="275">
        <v>1599970.19</v>
      </c>
      <c r="S82" s="268"/>
      <c r="T82" s="276">
        <f t="shared" si="27"/>
        <v>1599970.19</v>
      </c>
      <c r="U82" s="277">
        <f t="shared" si="6"/>
        <v>1549694.44</v>
      </c>
      <c r="V82" s="278">
        <f t="shared" si="7"/>
        <v>50275.75</v>
      </c>
      <c r="W82" s="275">
        <f t="shared" si="8"/>
        <v>1599970.19</v>
      </c>
      <c r="X82" s="268"/>
      <c r="Y82" s="280" t="s">
        <v>1441</v>
      </c>
      <c r="Z82" s="268"/>
    </row>
    <row r="83" spans="1:26">
      <c r="A83" s="8">
        <v>74</v>
      </c>
      <c r="B83" s="268" t="s">
        <v>1413</v>
      </c>
      <c r="C83" s="268" t="s">
        <v>1474</v>
      </c>
      <c r="D83" s="269">
        <v>0</v>
      </c>
      <c r="E83" s="270">
        <v>0</v>
      </c>
      <c r="F83" s="270">
        <v>0</v>
      </c>
      <c r="G83" s="270">
        <v>0</v>
      </c>
      <c r="H83" s="270">
        <v>0</v>
      </c>
      <c r="I83" s="271">
        <v>0</v>
      </c>
      <c r="J83" s="272">
        <v>0</v>
      </c>
      <c r="K83" s="272">
        <v>0</v>
      </c>
      <c r="L83" s="272">
        <v>82218.5</v>
      </c>
      <c r="M83" s="272">
        <v>126943.44</v>
      </c>
      <c r="N83" s="272">
        <v>1153.53</v>
      </c>
      <c r="O83" s="272">
        <v>1159.8900000000001</v>
      </c>
      <c r="P83" s="273">
        <v>43465</v>
      </c>
      <c r="Q83" s="274">
        <v>376</v>
      </c>
      <c r="R83" s="275">
        <v>211475.36000000002</v>
      </c>
      <c r="S83" s="268"/>
      <c r="T83" s="276">
        <f t="shared" si="27"/>
        <v>211475.36000000002</v>
      </c>
      <c r="U83" s="277">
        <f t="shared" si="6"/>
        <v>0</v>
      </c>
      <c r="V83" s="278">
        <f t="shared" si="7"/>
        <v>211475.36000000002</v>
      </c>
      <c r="W83" s="275">
        <f t="shared" si="8"/>
        <v>211475.36000000002</v>
      </c>
      <c r="X83" s="279">
        <v>0</v>
      </c>
      <c r="Y83" s="280" t="s">
        <v>1400</v>
      </c>
      <c r="Z83" s="268"/>
    </row>
    <row r="84" spans="1:26">
      <c r="A84" s="8">
        <v>75</v>
      </c>
      <c r="B84" s="268" t="s">
        <v>1413</v>
      </c>
      <c r="C84" s="268" t="s">
        <v>1475</v>
      </c>
      <c r="D84" s="269">
        <v>-83891.7</v>
      </c>
      <c r="E84" s="270">
        <v>143790.94</v>
      </c>
      <c r="F84" s="270">
        <v>8953.27</v>
      </c>
      <c r="G84" s="270">
        <v>0</v>
      </c>
      <c r="H84" s="270">
        <v>0</v>
      </c>
      <c r="I84" s="271">
        <v>7050.42</v>
      </c>
      <c r="J84" s="272">
        <v>0</v>
      </c>
      <c r="K84" s="272">
        <v>0</v>
      </c>
      <c r="L84" s="272">
        <v>0</v>
      </c>
      <c r="M84" s="272">
        <v>0</v>
      </c>
      <c r="N84" s="272">
        <v>0</v>
      </c>
      <c r="O84" s="272">
        <v>0</v>
      </c>
      <c r="P84" s="273">
        <v>42704</v>
      </c>
      <c r="Q84" s="274">
        <v>376</v>
      </c>
      <c r="R84" s="275">
        <v>75902.930000000008</v>
      </c>
      <c r="S84" s="268"/>
      <c r="T84" s="276">
        <f t="shared" si="27"/>
        <v>75902.930000000008</v>
      </c>
      <c r="U84" s="277">
        <f t="shared" si="6"/>
        <v>75902.930000000008</v>
      </c>
      <c r="V84" s="278">
        <f t="shared" si="7"/>
        <v>0</v>
      </c>
      <c r="W84" s="275">
        <f t="shared" si="8"/>
        <v>75902.930000000008</v>
      </c>
      <c r="X84" s="276">
        <f t="shared" ref="X84" si="28">+T84</f>
        <v>75902.930000000008</v>
      </c>
      <c r="Y84" s="280">
        <v>15</v>
      </c>
      <c r="Z84" s="268"/>
    </row>
    <row r="85" spans="1:26">
      <c r="A85" s="8">
        <v>76</v>
      </c>
      <c r="B85" s="268" t="s">
        <v>1413</v>
      </c>
      <c r="C85" s="268" t="s">
        <v>1476</v>
      </c>
      <c r="D85" s="269">
        <v>52836.91</v>
      </c>
      <c r="E85" s="270">
        <v>319.61</v>
      </c>
      <c r="F85" s="270">
        <v>5622.6900000000005</v>
      </c>
      <c r="G85" s="270">
        <v>9808.8700000000008</v>
      </c>
      <c r="H85" s="270">
        <v>15186.82</v>
      </c>
      <c r="I85" s="271">
        <v>18870.64</v>
      </c>
      <c r="J85" s="272">
        <v>228248.09</v>
      </c>
      <c r="K85" s="272">
        <v>140963.88</v>
      </c>
      <c r="L85" s="272">
        <v>160714.79</v>
      </c>
      <c r="M85" s="272">
        <v>3488.63</v>
      </c>
      <c r="N85" s="272">
        <v>3507.88</v>
      </c>
      <c r="O85" s="272">
        <v>56231.39</v>
      </c>
      <c r="P85" s="274"/>
      <c r="Q85" s="274"/>
      <c r="R85" s="275">
        <v>695800.20000000007</v>
      </c>
      <c r="S85" s="268"/>
      <c r="T85" s="276"/>
      <c r="U85" s="277">
        <f t="shared" si="6"/>
        <v>102645.54</v>
      </c>
      <c r="V85" s="278">
        <f t="shared" si="7"/>
        <v>593154.66</v>
      </c>
      <c r="W85" s="275">
        <f t="shared" si="8"/>
        <v>695800.20000000007</v>
      </c>
      <c r="X85" s="268"/>
      <c r="Y85" s="280"/>
      <c r="Z85" s="268"/>
    </row>
    <row r="86" spans="1:26">
      <c r="A86" s="8">
        <v>77</v>
      </c>
      <c r="B86" s="268" t="s">
        <v>1413</v>
      </c>
      <c r="C86" s="268" t="s">
        <v>1477</v>
      </c>
      <c r="D86" s="269">
        <v>0</v>
      </c>
      <c r="E86" s="270">
        <v>0</v>
      </c>
      <c r="F86" s="270">
        <v>0</v>
      </c>
      <c r="G86" s="270">
        <v>0</v>
      </c>
      <c r="H86" s="270">
        <v>0</v>
      </c>
      <c r="I86" s="271">
        <v>0</v>
      </c>
      <c r="J86" s="272">
        <v>63245</v>
      </c>
      <c r="K86" s="272">
        <v>88891.790000000008</v>
      </c>
      <c r="L86" s="272">
        <v>0</v>
      </c>
      <c r="M86" s="272">
        <v>0</v>
      </c>
      <c r="N86" s="272">
        <v>0</v>
      </c>
      <c r="O86" s="272">
        <v>0</v>
      </c>
      <c r="P86" s="273">
        <v>42978</v>
      </c>
      <c r="Q86" s="274">
        <v>376</v>
      </c>
      <c r="R86" s="275">
        <v>152136.79</v>
      </c>
      <c r="S86" s="268"/>
      <c r="T86" s="276">
        <f t="shared" si="27"/>
        <v>152136.79</v>
      </c>
      <c r="U86" s="277">
        <f t="shared" si="6"/>
        <v>0</v>
      </c>
      <c r="V86" s="278">
        <f t="shared" si="7"/>
        <v>152136.79</v>
      </c>
      <c r="W86" s="275">
        <f t="shared" si="8"/>
        <v>152136.79</v>
      </c>
      <c r="X86" s="279">
        <f t="shared" ref="X86:X87" si="29">+T86</f>
        <v>152136.79</v>
      </c>
      <c r="Y86" s="280">
        <v>53</v>
      </c>
      <c r="Z86" s="268"/>
    </row>
    <row r="87" spans="1:26">
      <c r="A87" s="8">
        <v>78</v>
      </c>
      <c r="B87" s="268" t="s">
        <v>1413</v>
      </c>
      <c r="C87" s="268" t="s">
        <v>1478</v>
      </c>
      <c r="D87" s="269">
        <v>322.48</v>
      </c>
      <c r="E87" s="270">
        <v>-2877.06</v>
      </c>
      <c r="F87" s="270">
        <v>4063.17</v>
      </c>
      <c r="G87" s="270">
        <v>0</v>
      </c>
      <c r="H87" s="270">
        <v>0</v>
      </c>
      <c r="I87" s="271">
        <v>648.1</v>
      </c>
      <c r="J87" s="272">
        <v>0</v>
      </c>
      <c r="K87" s="272">
        <v>0</v>
      </c>
      <c r="L87" s="272">
        <v>0</v>
      </c>
      <c r="M87" s="272">
        <v>0</v>
      </c>
      <c r="N87" s="272">
        <v>0</v>
      </c>
      <c r="O87" s="272">
        <v>0</v>
      </c>
      <c r="P87" s="273">
        <v>42735</v>
      </c>
      <c r="Q87" s="274">
        <v>376</v>
      </c>
      <c r="R87" s="275">
        <v>2156.69</v>
      </c>
      <c r="S87" s="268"/>
      <c r="T87" s="276">
        <f t="shared" si="27"/>
        <v>2156.69</v>
      </c>
      <c r="U87" s="277">
        <f t="shared" si="6"/>
        <v>2156.69</v>
      </c>
      <c r="V87" s="278">
        <f t="shared" si="7"/>
        <v>0</v>
      </c>
      <c r="W87" s="275">
        <f t="shared" si="8"/>
        <v>2156.69</v>
      </c>
      <c r="X87" s="276">
        <f t="shared" si="29"/>
        <v>2156.69</v>
      </c>
      <c r="Y87" s="280">
        <v>16</v>
      </c>
      <c r="Z87" s="268"/>
    </row>
    <row r="88" spans="1:26">
      <c r="A88" s="8">
        <v>79</v>
      </c>
      <c r="B88" s="268" t="s">
        <v>1413</v>
      </c>
      <c r="C88" s="268" t="s">
        <v>1479</v>
      </c>
      <c r="D88" s="269">
        <v>2369.52</v>
      </c>
      <c r="E88" s="270">
        <v>498.21000000000004</v>
      </c>
      <c r="F88" s="270">
        <v>501.22</v>
      </c>
      <c r="G88" s="270">
        <v>459.74</v>
      </c>
      <c r="H88" s="270">
        <v>462.27</v>
      </c>
      <c r="I88" s="271">
        <v>464.82</v>
      </c>
      <c r="J88" s="272">
        <v>6791.89</v>
      </c>
      <c r="K88" s="272">
        <v>6829.34</v>
      </c>
      <c r="L88" s="272">
        <v>13191.5</v>
      </c>
      <c r="M88" s="272">
        <v>13264.26</v>
      </c>
      <c r="N88" s="272">
        <v>688.41</v>
      </c>
      <c r="O88" s="272">
        <v>692.2</v>
      </c>
      <c r="P88" s="273">
        <v>43100</v>
      </c>
      <c r="Q88" s="274">
        <v>376</v>
      </c>
      <c r="R88" s="275">
        <v>46213.38</v>
      </c>
      <c r="S88" s="268"/>
      <c r="T88" s="276">
        <f t="shared" si="27"/>
        <v>46213.38</v>
      </c>
      <c r="U88" s="277">
        <f t="shared" si="6"/>
        <v>4755.7799999999988</v>
      </c>
      <c r="V88" s="278">
        <f t="shared" si="7"/>
        <v>41457.599999999999</v>
      </c>
      <c r="W88" s="275">
        <f t="shared" si="8"/>
        <v>46213.38</v>
      </c>
      <c r="X88" s="268"/>
      <c r="Y88" s="280" t="s">
        <v>1441</v>
      </c>
      <c r="Z88" s="268"/>
    </row>
    <row r="89" spans="1:26">
      <c r="A89" s="8">
        <v>80</v>
      </c>
      <c r="B89" s="268" t="s">
        <v>1413</v>
      </c>
      <c r="C89" s="268" t="s">
        <v>1480</v>
      </c>
      <c r="D89" s="269">
        <v>0</v>
      </c>
      <c r="E89" s="270">
        <v>0</v>
      </c>
      <c r="F89" s="270">
        <v>0</v>
      </c>
      <c r="G89" s="270">
        <v>0</v>
      </c>
      <c r="H89" s="270">
        <v>0</v>
      </c>
      <c r="I89" s="271">
        <v>0</v>
      </c>
      <c r="J89" s="272">
        <v>0</v>
      </c>
      <c r="K89" s="272">
        <v>0</v>
      </c>
      <c r="L89" s="272">
        <v>0</v>
      </c>
      <c r="M89" s="272">
        <v>31622.5</v>
      </c>
      <c r="N89" s="272">
        <v>31796.9</v>
      </c>
      <c r="O89" s="272">
        <v>349.76</v>
      </c>
      <c r="P89" s="274"/>
      <c r="Q89" s="274"/>
      <c r="R89" s="275">
        <v>63769.16</v>
      </c>
      <c r="S89" s="268"/>
      <c r="T89" s="276">
        <f t="shared" si="27"/>
        <v>63769.16</v>
      </c>
      <c r="U89" s="277">
        <f t="shared" si="6"/>
        <v>0</v>
      </c>
      <c r="V89" s="278">
        <f t="shared" si="7"/>
        <v>63769.16</v>
      </c>
      <c r="W89" s="275">
        <f t="shared" si="8"/>
        <v>63769.16</v>
      </c>
      <c r="X89" s="279"/>
      <c r="Y89" s="280" t="s">
        <v>1426</v>
      </c>
      <c r="Z89" s="268"/>
    </row>
    <row r="90" spans="1:26">
      <c r="A90" s="8">
        <v>81</v>
      </c>
      <c r="B90" s="268" t="s">
        <v>1413</v>
      </c>
      <c r="C90" s="268" t="s">
        <v>1481</v>
      </c>
      <c r="D90" s="269">
        <v>3497.14</v>
      </c>
      <c r="E90" s="270">
        <v>112509</v>
      </c>
      <c r="F90" s="270">
        <v>4502.29</v>
      </c>
      <c r="G90" s="270">
        <v>2444.4900000000002</v>
      </c>
      <c r="H90" s="270">
        <v>0</v>
      </c>
      <c r="I90" s="271">
        <v>0</v>
      </c>
      <c r="J90" s="272">
        <v>0</v>
      </c>
      <c r="K90" s="272">
        <v>0</v>
      </c>
      <c r="L90" s="272">
        <v>0</v>
      </c>
      <c r="M90" s="272">
        <v>0</v>
      </c>
      <c r="N90" s="272">
        <v>0</v>
      </c>
      <c r="O90" s="272">
        <v>0</v>
      </c>
      <c r="P90" s="273">
        <v>42762</v>
      </c>
      <c r="Q90" s="274">
        <v>376</v>
      </c>
      <c r="R90" s="275">
        <v>122952.92</v>
      </c>
      <c r="S90" s="268"/>
      <c r="T90" s="276">
        <f t="shared" si="27"/>
        <v>122952.92</v>
      </c>
      <c r="U90" s="277">
        <f t="shared" si="6"/>
        <v>122952.92</v>
      </c>
      <c r="V90" s="278">
        <f t="shared" si="7"/>
        <v>0</v>
      </c>
      <c r="W90" s="275">
        <f t="shared" si="8"/>
        <v>122952.92</v>
      </c>
      <c r="X90" s="276">
        <f t="shared" ref="X90" si="30">+T90</f>
        <v>122952.92</v>
      </c>
      <c r="Y90" s="280">
        <v>40</v>
      </c>
      <c r="Z90" s="268"/>
    </row>
    <row r="91" spans="1:26">
      <c r="A91" s="8">
        <v>82</v>
      </c>
      <c r="B91" s="268" t="s">
        <v>1413</v>
      </c>
      <c r="C91" s="268" t="s">
        <v>1482</v>
      </c>
      <c r="D91" s="269">
        <v>4298.6900000000005</v>
      </c>
      <c r="E91" s="270">
        <v>131.43</v>
      </c>
      <c r="F91" s="270">
        <v>72385.89</v>
      </c>
      <c r="G91" s="270">
        <v>2534.62</v>
      </c>
      <c r="H91" s="270">
        <v>0</v>
      </c>
      <c r="I91" s="271">
        <v>0</v>
      </c>
      <c r="J91" s="272">
        <v>0</v>
      </c>
      <c r="K91" s="272">
        <v>0</v>
      </c>
      <c r="L91" s="272">
        <v>0</v>
      </c>
      <c r="M91" s="272">
        <v>0</v>
      </c>
      <c r="N91" s="272">
        <v>0</v>
      </c>
      <c r="O91" s="272">
        <v>0</v>
      </c>
      <c r="P91" s="273">
        <v>42748</v>
      </c>
      <c r="Q91" s="274">
        <v>376</v>
      </c>
      <c r="R91" s="275">
        <v>79350.63</v>
      </c>
      <c r="S91" s="268"/>
      <c r="T91" s="276">
        <f t="shared" si="27"/>
        <v>79350.63</v>
      </c>
      <c r="U91" s="277">
        <f t="shared" ref="U91:U154" si="31">SUM(D91:I91)</f>
        <v>79350.62999999999</v>
      </c>
      <c r="V91" s="278">
        <f t="shared" ref="V91:V154" si="32">SUM(J91:O91)</f>
        <v>0</v>
      </c>
      <c r="W91" s="275">
        <f t="shared" ref="W91:W154" si="33">U91+V91</f>
        <v>79350.62999999999</v>
      </c>
      <c r="X91" s="268"/>
      <c r="Y91" s="280" t="s">
        <v>1441</v>
      </c>
      <c r="Z91" s="268"/>
    </row>
    <row r="92" spans="1:26">
      <c r="A92" s="8">
        <v>83</v>
      </c>
      <c r="B92" s="268" t="s">
        <v>1413</v>
      </c>
      <c r="C92" s="268" t="s">
        <v>1483</v>
      </c>
      <c r="D92" s="269">
        <v>0</v>
      </c>
      <c r="E92" s="270">
        <v>2967.5</v>
      </c>
      <c r="F92" s="270">
        <v>71.25</v>
      </c>
      <c r="G92" s="270">
        <v>237.5</v>
      </c>
      <c r="H92" s="270">
        <v>6075.27</v>
      </c>
      <c r="I92" s="271">
        <v>84.66</v>
      </c>
      <c r="J92" s="272">
        <v>0</v>
      </c>
      <c r="K92" s="272">
        <v>0</v>
      </c>
      <c r="L92" s="272">
        <v>0</v>
      </c>
      <c r="M92" s="272">
        <v>0</v>
      </c>
      <c r="N92" s="272">
        <v>0</v>
      </c>
      <c r="O92" s="272">
        <v>0</v>
      </c>
      <c r="P92" s="273">
        <v>42582</v>
      </c>
      <c r="Q92" s="274">
        <v>376</v>
      </c>
      <c r="R92" s="275">
        <v>9436.18</v>
      </c>
      <c r="S92" s="268"/>
      <c r="T92" s="276">
        <f t="shared" si="27"/>
        <v>9436.18</v>
      </c>
      <c r="U92" s="277">
        <f t="shared" si="31"/>
        <v>9436.18</v>
      </c>
      <c r="V92" s="278">
        <f t="shared" si="32"/>
        <v>0</v>
      </c>
      <c r="W92" s="275">
        <f t="shared" si="33"/>
        <v>9436.18</v>
      </c>
      <c r="X92" s="279"/>
      <c r="Y92" s="280" t="s">
        <v>1444</v>
      </c>
      <c r="Z92" s="268"/>
    </row>
    <row r="93" spans="1:26">
      <c r="A93" s="8">
        <v>84</v>
      </c>
      <c r="B93" s="268" t="s">
        <v>1413</v>
      </c>
      <c r="C93" s="268" t="s">
        <v>1484</v>
      </c>
      <c r="D93" s="269">
        <v>222.14000000000001</v>
      </c>
      <c r="E93" s="270">
        <v>0</v>
      </c>
      <c r="F93" s="270">
        <v>0</v>
      </c>
      <c r="G93" s="270">
        <v>0</v>
      </c>
      <c r="H93" s="270">
        <v>0</v>
      </c>
      <c r="I93" s="271">
        <v>0</v>
      </c>
      <c r="J93" s="272">
        <v>0</v>
      </c>
      <c r="K93" s="272">
        <v>0</v>
      </c>
      <c r="L93" s="272">
        <v>0</v>
      </c>
      <c r="M93" s="272">
        <v>0</v>
      </c>
      <c r="N93" s="272">
        <v>0</v>
      </c>
      <c r="O93" s="272">
        <v>0</v>
      </c>
      <c r="P93" s="273">
        <v>42734</v>
      </c>
      <c r="Q93" s="274">
        <v>376</v>
      </c>
      <c r="R93" s="275">
        <v>222.14000000000001</v>
      </c>
      <c r="S93" s="268"/>
      <c r="T93" s="276">
        <f t="shared" si="27"/>
        <v>222.14000000000001</v>
      </c>
      <c r="U93" s="277">
        <f t="shared" si="31"/>
        <v>222.14000000000001</v>
      </c>
      <c r="V93" s="278">
        <f t="shared" si="32"/>
        <v>0</v>
      </c>
      <c r="W93" s="275">
        <f t="shared" si="33"/>
        <v>222.14000000000001</v>
      </c>
      <c r="X93" s="276">
        <f t="shared" ref="X93:X95" si="34">+T93</f>
        <v>222.14000000000001</v>
      </c>
      <c r="Y93" s="280">
        <v>25</v>
      </c>
      <c r="Z93" s="268"/>
    </row>
    <row r="94" spans="1:26">
      <c r="A94" s="8">
        <v>85</v>
      </c>
      <c r="B94" s="268" t="s">
        <v>1413</v>
      </c>
      <c r="C94" s="268" t="s">
        <v>1485</v>
      </c>
      <c r="D94" s="269">
        <v>0</v>
      </c>
      <c r="E94" s="270">
        <v>2200.67</v>
      </c>
      <c r="F94" s="270">
        <v>10498.99</v>
      </c>
      <c r="G94" s="270">
        <v>0</v>
      </c>
      <c r="H94" s="270">
        <v>0</v>
      </c>
      <c r="I94" s="271">
        <v>0</v>
      </c>
      <c r="J94" s="272">
        <v>0</v>
      </c>
      <c r="K94" s="272">
        <v>0</v>
      </c>
      <c r="L94" s="272">
        <v>0</v>
      </c>
      <c r="M94" s="272">
        <v>0</v>
      </c>
      <c r="N94" s="272">
        <v>0</v>
      </c>
      <c r="O94" s="272">
        <v>0</v>
      </c>
      <c r="P94" s="273">
        <v>42734</v>
      </c>
      <c r="Q94" s="274">
        <v>376</v>
      </c>
      <c r="R94" s="275">
        <v>12699.66</v>
      </c>
      <c r="S94" s="268"/>
      <c r="T94" s="276">
        <f t="shared" si="27"/>
        <v>12699.66</v>
      </c>
      <c r="U94" s="277">
        <f t="shared" si="31"/>
        <v>12699.66</v>
      </c>
      <c r="V94" s="278">
        <f t="shared" si="32"/>
        <v>0</v>
      </c>
      <c r="W94" s="275">
        <f t="shared" si="33"/>
        <v>12699.66</v>
      </c>
      <c r="X94" s="276">
        <f t="shared" si="34"/>
        <v>12699.66</v>
      </c>
      <c r="Y94" s="280">
        <v>26</v>
      </c>
      <c r="Z94" s="268"/>
    </row>
    <row r="95" spans="1:26">
      <c r="A95" s="8">
        <v>86</v>
      </c>
      <c r="B95" s="268" t="s">
        <v>1413</v>
      </c>
      <c r="C95" s="268" t="s">
        <v>1486</v>
      </c>
      <c r="D95" s="269">
        <v>-33.33</v>
      </c>
      <c r="E95" s="270">
        <v>0</v>
      </c>
      <c r="F95" s="270">
        <v>0</v>
      </c>
      <c r="G95" s="270">
        <v>0</v>
      </c>
      <c r="H95" s="270">
        <v>0</v>
      </c>
      <c r="I95" s="271">
        <v>2548.33</v>
      </c>
      <c r="J95" s="272">
        <v>0</v>
      </c>
      <c r="K95" s="272">
        <v>0</v>
      </c>
      <c r="L95" s="272">
        <v>0</v>
      </c>
      <c r="M95" s="272">
        <v>0</v>
      </c>
      <c r="N95" s="272">
        <v>0</v>
      </c>
      <c r="O95" s="272">
        <v>0</v>
      </c>
      <c r="P95" s="273">
        <v>42734</v>
      </c>
      <c r="Q95" s="274">
        <v>376</v>
      </c>
      <c r="R95" s="275">
        <v>2515</v>
      </c>
      <c r="S95" s="268"/>
      <c r="T95" s="276">
        <f t="shared" si="27"/>
        <v>2515</v>
      </c>
      <c r="U95" s="277">
        <f t="shared" si="31"/>
        <v>2515</v>
      </c>
      <c r="V95" s="278">
        <f t="shared" si="32"/>
        <v>0</v>
      </c>
      <c r="W95" s="275">
        <f t="shared" si="33"/>
        <v>2515</v>
      </c>
      <c r="X95" s="276">
        <f t="shared" si="34"/>
        <v>2515</v>
      </c>
      <c r="Y95" s="280">
        <v>27</v>
      </c>
      <c r="Z95" s="268"/>
    </row>
    <row r="96" spans="1:26">
      <c r="A96" s="8">
        <v>87</v>
      </c>
      <c r="B96" s="268" t="s">
        <v>1413</v>
      </c>
      <c r="C96" s="268" t="s">
        <v>1487</v>
      </c>
      <c r="D96" s="269">
        <v>9863.48</v>
      </c>
      <c r="E96" s="270">
        <v>2148.87</v>
      </c>
      <c r="F96" s="270">
        <v>24019.4</v>
      </c>
      <c r="G96" s="270">
        <v>8062.06</v>
      </c>
      <c r="H96" s="270">
        <v>21059.420000000002</v>
      </c>
      <c r="I96" s="271">
        <v>10013.83</v>
      </c>
      <c r="J96" s="272">
        <v>0</v>
      </c>
      <c r="K96" s="272">
        <v>0</v>
      </c>
      <c r="L96" s="272">
        <v>0</v>
      </c>
      <c r="M96" s="272">
        <v>0</v>
      </c>
      <c r="N96" s="272">
        <v>0</v>
      </c>
      <c r="O96" s="272">
        <v>0</v>
      </c>
      <c r="P96" s="274"/>
      <c r="Q96" s="274"/>
      <c r="R96" s="275">
        <v>75167.06</v>
      </c>
      <c r="S96" s="268"/>
      <c r="T96" s="276"/>
      <c r="U96" s="277">
        <f t="shared" si="31"/>
        <v>75167.06</v>
      </c>
      <c r="V96" s="278">
        <f t="shared" si="32"/>
        <v>0</v>
      </c>
      <c r="W96" s="275">
        <f t="shared" si="33"/>
        <v>75167.06</v>
      </c>
      <c r="X96" s="268"/>
      <c r="Y96" s="280"/>
      <c r="Z96" s="268"/>
    </row>
    <row r="97" spans="1:26">
      <c r="A97" s="8">
        <v>88</v>
      </c>
      <c r="B97" s="268" t="s">
        <v>1413</v>
      </c>
      <c r="C97" s="268" t="s">
        <v>1488</v>
      </c>
      <c r="D97" s="269">
        <v>4653.5</v>
      </c>
      <c r="E97" s="270">
        <v>73.14</v>
      </c>
      <c r="F97" s="270">
        <v>73.59</v>
      </c>
      <c r="G97" s="270">
        <v>67.5</v>
      </c>
      <c r="H97" s="270">
        <v>67.87</v>
      </c>
      <c r="I97" s="271">
        <v>68.239999999999995</v>
      </c>
      <c r="J97" s="272">
        <v>68.62</v>
      </c>
      <c r="K97" s="272">
        <v>69</v>
      </c>
      <c r="L97" s="272">
        <v>69.38</v>
      </c>
      <c r="M97" s="272">
        <v>69.77</v>
      </c>
      <c r="N97" s="272">
        <v>70.14</v>
      </c>
      <c r="O97" s="272">
        <v>70.53</v>
      </c>
      <c r="P97" s="274"/>
      <c r="Q97" s="274"/>
      <c r="R97" s="275">
        <v>5421.28</v>
      </c>
      <c r="S97" s="268"/>
      <c r="T97" s="276"/>
      <c r="U97" s="277">
        <f t="shared" si="31"/>
        <v>5003.84</v>
      </c>
      <c r="V97" s="278">
        <f t="shared" si="32"/>
        <v>417.43999999999994</v>
      </c>
      <c r="W97" s="275">
        <f t="shared" si="33"/>
        <v>5421.28</v>
      </c>
      <c r="X97" s="268"/>
      <c r="Y97" s="280"/>
      <c r="Z97" s="268"/>
    </row>
    <row r="98" spans="1:26">
      <c r="A98" s="8">
        <v>89</v>
      </c>
      <c r="B98" s="268" t="s">
        <v>1413</v>
      </c>
      <c r="C98" s="268" t="s">
        <v>1489</v>
      </c>
      <c r="D98" s="269">
        <v>2500.2800000000002</v>
      </c>
      <c r="E98" s="270">
        <v>725.07</v>
      </c>
      <c r="F98" s="270">
        <v>3929.07</v>
      </c>
      <c r="G98" s="270">
        <v>0</v>
      </c>
      <c r="H98" s="270">
        <v>6231.4000000000005</v>
      </c>
      <c r="I98" s="271">
        <v>471.15000000000003</v>
      </c>
      <c r="J98" s="272">
        <v>0</v>
      </c>
      <c r="K98" s="272">
        <v>0</v>
      </c>
      <c r="L98" s="272">
        <v>0</v>
      </c>
      <c r="M98" s="272">
        <v>0</v>
      </c>
      <c r="N98" s="272">
        <v>0</v>
      </c>
      <c r="O98" s="272">
        <v>0</v>
      </c>
      <c r="P98" s="273">
        <v>42811</v>
      </c>
      <c r="Q98" s="274">
        <v>378</v>
      </c>
      <c r="R98" s="275">
        <v>13856.970000000001</v>
      </c>
      <c r="S98" s="268"/>
      <c r="T98" s="276">
        <f>+R98</f>
        <v>13856.970000000001</v>
      </c>
      <c r="U98" s="277">
        <f t="shared" si="31"/>
        <v>13856.97</v>
      </c>
      <c r="V98" s="278">
        <f t="shared" si="32"/>
        <v>0</v>
      </c>
      <c r="W98" s="275">
        <f t="shared" si="33"/>
        <v>13856.97</v>
      </c>
      <c r="X98" s="276">
        <f>+T98</f>
        <v>13856.970000000001</v>
      </c>
      <c r="Y98" s="280">
        <v>37</v>
      </c>
      <c r="Z98" s="268"/>
    </row>
    <row r="99" spans="1:26">
      <c r="A99" s="8">
        <v>90</v>
      </c>
      <c r="B99" s="268" t="s">
        <v>1413</v>
      </c>
      <c r="C99" s="268" t="s">
        <v>1490</v>
      </c>
      <c r="D99" s="269">
        <v>0</v>
      </c>
      <c r="E99" s="270">
        <v>0</v>
      </c>
      <c r="F99" s="270">
        <v>0</v>
      </c>
      <c r="G99" s="270">
        <v>7416.25</v>
      </c>
      <c r="H99" s="270">
        <v>0</v>
      </c>
      <c r="I99" s="271">
        <v>0</v>
      </c>
      <c r="J99" s="272">
        <v>0</v>
      </c>
      <c r="K99" s="272">
        <v>0</v>
      </c>
      <c r="L99" s="272">
        <v>0</v>
      </c>
      <c r="M99" s="272">
        <v>0</v>
      </c>
      <c r="N99" s="272">
        <v>0</v>
      </c>
      <c r="O99" s="272">
        <v>0</v>
      </c>
      <c r="P99" s="273">
        <v>42643</v>
      </c>
      <c r="Q99" s="274">
        <v>378</v>
      </c>
      <c r="R99" s="275">
        <v>7416.25</v>
      </c>
      <c r="S99" s="268"/>
      <c r="T99" s="276">
        <f>+R99</f>
        <v>7416.25</v>
      </c>
      <c r="U99" s="277">
        <f t="shared" si="31"/>
        <v>7416.25</v>
      </c>
      <c r="V99" s="278">
        <f t="shared" si="32"/>
        <v>0</v>
      </c>
      <c r="W99" s="275">
        <f t="shared" si="33"/>
        <v>7416.25</v>
      </c>
      <c r="X99" s="276">
        <f>+T99</f>
        <v>7416.25</v>
      </c>
      <c r="Y99" s="280">
        <v>38</v>
      </c>
      <c r="Z99" s="268"/>
    </row>
    <row r="100" spans="1:26">
      <c r="A100" s="8">
        <v>91</v>
      </c>
      <c r="B100" s="268" t="s">
        <v>1413</v>
      </c>
      <c r="C100" s="268" t="s">
        <v>1491</v>
      </c>
      <c r="D100" s="269">
        <v>0</v>
      </c>
      <c r="E100" s="270">
        <v>0</v>
      </c>
      <c r="F100" s="270">
        <v>0</v>
      </c>
      <c r="G100" s="270">
        <v>0</v>
      </c>
      <c r="H100" s="270">
        <v>0</v>
      </c>
      <c r="I100" s="271">
        <v>0</v>
      </c>
      <c r="J100" s="272">
        <v>0</v>
      </c>
      <c r="K100" s="272">
        <v>0</v>
      </c>
      <c r="L100" s="272">
        <v>0</v>
      </c>
      <c r="M100" s="272">
        <v>55655.6</v>
      </c>
      <c r="N100" s="272">
        <v>306.94</v>
      </c>
      <c r="O100" s="272">
        <v>308.63</v>
      </c>
      <c r="P100" s="274"/>
      <c r="Q100" s="274"/>
      <c r="R100" s="275">
        <v>56271.17</v>
      </c>
      <c r="S100" s="268"/>
      <c r="T100" s="276">
        <f>+R100</f>
        <v>56271.17</v>
      </c>
      <c r="U100" s="277">
        <f t="shared" si="31"/>
        <v>0</v>
      </c>
      <c r="V100" s="278">
        <f t="shared" si="32"/>
        <v>56271.17</v>
      </c>
      <c r="W100" s="275">
        <f t="shared" si="33"/>
        <v>56271.17</v>
      </c>
      <c r="X100" s="276">
        <f>+T100</f>
        <v>56271.17</v>
      </c>
      <c r="Y100" s="280">
        <v>21</v>
      </c>
      <c r="Z100" s="268"/>
    </row>
    <row r="101" spans="1:26">
      <c r="A101" s="8">
        <v>92</v>
      </c>
      <c r="B101" s="268" t="s">
        <v>1413</v>
      </c>
      <c r="C101" s="268" t="s">
        <v>1492</v>
      </c>
      <c r="D101" s="269">
        <v>2.5</v>
      </c>
      <c r="E101" s="270">
        <v>2.52</v>
      </c>
      <c r="F101" s="270">
        <v>2.54</v>
      </c>
      <c r="G101" s="270">
        <v>2.33</v>
      </c>
      <c r="H101" s="270">
        <v>2.34</v>
      </c>
      <c r="I101" s="271">
        <v>2.35</v>
      </c>
      <c r="J101" s="272">
        <v>2.37</v>
      </c>
      <c r="K101" s="272">
        <v>2.38</v>
      </c>
      <c r="L101" s="272">
        <v>2.4</v>
      </c>
      <c r="M101" s="272">
        <v>2.4</v>
      </c>
      <c r="N101" s="272">
        <v>2.42</v>
      </c>
      <c r="O101" s="272">
        <v>2.4300000000000002</v>
      </c>
      <c r="P101" s="273">
        <v>43465</v>
      </c>
      <c r="Q101" s="274">
        <v>376</v>
      </c>
      <c r="R101" s="275">
        <v>28.98</v>
      </c>
      <c r="S101" s="268"/>
      <c r="T101" s="276"/>
      <c r="U101" s="277">
        <f t="shared" si="31"/>
        <v>14.58</v>
      </c>
      <c r="V101" s="278">
        <f t="shared" si="32"/>
        <v>14.4</v>
      </c>
      <c r="W101" s="275">
        <f t="shared" si="33"/>
        <v>28.98</v>
      </c>
      <c r="X101" s="268"/>
      <c r="Y101" s="280"/>
      <c r="Z101" s="268"/>
    </row>
    <row r="102" spans="1:26">
      <c r="A102" s="8">
        <v>93</v>
      </c>
      <c r="B102" s="268" t="s">
        <v>1413</v>
      </c>
      <c r="C102" s="268" t="s">
        <v>1493</v>
      </c>
      <c r="D102" s="269">
        <v>4625.59</v>
      </c>
      <c r="E102" s="270">
        <v>0</v>
      </c>
      <c r="F102" s="270">
        <v>5624.87</v>
      </c>
      <c r="G102" s="270">
        <v>3751.23</v>
      </c>
      <c r="H102" s="270">
        <v>7515.13</v>
      </c>
      <c r="I102" s="271">
        <v>64.680000000000007</v>
      </c>
      <c r="J102" s="272">
        <v>0</v>
      </c>
      <c r="K102" s="272">
        <v>0</v>
      </c>
      <c r="L102" s="272">
        <v>0</v>
      </c>
      <c r="M102" s="272">
        <v>0</v>
      </c>
      <c r="N102" s="272">
        <v>0</v>
      </c>
      <c r="O102" s="272">
        <v>0</v>
      </c>
      <c r="P102" s="274"/>
      <c r="Q102" s="274"/>
      <c r="R102" s="275">
        <v>21581.5</v>
      </c>
      <c r="S102" s="268"/>
      <c r="T102" s="276"/>
      <c r="U102" s="277">
        <f t="shared" si="31"/>
        <v>21581.5</v>
      </c>
      <c r="V102" s="278">
        <f t="shared" si="32"/>
        <v>0</v>
      </c>
      <c r="W102" s="275">
        <f t="shared" si="33"/>
        <v>21581.5</v>
      </c>
      <c r="X102" s="268"/>
      <c r="Y102" s="280"/>
      <c r="Z102" s="268"/>
    </row>
    <row r="103" spans="1:26">
      <c r="A103" s="8">
        <v>94</v>
      </c>
      <c r="B103" s="268" t="s">
        <v>1413</v>
      </c>
      <c r="C103" s="268" t="s">
        <v>1494</v>
      </c>
      <c r="D103" s="269">
        <v>0</v>
      </c>
      <c r="E103" s="270">
        <v>0</v>
      </c>
      <c r="F103" s="270">
        <v>0</v>
      </c>
      <c r="G103" s="270">
        <v>0</v>
      </c>
      <c r="H103" s="270">
        <v>0</v>
      </c>
      <c r="I103" s="271">
        <v>0</v>
      </c>
      <c r="J103" s="272">
        <v>34784.75</v>
      </c>
      <c r="K103" s="272">
        <v>38138.840000000004</v>
      </c>
      <c r="L103" s="272">
        <v>32024.670000000002</v>
      </c>
      <c r="M103" s="272">
        <v>578.79</v>
      </c>
      <c r="N103" s="272">
        <v>581.98</v>
      </c>
      <c r="O103" s="272">
        <v>585.19000000000005</v>
      </c>
      <c r="P103" s="274"/>
      <c r="Q103" s="274"/>
      <c r="R103" s="275">
        <v>106694.22</v>
      </c>
      <c r="S103" s="268"/>
      <c r="T103" s="276"/>
      <c r="U103" s="277">
        <f t="shared" si="31"/>
        <v>0</v>
      </c>
      <c r="V103" s="278">
        <f t="shared" si="32"/>
        <v>106694.21999999999</v>
      </c>
      <c r="W103" s="275">
        <f t="shared" si="33"/>
        <v>106694.21999999999</v>
      </c>
      <c r="X103" s="268"/>
      <c r="Y103" s="280"/>
      <c r="Z103" s="268"/>
    </row>
    <row r="104" spans="1:26">
      <c r="A104" s="8">
        <v>95</v>
      </c>
      <c r="B104" s="268" t="s">
        <v>1413</v>
      </c>
      <c r="C104" s="268" t="s">
        <v>1495</v>
      </c>
      <c r="D104" s="269">
        <v>48448.88</v>
      </c>
      <c r="E104" s="270">
        <v>344.81</v>
      </c>
      <c r="F104" s="270">
        <v>346.90000000000003</v>
      </c>
      <c r="G104" s="270">
        <v>318.18</v>
      </c>
      <c r="H104" s="270">
        <v>319.94</v>
      </c>
      <c r="I104" s="271">
        <v>14476.73</v>
      </c>
      <c r="J104" s="272">
        <v>6324.5</v>
      </c>
      <c r="K104" s="272">
        <v>0</v>
      </c>
      <c r="L104" s="272">
        <v>0</v>
      </c>
      <c r="M104" s="272">
        <v>0</v>
      </c>
      <c r="N104" s="272">
        <v>0</v>
      </c>
      <c r="O104" s="272">
        <v>0</v>
      </c>
      <c r="P104" s="274"/>
      <c r="Q104" s="274"/>
      <c r="R104" s="275">
        <v>70579.94</v>
      </c>
      <c r="S104" s="268"/>
      <c r="T104" s="276"/>
      <c r="U104" s="277">
        <f t="shared" si="31"/>
        <v>64255.44</v>
      </c>
      <c r="V104" s="278">
        <f t="shared" si="32"/>
        <v>6324.5</v>
      </c>
      <c r="W104" s="275">
        <f t="shared" si="33"/>
        <v>70579.94</v>
      </c>
      <c r="X104" s="268"/>
      <c r="Y104" s="280"/>
      <c r="Z104" s="268"/>
    </row>
    <row r="105" spans="1:26">
      <c r="A105" s="8">
        <v>96</v>
      </c>
      <c r="B105" s="268" t="s">
        <v>1413</v>
      </c>
      <c r="C105" s="268" t="s">
        <v>1496</v>
      </c>
      <c r="D105" s="269">
        <v>170.24</v>
      </c>
      <c r="E105" s="270">
        <v>171.28</v>
      </c>
      <c r="F105" s="270">
        <v>172.31</v>
      </c>
      <c r="G105" s="270">
        <v>158.05000000000001</v>
      </c>
      <c r="H105" s="270">
        <v>37645.800000000003</v>
      </c>
      <c r="I105" s="271">
        <v>361.74</v>
      </c>
      <c r="J105" s="272">
        <v>1628.65</v>
      </c>
      <c r="K105" s="272">
        <v>0</v>
      </c>
      <c r="L105" s="272">
        <v>0</v>
      </c>
      <c r="M105" s="272">
        <v>0</v>
      </c>
      <c r="N105" s="272">
        <v>0</v>
      </c>
      <c r="O105" s="272">
        <v>0</v>
      </c>
      <c r="P105" s="274"/>
      <c r="Q105" s="274"/>
      <c r="R105" s="275">
        <v>40308.07</v>
      </c>
      <c r="S105" s="268"/>
      <c r="T105" s="276"/>
      <c r="U105" s="277">
        <f t="shared" si="31"/>
        <v>38679.42</v>
      </c>
      <c r="V105" s="278">
        <f t="shared" si="32"/>
        <v>1628.65</v>
      </c>
      <c r="W105" s="275">
        <f t="shared" si="33"/>
        <v>40308.07</v>
      </c>
      <c r="X105" s="268"/>
      <c r="Y105" s="280"/>
      <c r="Z105" s="268"/>
    </row>
    <row r="106" spans="1:26">
      <c r="A106" s="8">
        <v>97</v>
      </c>
      <c r="B106" s="268" t="s">
        <v>1413</v>
      </c>
      <c r="C106" s="268" t="s">
        <v>1497</v>
      </c>
      <c r="D106" s="269">
        <v>0</v>
      </c>
      <c r="E106" s="270">
        <v>0</v>
      </c>
      <c r="F106" s="270">
        <v>0</v>
      </c>
      <c r="G106" s="270">
        <v>0</v>
      </c>
      <c r="H106" s="270">
        <v>0</v>
      </c>
      <c r="I106" s="271">
        <v>0</v>
      </c>
      <c r="J106" s="272">
        <v>0</v>
      </c>
      <c r="K106" s="272">
        <v>0</v>
      </c>
      <c r="L106" s="272">
        <v>50596</v>
      </c>
      <c r="M106" s="272">
        <v>50596</v>
      </c>
      <c r="N106" s="272">
        <v>0</v>
      </c>
      <c r="O106" s="272">
        <v>0</v>
      </c>
      <c r="P106" s="274"/>
      <c r="Q106" s="274"/>
      <c r="R106" s="275">
        <v>101192</v>
      </c>
      <c r="S106" s="268"/>
      <c r="T106" s="276"/>
      <c r="U106" s="277">
        <f t="shared" si="31"/>
        <v>0</v>
      </c>
      <c r="V106" s="278">
        <f t="shared" si="32"/>
        <v>101192</v>
      </c>
      <c r="W106" s="275">
        <f t="shared" si="33"/>
        <v>101192</v>
      </c>
      <c r="X106" s="268"/>
      <c r="Y106" s="280"/>
      <c r="Z106" s="268"/>
    </row>
    <row r="107" spans="1:26">
      <c r="A107" s="8">
        <v>98</v>
      </c>
      <c r="B107" s="268" t="s">
        <v>1413</v>
      </c>
      <c r="C107" s="268" t="s">
        <v>1498</v>
      </c>
      <c r="D107" s="269">
        <v>0</v>
      </c>
      <c r="E107" s="270">
        <v>0</v>
      </c>
      <c r="F107" s="270">
        <v>0</v>
      </c>
      <c r="G107" s="270">
        <v>0</v>
      </c>
      <c r="H107" s="270">
        <v>0</v>
      </c>
      <c r="I107" s="271">
        <v>0</v>
      </c>
      <c r="J107" s="272">
        <v>0</v>
      </c>
      <c r="K107" s="272">
        <v>94867.5</v>
      </c>
      <c r="L107" s="272">
        <v>63768.19</v>
      </c>
      <c r="M107" s="272">
        <v>874.88</v>
      </c>
      <c r="N107" s="272">
        <v>879.7</v>
      </c>
      <c r="O107" s="272">
        <v>884.55000000000007</v>
      </c>
      <c r="P107" s="274"/>
      <c r="Q107" s="274"/>
      <c r="R107" s="275">
        <v>161274.82</v>
      </c>
      <c r="S107" s="268"/>
      <c r="T107" s="276"/>
      <c r="U107" s="277">
        <f t="shared" si="31"/>
        <v>0</v>
      </c>
      <c r="V107" s="278">
        <f t="shared" si="32"/>
        <v>161274.82</v>
      </c>
      <c r="W107" s="275">
        <f t="shared" si="33"/>
        <v>161274.82</v>
      </c>
      <c r="X107" s="268"/>
      <c r="Y107" s="280"/>
      <c r="Z107" s="268"/>
    </row>
    <row r="108" spans="1:26">
      <c r="A108" s="8">
        <v>99</v>
      </c>
      <c r="B108" s="268" t="s">
        <v>1413</v>
      </c>
      <c r="C108" s="268" t="s">
        <v>1651</v>
      </c>
      <c r="D108" s="269">
        <v>8.4499999999999993</v>
      </c>
      <c r="E108" s="270">
        <v>8.49</v>
      </c>
      <c r="F108" s="270">
        <v>8.5500000000000007</v>
      </c>
      <c r="G108" s="270">
        <v>12816.15</v>
      </c>
      <c r="H108" s="270">
        <v>36175.85</v>
      </c>
      <c r="I108" s="271">
        <v>6271.87</v>
      </c>
      <c r="J108" s="272">
        <v>0</v>
      </c>
      <c r="K108" s="272">
        <v>0</v>
      </c>
      <c r="L108" s="272">
        <v>0</v>
      </c>
      <c r="M108" s="272">
        <v>0</v>
      </c>
      <c r="N108" s="272">
        <v>0</v>
      </c>
      <c r="O108" s="272">
        <v>0</v>
      </c>
      <c r="P108" s="273">
        <v>42978</v>
      </c>
      <c r="Q108" s="274">
        <v>376</v>
      </c>
      <c r="R108" s="275">
        <v>55289.36</v>
      </c>
      <c r="S108" s="268"/>
      <c r="T108" s="276">
        <f>+R108</f>
        <v>55289.36</v>
      </c>
      <c r="U108" s="277">
        <f t="shared" si="31"/>
        <v>55289.36</v>
      </c>
      <c r="V108" s="278">
        <f t="shared" si="32"/>
        <v>0</v>
      </c>
      <c r="W108" s="275">
        <f t="shared" si="33"/>
        <v>55289.36</v>
      </c>
      <c r="X108" s="276">
        <f>+T108</f>
        <v>55289.36</v>
      </c>
      <c r="Y108" s="280">
        <v>17</v>
      </c>
      <c r="Z108" s="268"/>
    </row>
    <row r="109" spans="1:26">
      <c r="A109" s="8">
        <v>100</v>
      </c>
      <c r="B109" s="268" t="s">
        <v>1413</v>
      </c>
      <c r="C109" s="268" t="s">
        <v>1499</v>
      </c>
      <c r="D109" s="269">
        <v>1.29</v>
      </c>
      <c r="E109" s="270">
        <v>0</v>
      </c>
      <c r="F109" s="270">
        <v>3353.56</v>
      </c>
      <c r="G109" s="270">
        <v>17323.78</v>
      </c>
      <c r="H109" s="270">
        <v>133847.58000000002</v>
      </c>
      <c r="I109" s="271">
        <v>0</v>
      </c>
      <c r="J109" s="272">
        <v>825.23</v>
      </c>
      <c r="K109" s="272">
        <v>829.78</v>
      </c>
      <c r="L109" s="272">
        <v>834.35</v>
      </c>
      <c r="M109" s="272">
        <v>838.95</v>
      </c>
      <c r="N109" s="272">
        <v>843.59</v>
      </c>
      <c r="O109" s="272">
        <v>848.24</v>
      </c>
      <c r="P109" s="274"/>
      <c r="Q109" s="274"/>
      <c r="R109" s="275">
        <v>159546.35</v>
      </c>
      <c r="S109" s="268"/>
      <c r="T109" s="276"/>
      <c r="U109" s="277">
        <f t="shared" si="31"/>
        <v>154526.21000000002</v>
      </c>
      <c r="V109" s="278">
        <f t="shared" si="32"/>
        <v>5020.1400000000003</v>
      </c>
      <c r="W109" s="275">
        <f t="shared" si="33"/>
        <v>159546.35000000003</v>
      </c>
      <c r="X109" s="268"/>
      <c r="Y109" s="280">
        <v>1</v>
      </c>
      <c r="Z109" s="268"/>
    </row>
    <row r="110" spans="1:26">
      <c r="A110" s="8">
        <v>101</v>
      </c>
      <c r="B110" s="268" t="s">
        <v>1413</v>
      </c>
      <c r="C110" s="268" t="s">
        <v>1500</v>
      </c>
      <c r="D110" s="269">
        <v>64242.18</v>
      </c>
      <c r="E110" s="270">
        <v>60861.22</v>
      </c>
      <c r="F110" s="270">
        <v>84583.35</v>
      </c>
      <c r="G110" s="270">
        <v>83263.17</v>
      </c>
      <c r="H110" s="270">
        <v>129580.83</v>
      </c>
      <c r="I110" s="271">
        <v>70501.39</v>
      </c>
      <c r="J110" s="272">
        <v>99889.58</v>
      </c>
      <c r="K110" s="272">
        <v>99889.58</v>
      </c>
      <c r="L110" s="272">
        <v>99889.58</v>
      </c>
      <c r="M110" s="272">
        <v>99889.58</v>
      </c>
      <c r="N110" s="272">
        <v>99889.58</v>
      </c>
      <c r="O110" s="272">
        <v>99889.58</v>
      </c>
      <c r="P110" s="273">
        <v>43100</v>
      </c>
      <c r="Q110" s="274">
        <v>381</v>
      </c>
      <c r="R110" s="275">
        <v>1092369.6200000001</v>
      </c>
      <c r="S110" s="986">
        <f>+'State Allocation Formulas'!$L$25</f>
        <v>0.77239999999999998</v>
      </c>
      <c r="T110" s="276">
        <f>+R110*S110</f>
        <v>843746.2944880001</v>
      </c>
      <c r="U110" s="277">
        <f t="shared" si="31"/>
        <v>493032.14</v>
      </c>
      <c r="V110" s="278">
        <f t="shared" si="32"/>
        <v>599337.48</v>
      </c>
      <c r="W110" s="275">
        <f t="shared" si="33"/>
        <v>1092369.6200000001</v>
      </c>
      <c r="X110" s="279">
        <f t="shared" ref="X110" si="35">+T110</f>
        <v>843746.2944880001</v>
      </c>
      <c r="Y110" s="280">
        <v>51</v>
      </c>
      <c r="Z110" s="268"/>
    </row>
    <row r="111" spans="1:26">
      <c r="A111" s="8">
        <v>102</v>
      </c>
      <c r="B111" s="268" t="s">
        <v>1413</v>
      </c>
      <c r="C111" s="268" t="s">
        <v>1501</v>
      </c>
      <c r="D111" s="269">
        <v>320.5</v>
      </c>
      <c r="E111" s="270">
        <v>12080.95</v>
      </c>
      <c r="F111" s="270">
        <v>0</v>
      </c>
      <c r="G111" s="270">
        <v>0</v>
      </c>
      <c r="H111" s="270">
        <v>0</v>
      </c>
      <c r="I111" s="271">
        <v>0</v>
      </c>
      <c r="J111" s="272">
        <v>0</v>
      </c>
      <c r="K111" s="272">
        <v>0</v>
      </c>
      <c r="L111" s="272">
        <v>0</v>
      </c>
      <c r="M111" s="272">
        <v>0</v>
      </c>
      <c r="N111" s="272">
        <v>0</v>
      </c>
      <c r="O111" s="272">
        <v>0</v>
      </c>
      <c r="P111" s="273">
        <v>42735</v>
      </c>
      <c r="Q111" s="274">
        <v>376</v>
      </c>
      <c r="R111" s="275">
        <v>12401.45</v>
      </c>
      <c r="S111" s="268"/>
      <c r="T111" s="276">
        <f t="shared" ref="T111" si="36">+R111</f>
        <v>12401.45</v>
      </c>
      <c r="U111" s="277">
        <f t="shared" si="31"/>
        <v>12401.45</v>
      </c>
      <c r="V111" s="278">
        <f t="shared" si="32"/>
        <v>0</v>
      </c>
      <c r="W111" s="275">
        <f t="shared" si="33"/>
        <v>12401.45</v>
      </c>
      <c r="X111" s="268"/>
      <c r="Y111" s="280" t="s">
        <v>1426</v>
      </c>
      <c r="Z111" s="268"/>
    </row>
    <row r="112" spans="1:26">
      <c r="A112" s="8">
        <v>103</v>
      </c>
      <c r="B112" s="268" t="s">
        <v>1413</v>
      </c>
      <c r="C112" s="268" t="s">
        <v>1502</v>
      </c>
      <c r="D112" s="269">
        <v>6695.93</v>
      </c>
      <c r="E112" s="270">
        <v>0</v>
      </c>
      <c r="F112" s="270">
        <v>104622.8</v>
      </c>
      <c r="G112" s="270">
        <v>0</v>
      </c>
      <c r="H112" s="270">
        <v>-0.67</v>
      </c>
      <c r="I112" s="271">
        <v>0</v>
      </c>
      <c r="J112" s="272">
        <v>0</v>
      </c>
      <c r="K112" s="272">
        <v>0</v>
      </c>
      <c r="L112" s="272">
        <v>0</v>
      </c>
      <c r="M112" s="272">
        <v>0</v>
      </c>
      <c r="N112" s="272">
        <v>0</v>
      </c>
      <c r="O112" s="272">
        <v>0</v>
      </c>
      <c r="P112" s="273">
        <v>42735</v>
      </c>
      <c r="Q112" s="274">
        <v>376</v>
      </c>
      <c r="R112" s="275">
        <v>111318.06</v>
      </c>
      <c r="S112" s="268"/>
      <c r="T112" s="276">
        <f>+R112</f>
        <v>111318.06</v>
      </c>
      <c r="U112" s="277">
        <f t="shared" si="31"/>
        <v>111318.06000000001</v>
      </c>
      <c r="V112" s="278">
        <f t="shared" si="32"/>
        <v>0</v>
      </c>
      <c r="W112" s="275">
        <f t="shared" si="33"/>
        <v>111318.06000000001</v>
      </c>
      <c r="X112" s="276">
        <f>+T112</f>
        <v>111318.06</v>
      </c>
      <c r="Y112" s="280">
        <v>32</v>
      </c>
      <c r="Z112" s="268"/>
    </row>
    <row r="113" spans="1:26">
      <c r="A113" s="8">
        <v>104</v>
      </c>
      <c r="B113" s="268" t="s">
        <v>1413</v>
      </c>
      <c r="C113" s="268" t="s">
        <v>1503</v>
      </c>
      <c r="D113" s="269">
        <v>35.25</v>
      </c>
      <c r="E113" s="270">
        <v>45802.37</v>
      </c>
      <c r="F113" s="270">
        <v>13110.08</v>
      </c>
      <c r="G113" s="270">
        <v>51034.270000000004</v>
      </c>
      <c r="H113" s="270">
        <v>85.33</v>
      </c>
      <c r="I113" s="271">
        <v>0</v>
      </c>
      <c r="J113" s="272">
        <v>0</v>
      </c>
      <c r="K113" s="272">
        <v>0</v>
      </c>
      <c r="L113" s="272">
        <v>0</v>
      </c>
      <c r="M113" s="272">
        <v>0</v>
      </c>
      <c r="N113" s="272">
        <v>0</v>
      </c>
      <c r="O113" s="272">
        <v>0</v>
      </c>
      <c r="P113" s="273">
        <v>42917</v>
      </c>
      <c r="Q113" s="274">
        <v>376</v>
      </c>
      <c r="R113" s="275">
        <v>110067.3</v>
      </c>
      <c r="S113" s="268"/>
      <c r="T113" s="276">
        <f>+R113</f>
        <v>110067.3</v>
      </c>
      <c r="U113" s="277">
        <f t="shared" si="31"/>
        <v>110067.3</v>
      </c>
      <c r="V113" s="278">
        <f t="shared" si="32"/>
        <v>0</v>
      </c>
      <c r="W113" s="275">
        <f t="shared" si="33"/>
        <v>110067.3</v>
      </c>
      <c r="X113" s="276">
        <f t="shared" ref="X113" si="37">+T113</f>
        <v>110067.3</v>
      </c>
      <c r="Y113" s="280">
        <v>33</v>
      </c>
      <c r="Z113" s="268"/>
    </row>
    <row r="114" spans="1:26">
      <c r="A114" s="8">
        <v>105</v>
      </c>
      <c r="B114" s="268" t="s">
        <v>1413</v>
      </c>
      <c r="C114" s="268" t="s">
        <v>1504</v>
      </c>
      <c r="D114" s="269">
        <v>0</v>
      </c>
      <c r="E114" s="270">
        <v>0</v>
      </c>
      <c r="F114" s="270">
        <v>0</v>
      </c>
      <c r="G114" s="270">
        <v>0</v>
      </c>
      <c r="H114" s="270">
        <v>0</v>
      </c>
      <c r="I114" s="271">
        <v>0</v>
      </c>
      <c r="J114" s="272">
        <v>0</v>
      </c>
      <c r="K114" s="272">
        <v>193529.7</v>
      </c>
      <c r="L114" s="272">
        <v>1067.31</v>
      </c>
      <c r="M114" s="272">
        <v>1073.2</v>
      </c>
      <c r="N114" s="272">
        <v>1079.1300000000001</v>
      </c>
      <c r="O114" s="272">
        <v>1085.07</v>
      </c>
      <c r="P114" s="273">
        <v>43100</v>
      </c>
      <c r="Q114" s="274">
        <v>376</v>
      </c>
      <c r="R114" s="275">
        <v>197834.41</v>
      </c>
      <c r="S114" s="268"/>
      <c r="T114" s="276">
        <f t="shared" ref="T114:T120" si="38">+R114</f>
        <v>197834.41</v>
      </c>
      <c r="U114" s="277">
        <f t="shared" si="31"/>
        <v>0</v>
      </c>
      <c r="V114" s="278">
        <f t="shared" si="32"/>
        <v>197834.41000000003</v>
      </c>
      <c r="W114" s="275">
        <f t="shared" si="33"/>
        <v>197834.41000000003</v>
      </c>
      <c r="X114" s="279">
        <f>+T114</f>
        <v>197834.41</v>
      </c>
      <c r="Y114" s="280">
        <v>34</v>
      </c>
      <c r="Z114" s="268"/>
    </row>
    <row r="115" spans="1:26">
      <c r="A115" s="8">
        <v>106</v>
      </c>
      <c r="B115" s="268" t="s">
        <v>1413</v>
      </c>
      <c r="C115" s="268" t="s">
        <v>1505</v>
      </c>
      <c r="D115" s="269">
        <v>0</v>
      </c>
      <c r="E115" s="270">
        <v>0</v>
      </c>
      <c r="F115" s="270">
        <v>0</v>
      </c>
      <c r="G115" s="270">
        <v>27933.95</v>
      </c>
      <c r="H115" s="270">
        <v>86874.77</v>
      </c>
      <c r="I115" s="271">
        <v>42247.22</v>
      </c>
      <c r="J115" s="272">
        <v>23634.36</v>
      </c>
      <c r="K115" s="272">
        <v>41473.31</v>
      </c>
      <c r="L115" s="272">
        <v>42334.48</v>
      </c>
      <c r="M115" s="272">
        <v>254438.71</v>
      </c>
      <c r="N115" s="272">
        <v>265841.93</v>
      </c>
      <c r="O115" s="272">
        <v>257252.9</v>
      </c>
      <c r="P115" s="273">
        <v>43100</v>
      </c>
      <c r="Q115" s="274">
        <v>376</v>
      </c>
      <c r="R115" s="275">
        <v>1042031.63</v>
      </c>
      <c r="S115" s="268"/>
      <c r="T115" s="276">
        <f t="shared" si="38"/>
        <v>1042031.63</v>
      </c>
      <c r="U115" s="277">
        <f t="shared" si="31"/>
        <v>157055.94</v>
      </c>
      <c r="V115" s="278">
        <f t="shared" si="32"/>
        <v>884975.69000000006</v>
      </c>
      <c r="W115" s="275">
        <f t="shared" si="33"/>
        <v>1042031.6300000001</v>
      </c>
      <c r="X115" s="276">
        <f>+T115</f>
        <v>1042031.63</v>
      </c>
      <c r="Y115" s="280">
        <v>34</v>
      </c>
      <c r="Z115" s="268"/>
    </row>
    <row r="116" spans="1:26">
      <c r="A116" s="8">
        <v>107</v>
      </c>
      <c r="B116" s="268" t="s">
        <v>1413</v>
      </c>
      <c r="C116" s="268" t="s">
        <v>1506</v>
      </c>
      <c r="D116" s="269">
        <v>276578.96000000002</v>
      </c>
      <c r="E116" s="270">
        <v>95544.89</v>
      </c>
      <c r="F116" s="270">
        <v>108569.42</v>
      </c>
      <c r="G116" s="270">
        <v>748.01</v>
      </c>
      <c r="H116" s="270">
        <v>14502.69</v>
      </c>
      <c r="I116" s="271">
        <v>0</v>
      </c>
      <c r="J116" s="272">
        <v>0</v>
      </c>
      <c r="K116" s="272">
        <v>0</v>
      </c>
      <c r="L116" s="272">
        <v>0</v>
      </c>
      <c r="M116" s="272">
        <v>0</v>
      </c>
      <c r="N116" s="272">
        <v>0</v>
      </c>
      <c r="O116" s="272">
        <v>0</v>
      </c>
      <c r="P116" s="273">
        <v>42795</v>
      </c>
      <c r="Q116" s="274">
        <v>378</v>
      </c>
      <c r="R116" s="275">
        <v>495943.97000000003</v>
      </c>
      <c r="S116" s="268"/>
      <c r="T116" s="276">
        <f t="shared" si="38"/>
        <v>495943.97000000003</v>
      </c>
      <c r="U116" s="277">
        <f t="shared" si="31"/>
        <v>495943.97000000003</v>
      </c>
      <c r="V116" s="278">
        <f t="shared" si="32"/>
        <v>0</v>
      </c>
      <c r="W116" s="275">
        <f t="shared" si="33"/>
        <v>495943.97000000003</v>
      </c>
      <c r="X116" s="276"/>
      <c r="Y116" s="280" t="s">
        <v>1426</v>
      </c>
      <c r="Z116" s="268"/>
    </row>
    <row r="117" spans="1:26">
      <c r="A117" s="8">
        <v>108</v>
      </c>
      <c r="B117" s="268" t="s">
        <v>1413</v>
      </c>
      <c r="C117" s="268" t="s">
        <v>1507</v>
      </c>
      <c r="D117" s="269">
        <v>0</v>
      </c>
      <c r="E117" s="270">
        <v>0</v>
      </c>
      <c r="F117" s="270">
        <v>0</v>
      </c>
      <c r="G117" s="270">
        <v>0</v>
      </c>
      <c r="H117" s="270">
        <v>15068.23</v>
      </c>
      <c r="I117" s="271">
        <v>83.100000000000009</v>
      </c>
      <c r="J117" s="272">
        <v>83.56</v>
      </c>
      <c r="K117" s="272">
        <v>84.02</v>
      </c>
      <c r="L117" s="272">
        <v>84.48</v>
      </c>
      <c r="M117" s="272">
        <v>84.95</v>
      </c>
      <c r="N117" s="272">
        <v>0</v>
      </c>
      <c r="O117" s="272">
        <v>0</v>
      </c>
      <c r="P117" s="273">
        <v>43029</v>
      </c>
      <c r="Q117" s="274">
        <v>376</v>
      </c>
      <c r="R117" s="275">
        <v>15488.34</v>
      </c>
      <c r="S117" s="268"/>
      <c r="T117" s="276">
        <f t="shared" si="38"/>
        <v>15488.34</v>
      </c>
      <c r="U117" s="277">
        <f t="shared" si="31"/>
        <v>15151.33</v>
      </c>
      <c r="V117" s="278">
        <f t="shared" si="32"/>
        <v>337.01</v>
      </c>
      <c r="W117" s="275">
        <f t="shared" si="33"/>
        <v>15488.34</v>
      </c>
      <c r="X117" s="268"/>
      <c r="Y117" s="280" t="s">
        <v>1426</v>
      </c>
      <c r="Z117" s="268"/>
    </row>
    <row r="118" spans="1:26">
      <c r="A118" s="8">
        <v>109</v>
      </c>
      <c r="B118" s="268" t="s">
        <v>1413</v>
      </c>
      <c r="C118" s="268" t="s">
        <v>1508</v>
      </c>
      <c r="D118" s="269">
        <v>93.37</v>
      </c>
      <c r="E118" s="270">
        <v>85441.38</v>
      </c>
      <c r="F118" s="270">
        <v>1142.54</v>
      </c>
      <c r="G118" s="270">
        <v>123455.44</v>
      </c>
      <c r="H118" s="270">
        <v>28808.9</v>
      </c>
      <c r="I118" s="271">
        <v>0</v>
      </c>
      <c r="J118" s="272">
        <v>0</v>
      </c>
      <c r="K118" s="272">
        <v>0</v>
      </c>
      <c r="L118" s="272">
        <v>0</v>
      </c>
      <c r="M118" s="272">
        <v>0</v>
      </c>
      <c r="N118" s="272">
        <v>0</v>
      </c>
      <c r="O118" s="272">
        <v>0</v>
      </c>
      <c r="P118" s="273">
        <v>42916</v>
      </c>
      <c r="Q118" s="274">
        <v>376</v>
      </c>
      <c r="R118" s="275">
        <v>238941.63</v>
      </c>
      <c r="S118" s="268"/>
      <c r="T118" s="276">
        <f t="shared" si="38"/>
        <v>238941.63</v>
      </c>
      <c r="U118" s="277">
        <f t="shared" si="31"/>
        <v>238941.62999999998</v>
      </c>
      <c r="V118" s="278">
        <f t="shared" si="32"/>
        <v>0</v>
      </c>
      <c r="W118" s="275">
        <f t="shared" si="33"/>
        <v>238941.62999999998</v>
      </c>
      <c r="X118" s="276">
        <f t="shared" ref="X118:X122" si="39">+T118</f>
        <v>238941.63</v>
      </c>
      <c r="Y118" s="280">
        <v>2</v>
      </c>
      <c r="Z118" s="268"/>
    </row>
    <row r="119" spans="1:26">
      <c r="A119" s="8">
        <v>110</v>
      </c>
      <c r="B119" s="268" t="s">
        <v>1413</v>
      </c>
      <c r="C119" s="268" t="s">
        <v>1509</v>
      </c>
      <c r="D119" s="269">
        <v>855.16</v>
      </c>
      <c r="E119" s="270">
        <v>3280.9</v>
      </c>
      <c r="F119" s="270">
        <v>20012.48</v>
      </c>
      <c r="G119" s="270">
        <v>2926.28</v>
      </c>
      <c r="H119" s="270">
        <v>0</v>
      </c>
      <c r="I119" s="271">
        <v>0</v>
      </c>
      <c r="J119" s="272">
        <v>0</v>
      </c>
      <c r="K119" s="272">
        <v>0</v>
      </c>
      <c r="L119" s="272">
        <v>0</v>
      </c>
      <c r="M119" s="272">
        <v>0</v>
      </c>
      <c r="N119" s="272">
        <v>0</v>
      </c>
      <c r="O119" s="272">
        <v>0</v>
      </c>
      <c r="P119" s="273">
        <v>42719</v>
      </c>
      <c r="Q119" s="274">
        <v>378</v>
      </c>
      <c r="R119" s="275">
        <v>27074.82</v>
      </c>
      <c r="S119" s="268"/>
      <c r="T119" s="276">
        <f t="shared" si="38"/>
        <v>27074.82</v>
      </c>
      <c r="U119" s="277">
        <f t="shared" si="31"/>
        <v>27074.82</v>
      </c>
      <c r="V119" s="278">
        <f t="shared" si="32"/>
        <v>0</v>
      </c>
      <c r="W119" s="275">
        <f t="shared" si="33"/>
        <v>27074.82</v>
      </c>
      <c r="X119" s="276"/>
      <c r="Y119" s="280" t="s">
        <v>1426</v>
      </c>
      <c r="Z119" s="268"/>
    </row>
    <row r="120" spans="1:26">
      <c r="A120" s="8">
        <v>111</v>
      </c>
      <c r="B120" s="268" t="s">
        <v>1413</v>
      </c>
      <c r="C120" s="268" t="s">
        <v>1510</v>
      </c>
      <c r="D120" s="269">
        <v>0</v>
      </c>
      <c r="E120" s="270">
        <v>0</v>
      </c>
      <c r="F120" s="270">
        <v>0</v>
      </c>
      <c r="G120" s="270">
        <v>0</v>
      </c>
      <c r="H120" s="270">
        <v>0</v>
      </c>
      <c r="I120" s="271">
        <v>0</v>
      </c>
      <c r="J120" s="272">
        <v>0</v>
      </c>
      <c r="K120" s="272">
        <v>4427.1500000000005</v>
      </c>
      <c r="L120" s="272">
        <v>75285.97</v>
      </c>
      <c r="M120" s="272">
        <v>9293.91</v>
      </c>
      <c r="N120" s="272">
        <v>490.87</v>
      </c>
      <c r="O120" s="272">
        <v>493.58</v>
      </c>
      <c r="P120" s="274"/>
      <c r="Q120" s="274"/>
      <c r="R120" s="275">
        <v>89991.48</v>
      </c>
      <c r="S120" s="268"/>
      <c r="T120" s="276">
        <f t="shared" si="38"/>
        <v>89991.48</v>
      </c>
      <c r="U120" s="277">
        <f t="shared" si="31"/>
        <v>0</v>
      </c>
      <c r="V120" s="278">
        <f t="shared" si="32"/>
        <v>89991.48</v>
      </c>
      <c r="W120" s="275">
        <f t="shared" si="33"/>
        <v>89991.48</v>
      </c>
      <c r="X120" s="276">
        <f t="shared" si="39"/>
        <v>89991.48</v>
      </c>
      <c r="Y120" s="280">
        <v>28</v>
      </c>
      <c r="Z120" s="268"/>
    </row>
    <row r="121" spans="1:26">
      <c r="A121" s="8">
        <v>112</v>
      </c>
      <c r="B121" s="268" t="s">
        <v>1413</v>
      </c>
      <c r="C121" s="268" t="s">
        <v>1511</v>
      </c>
      <c r="D121" s="269">
        <v>0</v>
      </c>
      <c r="E121" s="270">
        <v>0</v>
      </c>
      <c r="F121" s="270">
        <v>0</v>
      </c>
      <c r="G121" s="270">
        <v>0</v>
      </c>
      <c r="H121" s="270">
        <v>0</v>
      </c>
      <c r="I121" s="271">
        <v>73.960000000000008</v>
      </c>
      <c r="J121" s="272">
        <v>8854.7100000000009</v>
      </c>
      <c r="K121" s="272">
        <v>49.24</v>
      </c>
      <c r="L121" s="272">
        <v>0</v>
      </c>
      <c r="M121" s="272">
        <v>0</v>
      </c>
      <c r="N121" s="272">
        <v>0</v>
      </c>
      <c r="O121" s="272">
        <v>0</v>
      </c>
      <c r="P121" s="274"/>
      <c r="Q121" s="274"/>
      <c r="R121" s="275">
        <v>8977.91</v>
      </c>
      <c r="S121" s="268"/>
      <c r="T121" s="276"/>
      <c r="U121" s="277">
        <f t="shared" si="31"/>
        <v>73.960000000000008</v>
      </c>
      <c r="V121" s="278">
        <f t="shared" si="32"/>
        <v>8903.9500000000007</v>
      </c>
      <c r="W121" s="275">
        <f t="shared" si="33"/>
        <v>8977.91</v>
      </c>
      <c r="X121" s="268"/>
      <c r="Y121" s="280"/>
      <c r="Z121" s="268"/>
    </row>
    <row r="122" spans="1:26">
      <c r="A122" s="8">
        <v>113</v>
      </c>
      <c r="B122" s="268" t="s">
        <v>1413</v>
      </c>
      <c r="C122" s="268" t="s">
        <v>1512</v>
      </c>
      <c r="D122" s="269">
        <v>0</v>
      </c>
      <c r="E122" s="270">
        <v>0</v>
      </c>
      <c r="F122" s="270">
        <v>0</v>
      </c>
      <c r="G122" s="270">
        <v>0</v>
      </c>
      <c r="H122" s="270">
        <v>0</v>
      </c>
      <c r="I122" s="271">
        <v>0</v>
      </c>
      <c r="J122" s="272">
        <v>0</v>
      </c>
      <c r="K122" s="272">
        <v>4427.1500000000005</v>
      </c>
      <c r="L122" s="272">
        <v>75285.97</v>
      </c>
      <c r="M122" s="272">
        <v>9293.91</v>
      </c>
      <c r="N122" s="272">
        <v>490.87</v>
      </c>
      <c r="O122" s="272">
        <v>493.58</v>
      </c>
      <c r="P122" s="274"/>
      <c r="Q122" s="274"/>
      <c r="R122" s="275">
        <v>89991.48</v>
      </c>
      <c r="S122" s="268"/>
      <c r="T122" s="276">
        <f>+R122</f>
        <v>89991.48</v>
      </c>
      <c r="U122" s="277">
        <f t="shared" si="31"/>
        <v>0</v>
      </c>
      <c r="V122" s="278">
        <f t="shared" si="32"/>
        <v>89991.48</v>
      </c>
      <c r="W122" s="275">
        <f t="shared" si="33"/>
        <v>89991.48</v>
      </c>
      <c r="X122" s="276">
        <f t="shared" si="39"/>
        <v>89991.48</v>
      </c>
      <c r="Y122" s="280">
        <v>29</v>
      </c>
      <c r="Z122" s="268"/>
    </row>
    <row r="123" spans="1:26">
      <c r="A123" s="8">
        <v>114</v>
      </c>
      <c r="B123" s="268" t="s">
        <v>1413</v>
      </c>
      <c r="C123" s="268" t="s">
        <v>1513</v>
      </c>
      <c r="D123" s="269">
        <v>0</v>
      </c>
      <c r="E123" s="270">
        <v>0</v>
      </c>
      <c r="F123" s="270">
        <v>0</v>
      </c>
      <c r="G123" s="270">
        <v>0</v>
      </c>
      <c r="H123" s="270">
        <v>0</v>
      </c>
      <c r="I123" s="271">
        <v>0</v>
      </c>
      <c r="J123" s="272">
        <v>8854.3000000000011</v>
      </c>
      <c r="K123" s="272">
        <v>48.83</v>
      </c>
      <c r="L123" s="272">
        <v>0</v>
      </c>
      <c r="M123" s="272">
        <v>0</v>
      </c>
      <c r="N123" s="272">
        <v>0</v>
      </c>
      <c r="O123" s="272">
        <v>0</v>
      </c>
      <c r="P123" s="274"/>
      <c r="Q123" s="274"/>
      <c r="R123" s="275">
        <v>8903.130000000001</v>
      </c>
      <c r="S123" s="268"/>
      <c r="T123" s="276"/>
      <c r="U123" s="277">
        <f t="shared" si="31"/>
        <v>0</v>
      </c>
      <c r="V123" s="278">
        <f t="shared" si="32"/>
        <v>8903.130000000001</v>
      </c>
      <c r="W123" s="275">
        <f t="shared" si="33"/>
        <v>8903.130000000001</v>
      </c>
      <c r="X123" s="268"/>
      <c r="Y123" s="280"/>
      <c r="Z123" s="268"/>
    </row>
    <row r="124" spans="1:26">
      <c r="A124" s="8">
        <v>115</v>
      </c>
      <c r="B124" s="268" t="s">
        <v>1413</v>
      </c>
      <c r="C124" s="268" t="s">
        <v>1514</v>
      </c>
      <c r="D124" s="269">
        <v>22.52</v>
      </c>
      <c r="E124" s="270">
        <v>22.67</v>
      </c>
      <c r="F124" s="270">
        <v>22.8</v>
      </c>
      <c r="G124" s="270">
        <v>20.91</v>
      </c>
      <c r="H124" s="270">
        <v>86575.69</v>
      </c>
      <c r="I124" s="271">
        <v>0</v>
      </c>
      <c r="J124" s="272">
        <v>0</v>
      </c>
      <c r="K124" s="272">
        <v>0</v>
      </c>
      <c r="L124" s="272">
        <v>0</v>
      </c>
      <c r="M124" s="272">
        <v>0</v>
      </c>
      <c r="N124" s="272">
        <v>0</v>
      </c>
      <c r="O124" s="272">
        <v>0</v>
      </c>
      <c r="P124" s="274"/>
      <c r="Q124" s="274"/>
      <c r="R124" s="275">
        <v>86664.59</v>
      </c>
      <c r="S124" s="268"/>
      <c r="T124" s="276"/>
      <c r="U124" s="277">
        <f t="shared" si="31"/>
        <v>86664.59</v>
      </c>
      <c r="V124" s="278">
        <f t="shared" si="32"/>
        <v>0</v>
      </c>
      <c r="W124" s="275">
        <f t="shared" si="33"/>
        <v>86664.59</v>
      </c>
      <c r="X124" s="268"/>
      <c r="Y124" s="280"/>
      <c r="Z124" s="268"/>
    </row>
    <row r="125" spans="1:26">
      <c r="A125" s="8">
        <v>116</v>
      </c>
      <c r="B125" s="268" t="s">
        <v>1413</v>
      </c>
      <c r="C125" s="268" t="s">
        <v>1515</v>
      </c>
      <c r="D125" s="269">
        <v>3099.37</v>
      </c>
      <c r="E125" s="270">
        <v>8939.86</v>
      </c>
      <c r="F125" s="270">
        <v>1980.13</v>
      </c>
      <c r="G125" s="270">
        <v>0</v>
      </c>
      <c r="H125" s="270">
        <v>0</v>
      </c>
      <c r="I125" s="271">
        <v>0</v>
      </c>
      <c r="J125" s="272">
        <v>0</v>
      </c>
      <c r="K125" s="272">
        <v>0</v>
      </c>
      <c r="L125" s="272">
        <v>0</v>
      </c>
      <c r="M125" s="272">
        <v>0</v>
      </c>
      <c r="N125" s="272">
        <v>0</v>
      </c>
      <c r="O125" s="272">
        <v>0</v>
      </c>
      <c r="P125" s="273">
        <v>42765</v>
      </c>
      <c r="Q125" s="274">
        <v>376</v>
      </c>
      <c r="R125" s="275">
        <v>14019.36</v>
      </c>
      <c r="S125" s="268"/>
      <c r="T125" s="276">
        <f t="shared" ref="T125:T128" si="40">+R125</f>
        <v>14019.36</v>
      </c>
      <c r="U125" s="277">
        <f t="shared" si="31"/>
        <v>14019.36</v>
      </c>
      <c r="V125" s="278">
        <f t="shared" si="32"/>
        <v>0</v>
      </c>
      <c r="W125" s="275">
        <f t="shared" si="33"/>
        <v>14019.36</v>
      </c>
      <c r="X125" s="276">
        <f t="shared" ref="X125:X127" si="41">+T125</f>
        <v>14019.36</v>
      </c>
      <c r="Y125" s="280">
        <v>6</v>
      </c>
      <c r="Z125" s="268"/>
    </row>
    <row r="126" spans="1:26">
      <c r="A126" s="8">
        <v>117</v>
      </c>
      <c r="B126" s="268" t="s">
        <v>1413</v>
      </c>
      <c r="C126" s="268" t="s">
        <v>1516</v>
      </c>
      <c r="D126" s="269">
        <v>0</v>
      </c>
      <c r="E126" s="270">
        <v>267.13</v>
      </c>
      <c r="F126" s="270">
        <v>11872.72</v>
      </c>
      <c r="G126" s="270">
        <v>0</v>
      </c>
      <c r="H126" s="270">
        <v>0</v>
      </c>
      <c r="I126" s="271">
        <v>0</v>
      </c>
      <c r="J126" s="272">
        <v>0</v>
      </c>
      <c r="K126" s="272">
        <v>0</v>
      </c>
      <c r="L126" s="272">
        <v>0</v>
      </c>
      <c r="M126" s="272">
        <v>0</v>
      </c>
      <c r="N126" s="272">
        <v>0</v>
      </c>
      <c r="O126" s="272">
        <v>0</v>
      </c>
      <c r="P126" s="273">
        <v>43100</v>
      </c>
      <c r="Q126" s="274">
        <v>376</v>
      </c>
      <c r="R126" s="275">
        <v>12139.85</v>
      </c>
      <c r="S126" s="268"/>
      <c r="T126" s="276">
        <f t="shared" si="40"/>
        <v>12139.85</v>
      </c>
      <c r="U126" s="277">
        <f t="shared" si="31"/>
        <v>12139.849999999999</v>
      </c>
      <c r="V126" s="278">
        <f t="shared" si="32"/>
        <v>0</v>
      </c>
      <c r="W126" s="275">
        <f t="shared" si="33"/>
        <v>12139.849999999999</v>
      </c>
      <c r="X126" s="276"/>
      <c r="Y126" s="280" t="s">
        <v>1426</v>
      </c>
      <c r="Z126" s="268"/>
    </row>
    <row r="127" spans="1:26">
      <c r="A127" s="8">
        <v>118</v>
      </c>
      <c r="B127" s="268" t="s">
        <v>1413</v>
      </c>
      <c r="C127" s="268" t="s">
        <v>1517</v>
      </c>
      <c r="D127" s="269">
        <v>5883.75</v>
      </c>
      <c r="E127" s="270">
        <v>1428.1000000000001</v>
      </c>
      <c r="F127" s="270">
        <v>42879.69</v>
      </c>
      <c r="G127" s="270">
        <v>292918.66000000003</v>
      </c>
      <c r="H127" s="270">
        <v>387922.7</v>
      </c>
      <c r="I127" s="271">
        <v>158928.14000000001</v>
      </c>
      <c r="J127" s="272">
        <v>637734.85</v>
      </c>
      <c r="K127" s="272">
        <v>1147211.96</v>
      </c>
      <c r="L127" s="272">
        <v>1912478.83</v>
      </c>
      <c r="M127" s="272">
        <v>341901.16000000003</v>
      </c>
      <c r="N127" s="272">
        <v>0</v>
      </c>
      <c r="O127" s="272">
        <v>0</v>
      </c>
      <c r="P127" s="273">
        <v>43039</v>
      </c>
      <c r="Q127" s="274">
        <v>376</v>
      </c>
      <c r="R127" s="275">
        <v>4929287.84</v>
      </c>
      <c r="S127" s="268"/>
      <c r="T127" s="276">
        <f t="shared" si="40"/>
        <v>4929287.84</v>
      </c>
      <c r="U127" s="277">
        <f t="shared" si="31"/>
        <v>889961.04</v>
      </c>
      <c r="V127" s="278">
        <f t="shared" si="32"/>
        <v>4039326.8000000003</v>
      </c>
      <c r="W127" s="275">
        <f t="shared" si="33"/>
        <v>4929287.84</v>
      </c>
      <c r="X127" s="276">
        <f t="shared" si="41"/>
        <v>4929287.84</v>
      </c>
      <c r="Y127" s="280">
        <v>14</v>
      </c>
      <c r="Z127" s="268"/>
    </row>
    <row r="128" spans="1:26">
      <c r="A128" s="8">
        <v>119</v>
      </c>
      <c r="B128" s="268" t="s">
        <v>1413</v>
      </c>
      <c r="C128" s="268" t="s">
        <v>1518</v>
      </c>
      <c r="D128" s="269">
        <v>0</v>
      </c>
      <c r="E128" s="270">
        <v>14709.56</v>
      </c>
      <c r="F128" s="270">
        <v>1390.1200000000001</v>
      </c>
      <c r="G128" s="270">
        <v>0</v>
      </c>
      <c r="H128" s="270">
        <v>0</v>
      </c>
      <c r="I128" s="271">
        <v>1651.46</v>
      </c>
      <c r="J128" s="272">
        <v>0</v>
      </c>
      <c r="K128" s="272">
        <v>0</v>
      </c>
      <c r="L128" s="272">
        <v>0</v>
      </c>
      <c r="M128" s="272">
        <v>0</v>
      </c>
      <c r="N128" s="272">
        <v>0</v>
      </c>
      <c r="O128" s="272">
        <v>0</v>
      </c>
      <c r="P128" s="273">
        <v>42735</v>
      </c>
      <c r="Q128" s="274">
        <v>376</v>
      </c>
      <c r="R128" s="275">
        <v>17751.14</v>
      </c>
      <c r="S128" s="268"/>
      <c r="T128" s="276">
        <f t="shared" si="40"/>
        <v>17751.14</v>
      </c>
      <c r="U128" s="277">
        <f t="shared" si="31"/>
        <v>17751.14</v>
      </c>
      <c r="V128" s="278">
        <f t="shared" si="32"/>
        <v>0</v>
      </c>
      <c r="W128" s="275">
        <f t="shared" si="33"/>
        <v>17751.14</v>
      </c>
      <c r="X128" s="276"/>
      <c r="Y128" s="280" t="s">
        <v>1426</v>
      </c>
      <c r="Z128" s="268"/>
    </row>
    <row r="129" spans="1:26">
      <c r="A129" s="8">
        <v>120</v>
      </c>
      <c r="B129" s="268" t="s">
        <v>1413</v>
      </c>
      <c r="C129" s="268" t="s">
        <v>1519</v>
      </c>
      <c r="D129" s="269">
        <v>0</v>
      </c>
      <c r="E129" s="270">
        <v>0</v>
      </c>
      <c r="F129" s="270">
        <v>0</v>
      </c>
      <c r="G129" s="270">
        <v>556.66999999999996</v>
      </c>
      <c r="H129" s="270">
        <v>10839.68</v>
      </c>
      <c r="I129" s="271">
        <v>37053.03</v>
      </c>
      <c r="J129" s="272">
        <v>0</v>
      </c>
      <c r="K129" s="272">
        <v>0</v>
      </c>
      <c r="L129" s="272">
        <v>0</v>
      </c>
      <c r="M129" s="272">
        <v>0</v>
      </c>
      <c r="N129" s="272">
        <v>0</v>
      </c>
      <c r="O129" s="272">
        <v>0</v>
      </c>
      <c r="P129" s="273">
        <v>42725</v>
      </c>
      <c r="Q129" s="274">
        <v>378</v>
      </c>
      <c r="R129" s="275">
        <v>48449.38</v>
      </c>
      <c r="S129" s="268"/>
      <c r="T129" s="276"/>
      <c r="U129" s="277">
        <f t="shared" si="31"/>
        <v>48449.38</v>
      </c>
      <c r="V129" s="278">
        <f t="shared" si="32"/>
        <v>0</v>
      </c>
      <c r="W129" s="275">
        <f t="shared" si="33"/>
        <v>48449.38</v>
      </c>
      <c r="X129" s="268"/>
      <c r="Y129" s="280"/>
      <c r="Z129" s="268"/>
    </row>
    <row r="130" spans="1:26">
      <c r="A130" s="8">
        <v>121</v>
      </c>
      <c r="B130" s="268" t="s">
        <v>1413</v>
      </c>
      <c r="C130" s="268" t="s">
        <v>1520</v>
      </c>
      <c r="D130" s="269">
        <v>0</v>
      </c>
      <c r="E130" s="270">
        <v>0</v>
      </c>
      <c r="F130" s="270">
        <v>9652.64</v>
      </c>
      <c r="G130" s="270">
        <v>0</v>
      </c>
      <c r="H130" s="270">
        <v>24.11</v>
      </c>
      <c r="I130" s="271">
        <v>0</v>
      </c>
      <c r="J130" s="272">
        <v>0</v>
      </c>
      <c r="K130" s="272">
        <v>0</v>
      </c>
      <c r="L130" s="272">
        <v>0</v>
      </c>
      <c r="M130" s="272">
        <v>0</v>
      </c>
      <c r="N130" s="272">
        <v>0</v>
      </c>
      <c r="O130" s="272">
        <v>0</v>
      </c>
      <c r="P130" s="273">
        <v>42856</v>
      </c>
      <c r="Q130" s="274">
        <v>376</v>
      </c>
      <c r="R130" s="275">
        <v>9676.75</v>
      </c>
      <c r="S130" s="268"/>
      <c r="T130" s="276">
        <f>+R130</f>
        <v>9676.75</v>
      </c>
      <c r="U130" s="277">
        <f t="shared" si="31"/>
        <v>9676.75</v>
      </c>
      <c r="V130" s="278">
        <f t="shared" si="32"/>
        <v>0</v>
      </c>
      <c r="W130" s="275">
        <f t="shared" si="33"/>
        <v>9676.75</v>
      </c>
      <c r="X130" s="276"/>
      <c r="Y130" s="280" t="s">
        <v>1426</v>
      </c>
      <c r="Z130" s="268"/>
    </row>
    <row r="131" spans="1:26">
      <c r="A131" s="8">
        <v>122</v>
      </c>
      <c r="B131" s="268" t="s">
        <v>1413</v>
      </c>
      <c r="C131" s="268" t="s">
        <v>1521</v>
      </c>
      <c r="D131" s="269">
        <v>0</v>
      </c>
      <c r="E131" s="270">
        <v>0</v>
      </c>
      <c r="F131" s="270">
        <v>33580.559999999998</v>
      </c>
      <c r="G131" s="270">
        <v>0</v>
      </c>
      <c r="H131" s="270">
        <v>1138.4100000000001</v>
      </c>
      <c r="I131" s="271">
        <v>34937.629999999997</v>
      </c>
      <c r="J131" s="272">
        <v>0</v>
      </c>
      <c r="K131" s="272">
        <v>0</v>
      </c>
      <c r="L131" s="272">
        <v>0</v>
      </c>
      <c r="M131" s="272">
        <v>0</v>
      </c>
      <c r="N131" s="272">
        <v>0</v>
      </c>
      <c r="O131" s="272">
        <v>0</v>
      </c>
      <c r="P131" s="273">
        <v>43033</v>
      </c>
      <c r="Q131" s="274">
        <v>376</v>
      </c>
      <c r="R131" s="275">
        <v>69656.600000000006</v>
      </c>
      <c r="S131" s="268"/>
      <c r="T131" s="276"/>
      <c r="U131" s="277">
        <f t="shared" si="31"/>
        <v>69656.600000000006</v>
      </c>
      <c r="V131" s="278">
        <f t="shared" si="32"/>
        <v>0</v>
      </c>
      <c r="W131" s="275">
        <f t="shared" si="33"/>
        <v>69656.600000000006</v>
      </c>
      <c r="X131" s="268"/>
      <c r="Y131" s="280"/>
      <c r="Z131" s="268"/>
    </row>
    <row r="132" spans="1:26">
      <c r="A132" s="8">
        <v>123</v>
      </c>
      <c r="B132" s="268" t="s">
        <v>1413</v>
      </c>
      <c r="C132" s="268" t="s">
        <v>1522</v>
      </c>
      <c r="D132" s="269">
        <v>7055.21</v>
      </c>
      <c r="E132" s="270">
        <v>228.6</v>
      </c>
      <c r="F132" s="270">
        <v>1742.01</v>
      </c>
      <c r="G132" s="270">
        <v>219.28</v>
      </c>
      <c r="H132" s="270">
        <v>588.47</v>
      </c>
      <c r="I132" s="271">
        <v>69805.27</v>
      </c>
      <c r="J132" s="272">
        <v>608.71</v>
      </c>
      <c r="K132" s="272">
        <v>0</v>
      </c>
      <c r="L132" s="272">
        <v>0</v>
      </c>
      <c r="M132" s="272">
        <v>0</v>
      </c>
      <c r="N132" s="272">
        <v>0</v>
      </c>
      <c r="O132" s="272">
        <v>0</v>
      </c>
      <c r="P132" s="273">
        <v>42947</v>
      </c>
      <c r="Q132" s="274">
        <v>376</v>
      </c>
      <c r="R132" s="275">
        <v>80247.55</v>
      </c>
      <c r="S132" s="268"/>
      <c r="T132" s="276"/>
      <c r="U132" s="277">
        <f t="shared" si="31"/>
        <v>79638.84</v>
      </c>
      <c r="V132" s="278">
        <f t="shared" si="32"/>
        <v>608.71</v>
      </c>
      <c r="W132" s="275">
        <f t="shared" si="33"/>
        <v>80247.55</v>
      </c>
      <c r="X132" s="268"/>
      <c r="Y132" s="280"/>
      <c r="Z132" s="268"/>
    </row>
    <row r="133" spans="1:26">
      <c r="A133" s="8">
        <v>124</v>
      </c>
      <c r="B133" s="268" t="s">
        <v>1413</v>
      </c>
      <c r="C133" s="268" t="s">
        <v>1523</v>
      </c>
      <c r="D133" s="269">
        <v>1595.75</v>
      </c>
      <c r="E133" s="270">
        <v>11049.630000000001</v>
      </c>
      <c r="F133" s="270">
        <v>29107.5</v>
      </c>
      <c r="G133" s="270">
        <v>406.5</v>
      </c>
      <c r="H133" s="270">
        <v>1043.23</v>
      </c>
      <c r="I133" s="271">
        <v>0</v>
      </c>
      <c r="J133" s="272">
        <v>0</v>
      </c>
      <c r="K133" s="272">
        <v>0</v>
      </c>
      <c r="L133" s="272">
        <v>0</v>
      </c>
      <c r="M133" s="272">
        <v>0</v>
      </c>
      <c r="N133" s="272">
        <v>0</v>
      </c>
      <c r="O133" s="272">
        <v>0</v>
      </c>
      <c r="P133" s="273">
        <v>42734</v>
      </c>
      <c r="Q133" s="274">
        <v>376</v>
      </c>
      <c r="R133" s="275">
        <v>43202.61</v>
      </c>
      <c r="S133" s="268"/>
      <c r="T133" s="276">
        <f t="shared" ref="T133:T154" si="42">+R133</f>
        <v>43202.61</v>
      </c>
      <c r="U133" s="277">
        <f t="shared" si="31"/>
        <v>43202.610000000008</v>
      </c>
      <c r="V133" s="278">
        <f t="shared" si="32"/>
        <v>0</v>
      </c>
      <c r="W133" s="275">
        <f t="shared" si="33"/>
        <v>43202.610000000008</v>
      </c>
      <c r="X133" s="276"/>
      <c r="Y133" s="280" t="s">
        <v>1426</v>
      </c>
      <c r="Z133" s="268"/>
    </row>
    <row r="134" spans="1:26">
      <c r="A134" s="8">
        <v>125</v>
      </c>
      <c r="B134" s="268" t="s">
        <v>1413</v>
      </c>
      <c r="C134" s="268" t="s">
        <v>1524</v>
      </c>
      <c r="D134" s="269">
        <v>63428.54</v>
      </c>
      <c r="E134" s="270">
        <v>3712.31</v>
      </c>
      <c r="F134" s="270">
        <v>4666.18</v>
      </c>
      <c r="G134" s="270">
        <v>0</v>
      </c>
      <c r="H134" s="270">
        <v>0</v>
      </c>
      <c r="I134" s="271">
        <v>0</v>
      </c>
      <c r="J134" s="272">
        <v>0</v>
      </c>
      <c r="K134" s="272">
        <v>0</v>
      </c>
      <c r="L134" s="272">
        <v>0</v>
      </c>
      <c r="M134" s="272">
        <v>0</v>
      </c>
      <c r="N134" s="272">
        <v>0</v>
      </c>
      <c r="O134" s="272">
        <v>0</v>
      </c>
      <c r="P134" s="273">
        <v>42709</v>
      </c>
      <c r="Q134" s="274">
        <v>376</v>
      </c>
      <c r="R134" s="275">
        <v>71807.03</v>
      </c>
      <c r="S134" s="268"/>
      <c r="T134" s="276">
        <f t="shared" si="42"/>
        <v>71807.03</v>
      </c>
      <c r="U134" s="277">
        <f t="shared" si="31"/>
        <v>71807.03</v>
      </c>
      <c r="V134" s="278">
        <f t="shared" si="32"/>
        <v>0</v>
      </c>
      <c r="W134" s="275">
        <f t="shared" si="33"/>
        <v>71807.03</v>
      </c>
      <c r="X134" s="276"/>
      <c r="Y134" s="280" t="s">
        <v>1441</v>
      </c>
      <c r="Z134" s="268"/>
    </row>
    <row r="135" spans="1:26">
      <c r="A135" s="8">
        <v>126</v>
      </c>
      <c r="B135" s="268" t="s">
        <v>1413</v>
      </c>
      <c r="C135" s="268" t="s">
        <v>1652</v>
      </c>
      <c r="D135" s="269">
        <v>0</v>
      </c>
      <c r="E135" s="270">
        <v>0</v>
      </c>
      <c r="F135" s="270">
        <v>380.68</v>
      </c>
      <c r="G135" s="270">
        <v>554.25</v>
      </c>
      <c r="H135" s="270">
        <v>53887.96</v>
      </c>
      <c r="I135" s="271">
        <v>0</v>
      </c>
      <c r="J135" s="272">
        <v>0</v>
      </c>
      <c r="K135" s="272">
        <v>0</v>
      </c>
      <c r="L135" s="272">
        <v>0</v>
      </c>
      <c r="M135" s="272">
        <v>0</v>
      </c>
      <c r="N135" s="272">
        <v>0</v>
      </c>
      <c r="O135" s="272">
        <v>0</v>
      </c>
      <c r="P135" s="273">
        <v>42916</v>
      </c>
      <c r="Q135" s="274">
        <v>376</v>
      </c>
      <c r="R135" s="275">
        <v>54822.89</v>
      </c>
      <c r="S135" s="268"/>
      <c r="T135" s="276">
        <f t="shared" si="42"/>
        <v>54822.89</v>
      </c>
      <c r="U135" s="277">
        <f t="shared" si="31"/>
        <v>54822.89</v>
      </c>
      <c r="V135" s="278">
        <f t="shared" si="32"/>
        <v>0</v>
      </c>
      <c r="W135" s="275">
        <f t="shared" si="33"/>
        <v>54822.89</v>
      </c>
      <c r="X135" s="276"/>
      <c r="Y135" s="280" t="s">
        <v>1426</v>
      </c>
      <c r="Z135" s="268"/>
    </row>
    <row r="136" spans="1:26">
      <c r="A136" s="8">
        <v>127</v>
      </c>
      <c r="B136" s="268" t="s">
        <v>1413</v>
      </c>
      <c r="C136" s="268" t="s">
        <v>1525</v>
      </c>
      <c r="D136" s="269">
        <v>0</v>
      </c>
      <c r="E136" s="270">
        <v>0</v>
      </c>
      <c r="F136" s="270">
        <v>0</v>
      </c>
      <c r="G136" s="270">
        <v>0</v>
      </c>
      <c r="H136" s="270">
        <v>4634.41</v>
      </c>
      <c r="I136" s="271">
        <v>0</v>
      </c>
      <c r="J136" s="272">
        <v>0</v>
      </c>
      <c r="K136" s="272">
        <v>0</v>
      </c>
      <c r="L136" s="272">
        <v>0</v>
      </c>
      <c r="M136" s="272">
        <v>0</v>
      </c>
      <c r="N136" s="272">
        <v>0</v>
      </c>
      <c r="O136" s="272">
        <v>0</v>
      </c>
      <c r="P136" s="273">
        <v>42885</v>
      </c>
      <c r="Q136" s="274">
        <v>376</v>
      </c>
      <c r="R136" s="275">
        <v>4634.41</v>
      </c>
      <c r="S136" s="268"/>
      <c r="T136" s="276">
        <f t="shared" si="42"/>
        <v>4634.41</v>
      </c>
      <c r="U136" s="277">
        <f t="shared" si="31"/>
        <v>4634.41</v>
      </c>
      <c r="V136" s="278">
        <f t="shared" si="32"/>
        <v>0</v>
      </c>
      <c r="W136" s="275">
        <f t="shared" si="33"/>
        <v>4634.41</v>
      </c>
      <c r="X136" s="276"/>
      <c r="Y136" s="280" t="s">
        <v>1426</v>
      </c>
      <c r="Z136" s="268"/>
    </row>
    <row r="137" spans="1:26">
      <c r="A137" s="8">
        <v>128</v>
      </c>
      <c r="B137" s="268" t="s">
        <v>1413</v>
      </c>
      <c r="C137" s="268" t="s">
        <v>1526</v>
      </c>
      <c r="D137" s="269">
        <v>80684.53</v>
      </c>
      <c r="E137" s="270">
        <v>493.03000000000003</v>
      </c>
      <c r="F137" s="270">
        <v>-498</v>
      </c>
      <c r="G137" s="270">
        <v>816.75</v>
      </c>
      <c r="H137" s="270">
        <v>0</v>
      </c>
      <c r="I137" s="271">
        <v>33107.360000000001</v>
      </c>
      <c r="J137" s="272">
        <v>0</v>
      </c>
      <c r="K137" s="272">
        <v>0</v>
      </c>
      <c r="L137" s="272">
        <v>0</v>
      </c>
      <c r="M137" s="272">
        <v>0</v>
      </c>
      <c r="N137" s="272">
        <v>0</v>
      </c>
      <c r="O137" s="272">
        <v>0</v>
      </c>
      <c r="P137" s="273">
        <v>42766</v>
      </c>
      <c r="Q137" s="274">
        <v>376</v>
      </c>
      <c r="R137" s="275">
        <v>114603.67</v>
      </c>
      <c r="S137" s="268"/>
      <c r="T137" s="276">
        <f t="shared" si="42"/>
        <v>114603.67</v>
      </c>
      <c r="U137" s="277">
        <f t="shared" si="31"/>
        <v>114603.67</v>
      </c>
      <c r="V137" s="278">
        <f t="shared" si="32"/>
        <v>0</v>
      </c>
      <c r="W137" s="275">
        <f t="shared" si="33"/>
        <v>114603.67</v>
      </c>
      <c r="X137" s="279">
        <f t="shared" ref="X137:X138" si="43">+T137</f>
        <v>114603.67</v>
      </c>
      <c r="Y137" s="280">
        <v>54</v>
      </c>
      <c r="Z137" s="268"/>
    </row>
    <row r="138" spans="1:26">
      <c r="A138" s="8">
        <v>129</v>
      </c>
      <c r="B138" s="268" t="s">
        <v>1413</v>
      </c>
      <c r="C138" s="268" t="s">
        <v>1527</v>
      </c>
      <c r="D138" s="269">
        <v>6893.34</v>
      </c>
      <c r="E138" s="270">
        <v>0</v>
      </c>
      <c r="F138" s="270">
        <v>0</v>
      </c>
      <c r="G138" s="270">
        <v>0</v>
      </c>
      <c r="H138" s="270">
        <v>0</v>
      </c>
      <c r="I138" s="271">
        <v>0</v>
      </c>
      <c r="J138" s="272">
        <v>0</v>
      </c>
      <c r="K138" s="272">
        <v>0</v>
      </c>
      <c r="L138" s="272">
        <v>0</v>
      </c>
      <c r="M138" s="272">
        <v>0</v>
      </c>
      <c r="N138" s="272">
        <v>0</v>
      </c>
      <c r="O138" s="272">
        <v>59326.6</v>
      </c>
      <c r="P138" s="273">
        <v>42916</v>
      </c>
      <c r="Q138" s="274">
        <v>376</v>
      </c>
      <c r="R138" s="275">
        <v>66219.94</v>
      </c>
      <c r="S138" s="268"/>
      <c r="T138" s="276">
        <f t="shared" si="42"/>
        <v>66219.94</v>
      </c>
      <c r="U138" s="277">
        <f t="shared" si="31"/>
        <v>6893.34</v>
      </c>
      <c r="V138" s="278">
        <f t="shared" si="32"/>
        <v>59326.6</v>
      </c>
      <c r="W138" s="275">
        <f t="shared" si="33"/>
        <v>66219.94</v>
      </c>
      <c r="X138" s="276">
        <f t="shared" si="43"/>
        <v>66219.94</v>
      </c>
      <c r="Y138" s="280">
        <v>22</v>
      </c>
      <c r="Z138" s="268"/>
    </row>
    <row r="139" spans="1:26">
      <c r="A139" s="8">
        <v>130</v>
      </c>
      <c r="B139" s="268" t="s">
        <v>1413</v>
      </c>
      <c r="C139" s="268" t="s">
        <v>1528</v>
      </c>
      <c r="D139" s="269">
        <v>0</v>
      </c>
      <c r="E139" s="270">
        <v>0</v>
      </c>
      <c r="F139" s="270">
        <v>0</v>
      </c>
      <c r="G139" s="270">
        <v>4705.43</v>
      </c>
      <c r="H139" s="270">
        <v>79634.14</v>
      </c>
      <c r="I139" s="271">
        <v>0</v>
      </c>
      <c r="J139" s="272">
        <v>0</v>
      </c>
      <c r="K139" s="272">
        <v>0</v>
      </c>
      <c r="L139" s="272">
        <v>0</v>
      </c>
      <c r="M139" s="272">
        <v>0</v>
      </c>
      <c r="N139" s="272">
        <v>0</v>
      </c>
      <c r="O139" s="272">
        <v>0</v>
      </c>
      <c r="P139" s="274"/>
      <c r="Q139" s="274"/>
      <c r="R139" s="275">
        <v>84339.57</v>
      </c>
      <c r="S139" s="268"/>
      <c r="T139" s="276"/>
      <c r="U139" s="277">
        <f t="shared" si="31"/>
        <v>84339.57</v>
      </c>
      <c r="V139" s="278">
        <f t="shared" si="32"/>
        <v>0</v>
      </c>
      <c r="W139" s="275">
        <f t="shared" si="33"/>
        <v>84339.57</v>
      </c>
      <c r="X139" s="268"/>
      <c r="Y139" s="280"/>
      <c r="Z139" s="268"/>
    </row>
    <row r="140" spans="1:26">
      <c r="A140" s="8">
        <v>131</v>
      </c>
      <c r="B140" s="268" t="s">
        <v>1413</v>
      </c>
      <c r="C140" s="268" t="s">
        <v>1529</v>
      </c>
      <c r="D140" s="269">
        <v>0</v>
      </c>
      <c r="E140" s="270">
        <v>189.74</v>
      </c>
      <c r="F140" s="270">
        <v>7056.89</v>
      </c>
      <c r="G140" s="270">
        <v>50600.07</v>
      </c>
      <c r="H140" s="270">
        <v>319.02</v>
      </c>
      <c r="I140" s="271">
        <v>7142.78</v>
      </c>
      <c r="J140" s="272">
        <v>360.17</v>
      </c>
      <c r="K140" s="272">
        <v>362.16</v>
      </c>
      <c r="L140" s="272">
        <v>0</v>
      </c>
      <c r="M140" s="272">
        <v>0</v>
      </c>
      <c r="N140" s="272">
        <v>0</v>
      </c>
      <c r="O140" s="272">
        <v>0</v>
      </c>
      <c r="P140" s="273">
        <v>42978</v>
      </c>
      <c r="Q140" s="274">
        <v>376</v>
      </c>
      <c r="R140" s="275">
        <v>66030.83</v>
      </c>
      <c r="S140" s="268"/>
      <c r="T140" s="276">
        <f t="shared" si="42"/>
        <v>66030.83</v>
      </c>
      <c r="U140" s="277">
        <f t="shared" si="31"/>
        <v>65308.499999999993</v>
      </c>
      <c r="V140" s="278">
        <f t="shared" si="32"/>
        <v>722.33</v>
      </c>
      <c r="W140" s="275">
        <f t="shared" si="33"/>
        <v>66030.829999999987</v>
      </c>
      <c r="X140" s="279"/>
      <c r="Y140" s="280" t="s">
        <v>1426</v>
      </c>
      <c r="Z140" s="268"/>
    </row>
    <row r="141" spans="1:26">
      <c r="A141" s="8">
        <v>132</v>
      </c>
      <c r="B141" s="268" t="s">
        <v>1413</v>
      </c>
      <c r="C141" s="268" t="s">
        <v>1530</v>
      </c>
      <c r="D141" s="269">
        <v>0</v>
      </c>
      <c r="E141" s="270">
        <v>0</v>
      </c>
      <c r="F141" s="270">
        <v>0</v>
      </c>
      <c r="G141" s="270">
        <v>40618.47</v>
      </c>
      <c r="H141" s="270">
        <v>339071.88</v>
      </c>
      <c r="I141" s="271">
        <v>6389.21</v>
      </c>
      <c r="J141" s="272">
        <v>0</v>
      </c>
      <c r="K141" s="272">
        <v>0</v>
      </c>
      <c r="L141" s="272">
        <v>0</v>
      </c>
      <c r="M141" s="272">
        <v>0</v>
      </c>
      <c r="N141" s="272">
        <v>0</v>
      </c>
      <c r="O141" s="272">
        <v>0</v>
      </c>
      <c r="P141" s="273">
        <v>42874</v>
      </c>
      <c r="Q141" s="274">
        <v>367</v>
      </c>
      <c r="R141" s="275">
        <v>386079.56</v>
      </c>
      <c r="S141" s="268"/>
      <c r="T141" s="276">
        <f t="shared" si="42"/>
        <v>386079.56</v>
      </c>
      <c r="U141" s="277">
        <f t="shared" si="31"/>
        <v>386079.56</v>
      </c>
      <c r="V141" s="278">
        <f t="shared" si="32"/>
        <v>0</v>
      </c>
      <c r="W141" s="275">
        <f t="shared" si="33"/>
        <v>386079.56</v>
      </c>
      <c r="X141" s="276">
        <f t="shared" ref="X141:X149" si="44">+T141</f>
        <v>386079.56</v>
      </c>
      <c r="Y141" s="280">
        <v>18</v>
      </c>
      <c r="Z141" s="268"/>
    </row>
    <row r="142" spans="1:26">
      <c r="A142" s="8">
        <v>133</v>
      </c>
      <c r="B142" s="268" t="s">
        <v>1413</v>
      </c>
      <c r="C142" s="268" t="s">
        <v>1531</v>
      </c>
      <c r="D142" s="269">
        <v>0</v>
      </c>
      <c r="E142" s="270">
        <v>671</v>
      </c>
      <c r="F142" s="270">
        <v>5903.55</v>
      </c>
      <c r="G142" s="270">
        <v>303815.90000000002</v>
      </c>
      <c r="H142" s="270">
        <v>681.13</v>
      </c>
      <c r="I142" s="271">
        <v>0</v>
      </c>
      <c r="J142" s="272">
        <v>0</v>
      </c>
      <c r="K142" s="272">
        <v>0</v>
      </c>
      <c r="L142" s="272">
        <v>0</v>
      </c>
      <c r="M142" s="272">
        <v>0</v>
      </c>
      <c r="N142" s="272">
        <v>0</v>
      </c>
      <c r="O142" s="272">
        <v>0</v>
      </c>
      <c r="P142" s="273">
        <v>42800</v>
      </c>
      <c r="Q142" s="274">
        <v>376</v>
      </c>
      <c r="R142" s="275">
        <v>311071.58</v>
      </c>
      <c r="S142" s="268"/>
      <c r="T142" s="276">
        <f t="shared" si="42"/>
        <v>311071.58</v>
      </c>
      <c r="U142" s="277">
        <f t="shared" si="31"/>
        <v>311071.58</v>
      </c>
      <c r="V142" s="278">
        <f t="shared" si="32"/>
        <v>0</v>
      </c>
      <c r="W142" s="275">
        <f t="shared" si="33"/>
        <v>311071.58</v>
      </c>
      <c r="X142" s="276">
        <f t="shared" si="44"/>
        <v>311071.58</v>
      </c>
      <c r="Y142" s="280">
        <v>1</v>
      </c>
      <c r="Z142" s="268"/>
    </row>
    <row r="143" spans="1:26">
      <c r="A143" s="8">
        <v>134</v>
      </c>
      <c r="B143" s="268" t="s">
        <v>1413</v>
      </c>
      <c r="C143" s="268" t="s">
        <v>1532</v>
      </c>
      <c r="D143" s="269">
        <v>0</v>
      </c>
      <c r="E143" s="270">
        <v>0</v>
      </c>
      <c r="F143" s="270">
        <v>90775.67</v>
      </c>
      <c r="G143" s="270">
        <v>1537.38</v>
      </c>
      <c r="H143" s="270">
        <v>509.11</v>
      </c>
      <c r="I143" s="271">
        <v>764.18000000000006</v>
      </c>
      <c r="J143" s="272">
        <v>0</v>
      </c>
      <c r="K143" s="272">
        <v>0</v>
      </c>
      <c r="L143" s="272">
        <v>0</v>
      </c>
      <c r="M143" s="272">
        <v>0</v>
      </c>
      <c r="N143" s="272">
        <v>0</v>
      </c>
      <c r="O143" s="272">
        <v>0</v>
      </c>
      <c r="P143" s="273">
        <v>42885</v>
      </c>
      <c r="Q143" s="274">
        <v>376</v>
      </c>
      <c r="R143" s="275">
        <v>93586.34</v>
      </c>
      <c r="S143" s="268"/>
      <c r="T143" s="276">
        <f t="shared" si="42"/>
        <v>93586.34</v>
      </c>
      <c r="U143" s="277">
        <f t="shared" si="31"/>
        <v>93586.34</v>
      </c>
      <c r="V143" s="278">
        <f t="shared" si="32"/>
        <v>0</v>
      </c>
      <c r="W143" s="275">
        <f t="shared" si="33"/>
        <v>93586.34</v>
      </c>
      <c r="X143" s="276">
        <f t="shared" si="44"/>
        <v>93586.34</v>
      </c>
      <c r="Y143" s="280">
        <v>30</v>
      </c>
      <c r="Z143" s="268"/>
    </row>
    <row r="144" spans="1:26">
      <c r="A144" s="8">
        <v>135</v>
      </c>
      <c r="B144" s="268" t="s">
        <v>1413</v>
      </c>
      <c r="C144" s="268" t="s">
        <v>1533</v>
      </c>
      <c r="D144" s="269">
        <v>0</v>
      </c>
      <c r="E144" s="270">
        <v>526.37</v>
      </c>
      <c r="F144" s="270">
        <v>98674.53</v>
      </c>
      <c r="G144" s="270">
        <v>547.09</v>
      </c>
      <c r="H144" s="270">
        <v>7305.1900000000005</v>
      </c>
      <c r="I144" s="271">
        <v>4066.54</v>
      </c>
      <c r="J144" s="272">
        <v>0</v>
      </c>
      <c r="K144" s="272">
        <v>0</v>
      </c>
      <c r="L144" s="272">
        <v>0</v>
      </c>
      <c r="M144" s="272">
        <v>0</v>
      </c>
      <c r="N144" s="272">
        <v>0</v>
      </c>
      <c r="O144" s="272">
        <v>0</v>
      </c>
      <c r="P144" s="273">
        <v>42885</v>
      </c>
      <c r="Q144" s="274">
        <v>376</v>
      </c>
      <c r="R144" s="275">
        <v>111119.72</v>
      </c>
      <c r="S144" s="268"/>
      <c r="T144" s="276">
        <f t="shared" si="42"/>
        <v>111119.72</v>
      </c>
      <c r="U144" s="277">
        <f t="shared" si="31"/>
        <v>111119.71999999999</v>
      </c>
      <c r="V144" s="278">
        <f t="shared" si="32"/>
        <v>0</v>
      </c>
      <c r="W144" s="275">
        <f t="shared" si="33"/>
        <v>111119.71999999999</v>
      </c>
      <c r="X144" s="276">
        <f t="shared" si="44"/>
        <v>111119.72</v>
      </c>
      <c r="Y144" s="280">
        <v>31</v>
      </c>
      <c r="Z144" s="268"/>
    </row>
    <row r="145" spans="1:26">
      <c r="A145" s="8">
        <v>136</v>
      </c>
      <c r="B145" s="268" t="s">
        <v>1413</v>
      </c>
      <c r="C145" s="268" t="s">
        <v>1534</v>
      </c>
      <c r="D145" s="269">
        <v>0</v>
      </c>
      <c r="E145" s="270">
        <v>2769.9900000000002</v>
      </c>
      <c r="F145" s="270">
        <v>6384.77</v>
      </c>
      <c r="G145" s="270">
        <v>35494.21</v>
      </c>
      <c r="H145" s="270">
        <v>162121.5</v>
      </c>
      <c r="I145" s="271">
        <v>-35806.340000000004</v>
      </c>
      <c r="J145" s="272">
        <v>0</v>
      </c>
      <c r="K145" s="272">
        <v>0</v>
      </c>
      <c r="L145" s="272">
        <v>0</v>
      </c>
      <c r="M145" s="272">
        <v>0</v>
      </c>
      <c r="N145" s="272">
        <v>0</v>
      </c>
      <c r="O145" s="272">
        <v>0</v>
      </c>
      <c r="P145" s="273">
        <v>42855</v>
      </c>
      <c r="Q145" s="274">
        <v>376</v>
      </c>
      <c r="R145" s="275">
        <v>170964.13</v>
      </c>
      <c r="S145" s="268"/>
      <c r="T145" s="276">
        <f t="shared" si="42"/>
        <v>170964.13</v>
      </c>
      <c r="U145" s="277">
        <f t="shared" si="31"/>
        <v>170964.13</v>
      </c>
      <c r="V145" s="278">
        <f t="shared" si="32"/>
        <v>0</v>
      </c>
      <c r="W145" s="275">
        <f t="shared" si="33"/>
        <v>170964.13</v>
      </c>
      <c r="X145" s="276">
        <f t="shared" si="44"/>
        <v>170964.13</v>
      </c>
      <c r="Y145" s="280">
        <v>36</v>
      </c>
      <c r="Z145" s="268"/>
    </row>
    <row r="146" spans="1:26">
      <c r="A146" s="8">
        <v>137</v>
      </c>
      <c r="B146" s="268" t="s">
        <v>1413</v>
      </c>
      <c r="C146" s="268" t="s">
        <v>1535</v>
      </c>
      <c r="D146" s="269">
        <v>0</v>
      </c>
      <c r="E146" s="270">
        <v>0</v>
      </c>
      <c r="F146" s="270">
        <v>7237.1500000000005</v>
      </c>
      <c r="G146" s="270">
        <v>12877.34</v>
      </c>
      <c r="H146" s="270">
        <v>25395.510000000002</v>
      </c>
      <c r="I146" s="271">
        <v>8701.2100000000009</v>
      </c>
      <c r="J146" s="272">
        <v>267.5</v>
      </c>
      <c r="K146" s="272">
        <v>161986.99</v>
      </c>
      <c r="L146" s="272">
        <v>0</v>
      </c>
      <c r="M146" s="272">
        <v>0</v>
      </c>
      <c r="N146" s="272">
        <v>0</v>
      </c>
      <c r="O146" s="272">
        <v>0</v>
      </c>
      <c r="P146" s="273">
        <v>42962</v>
      </c>
      <c r="Q146" s="274">
        <v>376</v>
      </c>
      <c r="R146" s="275">
        <v>216465.7</v>
      </c>
      <c r="S146" s="268"/>
      <c r="T146" s="276">
        <f t="shared" si="42"/>
        <v>216465.7</v>
      </c>
      <c r="U146" s="277">
        <f t="shared" si="31"/>
        <v>54211.21</v>
      </c>
      <c r="V146" s="278">
        <f t="shared" si="32"/>
        <v>162254.49</v>
      </c>
      <c r="W146" s="275">
        <f t="shared" si="33"/>
        <v>216465.69999999998</v>
      </c>
      <c r="X146" s="276"/>
      <c r="Y146" s="280" t="s">
        <v>1441</v>
      </c>
      <c r="Z146" s="268"/>
    </row>
    <row r="147" spans="1:26">
      <c r="A147" s="8">
        <v>138</v>
      </c>
      <c r="B147" s="268" t="s">
        <v>1413</v>
      </c>
      <c r="C147" s="268" t="s">
        <v>1536</v>
      </c>
      <c r="D147" s="269">
        <v>0</v>
      </c>
      <c r="E147" s="270">
        <v>0</v>
      </c>
      <c r="F147" s="270">
        <v>0</v>
      </c>
      <c r="G147" s="270">
        <v>0</v>
      </c>
      <c r="H147" s="270">
        <v>0</v>
      </c>
      <c r="I147" s="271">
        <v>2774.3</v>
      </c>
      <c r="J147" s="272">
        <v>15381.5</v>
      </c>
      <c r="K147" s="272">
        <v>0</v>
      </c>
      <c r="L147" s="272">
        <v>0</v>
      </c>
      <c r="M147" s="272">
        <v>0</v>
      </c>
      <c r="N147" s="272">
        <v>0</v>
      </c>
      <c r="O147" s="272">
        <v>0</v>
      </c>
      <c r="P147" s="273">
        <v>42917</v>
      </c>
      <c r="Q147" s="274">
        <v>376</v>
      </c>
      <c r="R147" s="275">
        <v>18155.8</v>
      </c>
      <c r="S147" s="268"/>
      <c r="T147" s="276">
        <f t="shared" si="42"/>
        <v>18155.8</v>
      </c>
      <c r="U147" s="277">
        <f t="shared" si="31"/>
        <v>2774.3</v>
      </c>
      <c r="V147" s="278">
        <f t="shared" si="32"/>
        <v>15381.5</v>
      </c>
      <c r="W147" s="275">
        <f t="shared" si="33"/>
        <v>18155.8</v>
      </c>
      <c r="X147" s="276"/>
      <c r="Y147" s="280" t="s">
        <v>1426</v>
      </c>
      <c r="Z147" s="268"/>
    </row>
    <row r="148" spans="1:26">
      <c r="A148" s="8">
        <v>139</v>
      </c>
      <c r="B148" s="268" t="s">
        <v>1413</v>
      </c>
      <c r="C148" s="268" t="s">
        <v>1537</v>
      </c>
      <c r="D148" s="269">
        <v>0</v>
      </c>
      <c r="E148" s="270">
        <v>0</v>
      </c>
      <c r="F148" s="270">
        <v>0</v>
      </c>
      <c r="G148" s="270">
        <v>26072.47</v>
      </c>
      <c r="H148" s="270">
        <v>198759.32</v>
      </c>
      <c r="I148" s="271">
        <v>282918.56</v>
      </c>
      <c r="J148" s="272">
        <v>130293.73</v>
      </c>
      <c r="K148" s="272">
        <v>0</v>
      </c>
      <c r="L148" s="272">
        <v>0</v>
      </c>
      <c r="M148" s="272">
        <v>0</v>
      </c>
      <c r="N148" s="272">
        <v>0</v>
      </c>
      <c r="O148" s="272">
        <v>0</v>
      </c>
      <c r="P148" s="273">
        <v>42917</v>
      </c>
      <c r="Q148" s="274">
        <v>376</v>
      </c>
      <c r="R148" s="275">
        <v>638044.07999999996</v>
      </c>
      <c r="S148" s="268"/>
      <c r="T148" s="276">
        <f t="shared" si="42"/>
        <v>638044.07999999996</v>
      </c>
      <c r="U148" s="277">
        <f t="shared" si="31"/>
        <v>507750.35</v>
      </c>
      <c r="V148" s="278">
        <f t="shared" si="32"/>
        <v>130293.73</v>
      </c>
      <c r="W148" s="275">
        <f t="shared" si="33"/>
        <v>638044.07999999996</v>
      </c>
      <c r="X148" s="276"/>
      <c r="Y148" s="280" t="s">
        <v>1426</v>
      </c>
      <c r="Z148" s="268"/>
    </row>
    <row r="149" spans="1:26">
      <c r="A149" s="8">
        <v>140</v>
      </c>
      <c r="B149" s="268" t="s">
        <v>1413</v>
      </c>
      <c r="C149" s="268" t="s">
        <v>1538</v>
      </c>
      <c r="D149" s="269">
        <v>0</v>
      </c>
      <c r="E149" s="270">
        <v>0</v>
      </c>
      <c r="F149" s="270">
        <v>0</v>
      </c>
      <c r="G149" s="270">
        <v>-150000</v>
      </c>
      <c r="H149" s="270">
        <v>4477.79</v>
      </c>
      <c r="I149" s="271">
        <v>-274544.42</v>
      </c>
      <c r="J149" s="272">
        <v>280167.21000000002</v>
      </c>
      <c r="K149" s="272">
        <v>0</v>
      </c>
      <c r="L149" s="272">
        <v>0</v>
      </c>
      <c r="M149" s="272">
        <v>0</v>
      </c>
      <c r="N149" s="272">
        <v>0</v>
      </c>
      <c r="O149" s="272">
        <v>0</v>
      </c>
      <c r="P149" s="273">
        <v>42928</v>
      </c>
      <c r="Q149" s="274">
        <v>376</v>
      </c>
      <c r="R149" s="275">
        <v>-139899.42000000001</v>
      </c>
      <c r="S149" s="268"/>
      <c r="T149" s="276">
        <f t="shared" si="42"/>
        <v>-139899.42000000001</v>
      </c>
      <c r="U149" s="277">
        <f t="shared" si="31"/>
        <v>-420066.63</v>
      </c>
      <c r="V149" s="278">
        <f t="shared" si="32"/>
        <v>280167.21000000002</v>
      </c>
      <c r="W149" s="275">
        <f t="shared" si="33"/>
        <v>-139899.41999999998</v>
      </c>
      <c r="X149" s="279">
        <f t="shared" si="44"/>
        <v>-139899.42000000001</v>
      </c>
      <c r="Y149" s="280"/>
      <c r="Z149" s="268"/>
    </row>
    <row r="150" spans="1:26">
      <c r="A150" s="8">
        <v>141</v>
      </c>
      <c r="B150" s="268" t="s">
        <v>1413</v>
      </c>
      <c r="C150" s="268" t="s">
        <v>1539</v>
      </c>
      <c r="D150" s="269">
        <v>0</v>
      </c>
      <c r="E150" s="270">
        <v>0</v>
      </c>
      <c r="F150" s="270">
        <v>0</v>
      </c>
      <c r="G150" s="270">
        <v>0</v>
      </c>
      <c r="H150" s="270">
        <v>0</v>
      </c>
      <c r="I150" s="271">
        <v>0</v>
      </c>
      <c r="J150" s="272">
        <v>14475.56</v>
      </c>
      <c r="K150" s="272">
        <v>14555.39</v>
      </c>
      <c r="L150" s="272">
        <v>0</v>
      </c>
      <c r="M150" s="272">
        <v>0</v>
      </c>
      <c r="N150" s="272">
        <v>0</v>
      </c>
      <c r="O150" s="272">
        <v>0</v>
      </c>
      <c r="P150" s="273">
        <v>42977</v>
      </c>
      <c r="Q150" s="274">
        <v>376</v>
      </c>
      <c r="R150" s="275">
        <v>29030.95</v>
      </c>
      <c r="S150" s="268"/>
      <c r="T150" s="276">
        <f t="shared" si="42"/>
        <v>29030.95</v>
      </c>
      <c r="U150" s="277">
        <f t="shared" si="31"/>
        <v>0</v>
      </c>
      <c r="V150" s="278">
        <f t="shared" si="32"/>
        <v>29030.949999999997</v>
      </c>
      <c r="W150" s="275">
        <f t="shared" si="33"/>
        <v>29030.949999999997</v>
      </c>
      <c r="X150" s="276"/>
      <c r="Y150" s="280" t="s">
        <v>1426</v>
      </c>
      <c r="Z150" s="268"/>
    </row>
    <row r="151" spans="1:26">
      <c r="A151" s="8">
        <v>142</v>
      </c>
      <c r="B151" s="268" t="s">
        <v>1413</v>
      </c>
      <c r="C151" s="268" t="s">
        <v>1540</v>
      </c>
      <c r="D151" s="269">
        <v>0</v>
      </c>
      <c r="E151" s="270">
        <v>0</v>
      </c>
      <c r="F151" s="270">
        <v>0</v>
      </c>
      <c r="G151" s="270">
        <v>0</v>
      </c>
      <c r="H151" s="270">
        <v>0</v>
      </c>
      <c r="I151" s="271">
        <v>3178.35</v>
      </c>
      <c r="J151" s="272">
        <v>18475.330000000002</v>
      </c>
      <c r="K151" s="272">
        <v>0</v>
      </c>
      <c r="L151" s="272">
        <v>0</v>
      </c>
      <c r="M151" s="272">
        <v>0</v>
      </c>
      <c r="N151" s="272">
        <v>0</v>
      </c>
      <c r="O151" s="272">
        <v>0</v>
      </c>
      <c r="P151" s="273">
        <v>42921</v>
      </c>
      <c r="Q151" s="274">
        <v>376</v>
      </c>
      <c r="R151" s="275">
        <v>21653.68</v>
      </c>
      <c r="S151" s="268"/>
      <c r="T151" s="276">
        <f t="shared" si="42"/>
        <v>21653.68</v>
      </c>
      <c r="U151" s="277">
        <f t="shared" si="31"/>
        <v>3178.35</v>
      </c>
      <c r="V151" s="278">
        <f t="shared" si="32"/>
        <v>18475.330000000002</v>
      </c>
      <c r="W151" s="275">
        <f t="shared" si="33"/>
        <v>21653.68</v>
      </c>
      <c r="X151" s="268"/>
      <c r="Y151" s="280" t="s">
        <v>1426</v>
      </c>
      <c r="Z151" s="268"/>
    </row>
    <row r="152" spans="1:26">
      <c r="A152" s="8">
        <v>143</v>
      </c>
      <c r="B152" s="268" t="s">
        <v>1413</v>
      </c>
      <c r="C152" s="268" t="s">
        <v>1541</v>
      </c>
      <c r="D152" s="269">
        <v>0</v>
      </c>
      <c r="E152" s="270">
        <v>0</v>
      </c>
      <c r="F152" s="270">
        <v>0</v>
      </c>
      <c r="G152" s="270">
        <v>0</v>
      </c>
      <c r="H152" s="270">
        <v>0</v>
      </c>
      <c r="I152" s="271">
        <v>0</v>
      </c>
      <c r="J152" s="272">
        <v>15478.4</v>
      </c>
      <c r="K152" s="272">
        <v>15563.76</v>
      </c>
      <c r="L152" s="272">
        <v>0</v>
      </c>
      <c r="M152" s="272">
        <v>0</v>
      </c>
      <c r="N152" s="272">
        <v>0</v>
      </c>
      <c r="O152" s="272">
        <v>0</v>
      </c>
      <c r="P152" s="273">
        <v>42948</v>
      </c>
      <c r="Q152" s="274">
        <v>376</v>
      </c>
      <c r="R152" s="275">
        <v>31042.16</v>
      </c>
      <c r="S152" s="268"/>
      <c r="T152" s="276">
        <f t="shared" si="42"/>
        <v>31042.16</v>
      </c>
      <c r="U152" s="277">
        <f t="shared" si="31"/>
        <v>0</v>
      </c>
      <c r="V152" s="278">
        <f t="shared" si="32"/>
        <v>31042.16</v>
      </c>
      <c r="W152" s="275">
        <f t="shared" si="33"/>
        <v>31042.16</v>
      </c>
      <c r="X152" s="268"/>
      <c r="Y152" s="280" t="s">
        <v>1426</v>
      </c>
      <c r="Z152" s="268"/>
    </row>
    <row r="153" spans="1:26">
      <c r="A153" s="8">
        <v>144</v>
      </c>
      <c r="B153" s="268" t="s">
        <v>1413</v>
      </c>
      <c r="C153" s="268" t="s">
        <v>1542</v>
      </c>
      <c r="D153" s="269">
        <v>0</v>
      </c>
      <c r="E153" s="270">
        <v>0</v>
      </c>
      <c r="F153" s="270">
        <v>0</v>
      </c>
      <c r="G153" s="270">
        <v>6324.5</v>
      </c>
      <c r="H153" s="270">
        <v>22357.170000000002</v>
      </c>
      <c r="I153" s="271">
        <v>13325.79</v>
      </c>
      <c r="J153" s="272">
        <v>0</v>
      </c>
      <c r="K153" s="272">
        <v>0</v>
      </c>
      <c r="L153" s="272">
        <v>0</v>
      </c>
      <c r="M153" s="272">
        <v>0</v>
      </c>
      <c r="N153" s="272">
        <v>0</v>
      </c>
      <c r="O153" s="272">
        <v>0</v>
      </c>
      <c r="P153" s="273">
        <v>42902</v>
      </c>
      <c r="Q153" s="274">
        <v>376</v>
      </c>
      <c r="R153" s="275">
        <v>42007.46</v>
      </c>
      <c r="S153" s="268"/>
      <c r="T153" s="276">
        <f t="shared" si="42"/>
        <v>42007.46</v>
      </c>
      <c r="U153" s="277">
        <f t="shared" si="31"/>
        <v>42007.460000000006</v>
      </c>
      <c r="V153" s="278">
        <f t="shared" si="32"/>
        <v>0</v>
      </c>
      <c r="W153" s="275">
        <f t="shared" si="33"/>
        <v>42007.460000000006</v>
      </c>
      <c r="X153" s="276"/>
      <c r="Y153" s="280" t="s">
        <v>1426</v>
      </c>
      <c r="Z153" s="268"/>
    </row>
    <row r="154" spans="1:26">
      <c r="A154" s="8">
        <v>145</v>
      </c>
      <c r="B154" s="268" t="s">
        <v>1413</v>
      </c>
      <c r="C154" s="268" t="s">
        <v>1543</v>
      </c>
      <c r="D154" s="269">
        <v>0</v>
      </c>
      <c r="E154" s="270">
        <v>0</v>
      </c>
      <c r="F154" s="270">
        <v>0</v>
      </c>
      <c r="G154" s="270">
        <v>0</v>
      </c>
      <c r="H154" s="270">
        <v>39324.89</v>
      </c>
      <c r="I154" s="271">
        <v>528.98</v>
      </c>
      <c r="J154" s="272">
        <v>19993.38</v>
      </c>
      <c r="K154" s="272">
        <v>19773.59</v>
      </c>
      <c r="L154" s="272">
        <v>0</v>
      </c>
      <c r="M154" s="272">
        <v>0</v>
      </c>
      <c r="N154" s="272">
        <v>0</v>
      </c>
      <c r="O154" s="272">
        <v>0</v>
      </c>
      <c r="P154" s="273">
        <v>42947</v>
      </c>
      <c r="Q154" s="274">
        <v>376</v>
      </c>
      <c r="R154" s="275">
        <v>79620.84</v>
      </c>
      <c r="S154" s="268"/>
      <c r="T154" s="276">
        <f t="shared" si="42"/>
        <v>79620.84</v>
      </c>
      <c r="U154" s="277">
        <f t="shared" si="31"/>
        <v>39853.870000000003</v>
      </c>
      <c r="V154" s="278">
        <f t="shared" si="32"/>
        <v>39766.97</v>
      </c>
      <c r="W154" s="275">
        <f t="shared" si="33"/>
        <v>79620.84</v>
      </c>
      <c r="X154" s="268"/>
      <c r="Y154" s="280" t="s">
        <v>1426</v>
      </c>
      <c r="Z154" s="268"/>
    </row>
    <row r="155" spans="1:26">
      <c r="A155" s="8">
        <v>146</v>
      </c>
      <c r="B155" s="268" t="s">
        <v>1413</v>
      </c>
      <c r="C155" s="268" t="s">
        <v>1544</v>
      </c>
      <c r="D155" s="269">
        <v>0</v>
      </c>
      <c r="E155" s="270">
        <v>0</v>
      </c>
      <c r="F155" s="270">
        <v>0</v>
      </c>
      <c r="G155" s="270">
        <v>0</v>
      </c>
      <c r="H155" s="270">
        <v>0</v>
      </c>
      <c r="I155" s="271">
        <v>9150.07</v>
      </c>
      <c r="J155" s="272">
        <v>46.32</v>
      </c>
      <c r="K155" s="272">
        <v>46.58</v>
      </c>
      <c r="L155" s="272">
        <v>46.83</v>
      </c>
      <c r="M155" s="272">
        <v>47.09</v>
      </c>
      <c r="N155" s="272">
        <v>47.35</v>
      </c>
      <c r="O155" s="272">
        <v>47.61</v>
      </c>
      <c r="P155" s="273">
        <v>43100</v>
      </c>
      <c r="Q155" s="274">
        <v>376</v>
      </c>
      <c r="R155" s="275">
        <v>9431.85</v>
      </c>
      <c r="S155" s="268"/>
      <c r="T155" s="276"/>
      <c r="U155" s="277">
        <f t="shared" ref="U155:U166" si="45">SUM(D155:I155)</f>
        <v>9150.07</v>
      </c>
      <c r="V155" s="278">
        <f t="shared" ref="V155:V166" si="46">SUM(J155:O155)</f>
        <v>281.78000000000003</v>
      </c>
      <c r="W155" s="275">
        <f t="shared" ref="W155:W166" si="47">U155+V155</f>
        <v>9431.85</v>
      </c>
      <c r="X155" s="268"/>
      <c r="Y155" s="280"/>
      <c r="Z155" s="268"/>
    </row>
    <row r="156" spans="1:26">
      <c r="A156" s="8">
        <v>147</v>
      </c>
      <c r="B156" s="268" t="s">
        <v>1413</v>
      </c>
      <c r="C156" s="268" t="s">
        <v>1545</v>
      </c>
      <c r="D156" s="269">
        <v>0</v>
      </c>
      <c r="E156" s="270">
        <v>0</v>
      </c>
      <c r="F156" s="270">
        <v>0</v>
      </c>
      <c r="G156" s="270">
        <v>0</v>
      </c>
      <c r="H156" s="270">
        <v>0</v>
      </c>
      <c r="I156" s="271">
        <v>0</v>
      </c>
      <c r="J156" s="272">
        <v>33277.33</v>
      </c>
      <c r="K156" s="272">
        <v>33460.85</v>
      </c>
      <c r="L156" s="272">
        <v>33645.39</v>
      </c>
      <c r="M156" s="272">
        <v>0</v>
      </c>
      <c r="N156" s="272">
        <v>0</v>
      </c>
      <c r="O156" s="272">
        <v>0</v>
      </c>
      <c r="P156" s="273">
        <v>42979</v>
      </c>
      <c r="Q156" s="274">
        <v>376</v>
      </c>
      <c r="R156" s="275">
        <v>100383.57</v>
      </c>
      <c r="S156" s="268"/>
      <c r="T156" s="276">
        <f t="shared" ref="T156:T159" si="48">+R156</f>
        <v>100383.57</v>
      </c>
      <c r="U156" s="277">
        <f t="shared" si="45"/>
        <v>0</v>
      </c>
      <c r="V156" s="278">
        <f t="shared" si="46"/>
        <v>100383.56999999999</v>
      </c>
      <c r="W156" s="275">
        <f t="shared" si="47"/>
        <v>100383.56999999999</v>
      </c>
      <c r="X156" s="276"/>
      <c r="Y156" s="280" t="s">
        <v>1426</v>
      </c>
      <c r="Z156" s="268"/>
    </row>
    <row r="157" spans="1:26">
      <c r="A157" s="8">
        <v>148</v>
      </c>
      <c r="B157" s="268" t="s">
        <v>1413</v>
      </c>
      <c r="C157" s="268" t="s">
        <v>1546</v>
      </c>
      <c r="D157" s="269">
        <v>0</v>
      </c>
      <c r="E157" s="270">
        <v>0</v>
      </c>
      <c r="F157" s="270">
        <v>0</v>
      </c>
      <c r="G157" s="270">
        <v>0</v>
      </c>
      <c r="H157" s="270">
        <v>0</v>
      </c>
      <c r="I157" s="271">
        <v>0</v>
      </c>
      <c r="J157" s="272">
        <v>14848.6</v>
      </c>
      <c r="K157" s="272">
        <v>14930.49</v>
      </c>
      <c r="L157" s="272">
        <v>0</v>
      </c>
      <c r="M157" s="272">
        <v>0</v>
      </c>
      <c r="N157" s="272">
        <v>0</v>
      </c>
      <c r="O157" s="272">
        <v>0</v>
      </c>
      <c r="P157" s="273">
        <v>42962</v>
      </c>
      <c r="Q157" s="274">
        <v>376</v>
      </c>
      <c r="R157" s="275">
        <v>29779.09</v>
      </c>
      <c r="S157" s="268"/>
      <c r="T157" s="276">
        <f t="shared" si="48"/>
        <v>29779.09</v>
      </c>
      <c r="U157" s="277">
        <f t="shared" si="45"/>
        <v>0</v>
      </c>
      <c r="V157" s="278">
        <f t="shared" si="46"/>
        <v>29779.09</v>
      </c>
      <c r="W157" s="275">
        <f t="shared" si="47"/>
        <v>29779.09</v>
      </c>
      <c r="X157" s="268"/>
      <c r="Y157" s="280" t="s">
        <v>1426</v>
      </c>
      <c r="Z157" s="268"/>
    </row>
    <row r="158" spans="1:26">
      <c r="A158" s="8">
        <v>149</v>
      </c>
      <c r="B158" s="268" t="s">
        <v>1413</v>
      </c>
      <c r="C158" s="268" t="s">
        <v>1547</v>
      </c>
      <c r="D158" s="269">
        <v>0</v>
      </c>
      <c r="E158" s="270">
        <v>0</v>
      </c>
      <c r="F158" s="270">
        <v>0</v>
      </c>
      <c r="G158" s="270">
        <v>0</v>
      </c>
      <c r="H158" s="270">
        <v>0</v>
      </c>
      <c r="I158" s="271">
        <v>0</v>
      </c>
      <c r="J158" s="272">
        <v>25385.53</v>
      </c>
      <c r="K158" s="272">
        <v>25525.53</v>
      </c>
      <c r="L158" s="272">
        <v>0</v>
      </c>
      <c r="M158" s="272">
        <v>0</v>
      </c>
      <c r="N158" s="272">
        <v>0</v>
      </c>
      <c r="O158" s="272">
        <v>0</v>
      </c>
      <c r="P158" s="273">
        <v>42962</v>
      </c>
      <c r="Q158" s="274">
        <v>376</v>
      </c>
      <c r="R158" s="275">
        <v>50911.06</v>
      </c>
      <c r="S158" s="268"/>
      <c r="T158" s="276">
        <f t="shared" si="48"/>
        <v>50911.06</v>
      </c>
      <c r="U158" s="277">
        <f t="shared" si="45"/>
        <v>0</v>
      </c>
      <c r="V158" s="278">
        <f t="shared" si="46"/>
        <v>50911.06</v>
      </c>
      <c r="W158" s="275">
        <f t="shared" si="47"/>
        <v>50911.06</v>
      </c>
      <c r="X158" s="268"/>
      <c r="Y158" s="280" t="s">
        <v>1426</v>
      </c>
      <c r="Z158" s="268"/>
    </row>
    <row r="159" spans="1:26">
      <c r="A159" s="8">
        <v>150</v>
      </c>
      <c r="B159" s="268" t="s">
        <v>1413</v>
      </c>
      <c r="C159" s="268" t="s">
        <v>1548</v>
      </c>
      <c r="D159" s="269">
        <v>0</v>
      </c>
      <c r="E159" s="270">
        <v>0</v>
      </c>
      <c r="F159" s="270">
        <v>0</v>
      </c>
      <c r="G159" s="270">
        <v>0</v>
      </c>
      <c r="H159" s="270">
        <v>0</v>
      </c>
      <c r="I159" s="271">
        <v>0</v>
      </c>
      <c r="J159" s="272">
        <v>31102.12</v>
      </c>
      <c r="K159" s="272">
        <v>31273.65</v>
      </c>
      <c r="L159" s="272">
        <v>31446.12</v>
      </c>
      <c r="M159" s="272">
        <v>0</v>
      </c>
      <c r="N159" s="272">
        <v>0</v>
      </c>
      <c r="O159" s="272">
        <v>0</v>
      </c>
      <c r="P159" s="273">
        <v>43008</v>
      </c>
      <c r="Q159" s="274">
        <v>376</v>
      </c>
      <c r="R159" s="275">
        <v>93821.89</v>
      </c>
      <c r="S159" s="268"/>
      <c r="T159" s="276">
        <f t="shared" si="48"/>
        <v>93821.89</v>
      </c>
      <c r="U159" s="277">
        <f t="shared" si="45"/>
        <v>0</v>
      </c>
      <c r="V159" s="278">
        <f t="shared" si="46"/>
        <v>93821.89</v>
      </c>
      <c r="W159" s="275">
        <f t="shared" si="47"/>
        <v>93821.89</v>
      </c>
      <c r="X159" s="268"/>
      <c r="Y159" s="280" t="s">
        <v>1426</v>
      </c>
      <c r="Z159" s="268"/>
    </row>
    <row r="160" spans="1:26">
      <c r="A160" s="8">
        <v>151</v>
      </c>
      <c r="B160" s="268" t="s">
        <v>1413</v>
      </c>
      <c r="C160" s="268" t="s">
        <v>1549</v>
      </c>
      <c r="D160" s="269">
        <v>0</v>
      </c>
      <c r="E160" s="270">
        <v>0</v>
      </c>
      <c r="F160" s="270">
        <v>0</v>
      </c>
      <c r="G160" s="270">
        <v>0</v>
      </c>
      <c r="H160" s="270">
        <v>0</v>
      </c>
      <c r="I160" s="271">
        <v>0</v>
      </c>
      <c r="J160" s="272">
        <v>142208.57</v>
      </c>
      <c r="K160" s="272">
        <v>142992.86000000002</v>
      </c>
      <c r="L160" s="272">
        <v>143781.46</v>
      </c>
      <c r="M160" s="272">
        <v>144574.42000000001</v>
      </c>
      <c r="N160" s="272">
        <v>145371.74</v>
      </c>
      <c r="O160" s="272">
        <v>0</v>
      </c>
      <c r="P160" s="273">
        <v>43069</v>
      </c>
      <c r="Q160" s="274">
        <v>376</v>
      </c>
      <c r="R160" s="275">
        <v>718929.05</v>
      </c>
      <c r="S160" s="268"/>
      <c r="T160" s="276">
        <f>+R160</f>
        <v>718929.05</v>
      </c>
      <c r="U160" s="277">
        <f t="shared" si="45"/>
        <v>0</v>
      </c>
      <c r="V160" s="278">
        <f t="shared" si="46"/>
        <v>718929.05</v>
      </c>
      <c r="W160" s="275">
        <f t="shared" si="47"/>
        <v>718929.05</v>
      </c>
      <c r="X160" s="302">
        <f>+T160</f>
        <v>718929.05</v>
      </c>
      <c r="Y160" s="280">
        <v>23</v>
      </c>
      <c r="Z160" s="268"/>
    </row>
    <row r="161" spans="1:26">
      <c r="A161" s="8">
        <v>152</v>
      </c>
      <c r="B161" s="268" t="s">
        <v>1413</v>
      </c>
      <c r="C161" s="268" t="s">
        <v>1550</v>
      </c>
      <c r="D161" s="269">
        <v>0</v>
      </c>
      <c r="E161" s="270">
        <v>0</v>
      </c>
      <c r="F161" s="270">
        <v>0</v>
      </c>
      <c r="G161" s="270">
        <v>0</v>
      </c>
      <c r="H161" s="270">
        <v>0</v>
      </c>
      <c r="I161" s="271">
        <v>0</v>
      </c>
      <c r="J161" s="272">
        <v>19111.810000000001</v>
      </c>
      <c r="K161" s="272">
        <v>19217.21</v>
      </c>
      <c r="L161" s="272">
        <v>19323.189999999999</v>
      </c>
      <c r="M161" s="272">
        <v>0</v>
      </c>
      <c r="N161" s="272">
        <v>0</v>
      </c>
      <c r="O161" s="272">
        <v>0</v>
      </c>
      <c r="P161" s="273">
        <v>42990</v>
      </c>
      <c r="Q161" s="274">
        <v>376</v>
      </c>
      <c r="R161" s="275">
        <v>57652.21</v>
      </c>
      <c r="S161" s="268"/>
      <c r="T161" s="276">
        <f t="shared" ref="T161:T163" si="49">+R161</f>
        <v>57652.21</v>
      </c>
      <c r="U161" s="277">
        <f t="shared" si="45"/>
        <v>0</v>
      </c>
      <c r="V161" s="278">
        <f t="shared" si="46"/>
        <v>57652.210000000006</v>
      </c>
      <c r="W161" s="275">
        <f t="shared" si="47"/>
        <v>57652.210000000006</v>
      </c>
      <c r="X161" s="268"/>
      <c r="Y161" s="280" t="s">
        <v>1426</v>
      </c>
      <c r="Z161" s="268"/>
    </row>
    <row r="162" spans="1:26">
      <c r="A162" s="8">
        <v>153</v>
      </c>
      <c r="B162" s="268" t="s">
        <v>1413</v>
      </c>
      <c r="C162" s="268" t="s">
        <v>1551</v>
      </c>
      <c r="D162" s="269">
        <v>0</v>
      </c>
      <c r="E162" s="270">
        <v>0</v>
      </c>
      <c r="F162" s="270">
        <v>0</v>
      </c>
      <c r="G162" s="270">
        <v>0</v>
      </c>
      <c r="H162" s="270">
        <v>0</v>
      </c>
      <c r="I162" s="271">
        <v>0</v>
      </c>
      <c r="J162" s="272">
        <v>18501.41</v>
      </c>
      <c r="K162" s="272">
        <v>18603.439999999999</v>
      </c>
      <c r="L162" s="272">
        <v>18706.05</v>
      </c>
      <c r="M162" s="272">
        <v>18809.2</v>
      </c>
      <c r="N162" s="272">
        <v>0</v>
      </c>
      <c r="O162" s="272">
        <v>0</v>
      </c>
      <c r="P162" s="273">
        <v>43038</v>
      </c>
      <c r="Q162" s="274">
        <v>376</v>
      </c>
      <c r="R162" s="275">
        <v>74620.100000000006</v>
      </c>
      <c r="S162" s="268"/>
      <c r="T162" s="276">
        <f t="shared" si="49"/>
        <v>74620.100000000006</v>
      </c>
      <c r="U162" s="277">
        <f t="shared" si="45"/>
        <v>0</v>
      </c>
      <c r="V162" s="278">
        <f t="shared" si="46"/>
        <v>74620.099999999991</v>
      </c>
      <c r="W162" s="275">
        <f t="shared" si="47"/>
        <v>74620.099999999991</v>
      </c>
      <c r="X162" s="268"/>
      <c r="Y162" s="280" t="s">
        <v>1426</v>
      </c>
      <c r="Z162" s="268"/>
    </row>
    <row r="163" spans="1:26">
      <c r="A163" s="8">
        <v>154</v>
      </c>
      <c r="B163" s="268" t="s">
        <v>1413</v>
      </c>
      <c r="C163" s="268" t="s">
        <v>1552</v>
      </c>
      <c r="D163" s="269">
        <v>0</v>
      </c>
      <c r="E163" s="270">
        <v>0</v>
      </c>
      <c r="F163" s="270">
        <v>0</v>
      </c>
      <c r="G163" s="270">
        <v>0</v>
      </c>
      <c r="H163" s="270">
        <v>0</v>
      </c>
      <c r="I163" s="271">
        <v>0</v>
      </c>
      <c r="J163" s="272">
        <v>0</v>
      </c>
      <c r="K163" s="272">
        <v>23714.16</v>
      </c>
      <c r="L163" s="272">
        <v>23844.94</v>
      </c>
      <c r="M163" s="272">
        <v>23976.44</v>
      </c>
      <c r="N163" s="272">
        <v>24108.68</v>
      </c>
      <c r="O163" s="272">
        <v>0</v>
      </c>
      <c r="P163" s="273">
        <v>43069</v>
      </c>
      <c r="Q163" s="274">
        <v>376</v>
      </c>
      <c r="R163" s="275">
        <v>95644.22</v>
      </c>
      <c r="S163" s="268"/>
      <c r="T163" s="276">
        <f t="shared" si="49"/>
        <v>95644.22</v>
      </c>
      <c r="U163" s="277">
        <f t="shared" si="45"/>
        <v>0</v>
      </c>
      <c r="V163" s="278">
        <f t="shared" si="46"/>
        <v>95644.22</v>
      </c>
      <c r="W163" s="275">
        <f t="shared" si="47"/>
        <v>95644.22</v>
      </c>
      <c r="X163" s="276"/>
      <c r="Y163" s="280" t="s">
        <v>1426</v>
      </c>
      <c r="Z163" s="268"/>
    </row>
    <row r="164" spans="1:26">
      <c r="A164" s="8">
        <v>155</v>
      </c>
      <c r="B164" s="268" t="s">
        <v>1413</v>
      </c>
      <c r="C164" s="268" t="s">
        <v>1553</v>
      </c>
      <c r="D164" s="269">
        <v>0</v>
      </c>
      <c r="E164" s="270">
        <v>0</v>
      </c>
      <c r="F164" s="270">
        <v>0</v>
      </c>
      <c r="G164" s="270">
        <v>0</v>
      </c>
      <c r="H164" s="270">
        <v>0</v>
      </c>
      <c r="I164" s="271">
        <v>0</v>
      </c>
      <c r="J164" s="272">
        <v>27614.03</v>
      </c>
      <c r="K164" s="272">
        <v>27766.32</v>
      </c>
      <c r="L164" s="272">
        <v>27919.45</v>
      </c>
      <c r="M164" s="272">
        <v>28073.43</v>
      </c>
      <c r="N164" s="272">
        <v>0</v>
      </c>
      <c r="O164" s="272">
        <v>0</v>
      </c>
      <c r="P164" s="274"/>
      <c r="Q164" s="274"/>
      <c r="R164" s="275">
        <v>111373.23</v>
      </c>
      <c r="S164" s="268"/>
      <c r="T164" s="276"/>
      <c r="U164" s="277">
        <f t="shared" si="45"/>
        <v>0</v>
      </c>
      <c r="V164" s="278">
        <f t="shared" si="46"/>
        <v>111373.23000000001</v>
      </c>
      <c r="W164" s="275">
        <f t="shared" si="47"/>
        <v>111373.23000000001</v>
      </c>
      <c r="X164" s="268"/>
      <c r="Y164" s="280"/>
      <c r="Z164" s="268"/>
    </row>
    <row r="165" spans="1:26">
      <c r="A165" s="8">
        <v>156</v>
      </c>
      <c r="B165" s="268" t="s">
        <v>1554</v>
      </c>
      <c r="C165" s="268" t="s">
        <v>1555</v>
      </c>
      <c r="D165" s="269">
        <v>190.58</v>
      </c>
      <c r="E165" s="270">
        <v>191.73000000000002</v>
      </c>
      <c r="F165" s="270">
        <v>5972.87</v>
      </c>
      <c r="G165" s="270">
        <v>10415.34</v>
      </c>
      <c r="H165" s="270">
        <v>31809.8</v>
      </c>
      <c r="I165" s="271">
        <v>113610.73</v>
      </c>
      <c r="J165" s="272">
        <v>1068.24</v>
      </c>
      <c r="K165" s="272">
        <v>1074.1300000000001</v>
      </c>
      <c r="L165" s="272">
        <v>1080.05</v>
      </c>
      <c r="M165" s="272">
        <v>1086.01</v>
      </c>
      <c r="N165" s="272">
        <v>1092</v>
      </c>
      <c r="O165" s="272">
        <v>1098.02</v>
      </c>
      <c r="P165" s="273">
        <v>43100</v>
      </c>
      <c r="Q165" s="274">
        <v>376</v>
      </c>
      <c r="R165" s="275">
        <v>168689.5</v>
      </c>
      <c r="S165" s="268"/>
      <c r="T165" s="276">
        <f t="shared" ref="T165:T166" si="50">+R165</f>
        <v>168689.5</v>
      </c>
      <c r="U165" s="277">
        <f t="shared" si="45"/>
        <v>162191.04999999999</v>
      </c>
      <c r="V165" s="278">
        <f t="shared" si="46"/>
        <v>6498.4500000000007</v>
      </c>
      <c r="W165" s="275">
        <f t="shared" si="47"/>
        <v>168689.5</v>
      </c>
      <c r="X165" s="279"/>
      <c r="Y165" s="280" t="s">
        <v>1400</v>
      </c>
      <c r="Z165" s="268"/>
    </row>
    <row r="166" spans="1:26">
      <c r="A166" s="8">
        <v>157</v>
      </c>
      <c r="B166" s="268" t="s">
        <v>1554</v>
      </c>
      <c r="C166" s="268" t="s">
        <v>1556</v>
      </c>
      <c r="D166" s="269">
        <v>94655.21</v>
      </c>
      <c r="E166" s="270">
        <v>98535.3</v>
      </c>
      <c r="F166" s="270">
        <v>132939.62</v>
      </c>
      <c r="G166" s="270">
        <v>62785.86</v>
      </c>
      <c r="H166" s="270">
        <v>41416.959999999999</v>
      </c>
      <c r="I166" s="271">
        <v>48388.3</v>
      </c>
      <c r="J166" s="272">
        <v>17664.89</v>
      </c>
      <c r="K166" s="272">
        <v>17762.310000000001</v>
      </c>
      <c r="L166" s="272">
        <v>17860.260000000002</v>
      </c>
      <c r="M166" s="272">
        <v>17958.77</v>
      </c>
      <c r="N166" s="272">
        <v>18057.810000000001</v>
      </c>
      <c r="O166" s="272">
        <v>18157.400000000001</v>
      </c>
      <c r="P166" s="273">
        <v>43434</v>
      </c>
      <c r="Q166" s="274">
        <v>376</v>
      </c>
      <c r="R166" s="275">
        <v>586182.69000000006</v>
      </c>
      <c r="S166" s="268"/>
      <c r="T166" s="276">
        <f t="shared" si="50"/>
        <v>586182.69000000006</v>
      </c>
      <c r="U166" s="277">
        <f t="shared" si="45"/>
        <v>478721.25</v>
      </c>
      <c r="V166" s="278">
        <f t="shared" si="46"/>
        <v>107461.44</v>
      </c>
      <c r="W166" s="275">
        <f t="shared" si="47"/>
        <v>586182.68999999994</v>
      </c>
      <c r="X166" s="279"/>
      <c r="Y166" s="280" t="s">
        <v>1400</v>
      </c>
      <c r="Z166" s="268"/>
    </row>
    <row r="167" spans="1:26">
      <c r="A167" s="8">
        <v>158</v>
      </c>
      <c r="B167" s="288"/>
      <c r="C167" s="289" t="s">
        <v>1557</v>
      </c>
      <c r="D167" s="290">
        <f t="shared" ref="D167:O167" si="51">SUM(D27:D166)</f>
        <v>2036814.9799999995</v>
      </c>
      <c r="E167" s="291">
        <f t="shared" si="51"/>
        <v>2658788.2100000009</v>
      </c>
      <c r="F167" s="291">
        <f t="shared" si="51"/>
        <v>3371657.64</v>
      </c>
      <c r="G167" s="291">
        <f t="shared" si="51"/>
        <v>4094063.9199999995</v>
      </c>
      <c r="H167" s="291">
        <f t="shared" si="51"/>
        <v>5845911.3000000007</v>
      </c>
      <c r="I167" s="292">
        <f t="shared" si="51"/>
        <v>4729305.9600000009</v>
      </c>
      <c r="J167" s="293">
        <f t="shared" si="51"/>
        <v>6979412.2400000012</v>
      </c>
      <c r="K167" s="293">
        <f t="shared" si="51"/>
        <v>7058667.200000002</v>
      </c>
      <c r="L167" s="293">
        <f t="shared" si="51"/>
        <v>6909364.3000000007</v>
      </c>
      <c r="M167" s="293">
        <f t="shared" si="51"/>
        <v>5214083.1999999993</v>
      </c>
      <c r="N167" s="293">
        <f t="shared" si="51"/>
        <v>3522815.0700000003</v>
      </c>
      <c r="O167" s="293">
        <f t="shared" si="51"/>
        <v>3147460.4400000004</v>
      </c>
      <c r="P167" s="294"/>
      <c r="Q167" s="294"/>
      <c r="R167" s="295">
        <f>SUM(R27:R166)</f>
        <v>55568344.459999986</v>
      </c>
      <c r="S167" s="288"/>
      <c r="T167" s="296">
        <f>SUM(T27:T166)</f>
        <v>42871768.677532002</v>
      </c>
      <c r="U167" s="297">
        <f>SUM(U27:U166)</f>
        <v>22736542.010000009</v>
      </c>
      <c r="V167" s="298">
        <f>SUM(V27:V166)</f>
        <v>32831802.450000003</v>
      </c>
      <c r="W167" s="295">
        <f>SUM(W27:W166)</f>
        <v>55568344.459999986</v>
      </c>
      <c r="X167" s="296">
        <f>SUM(X27:X166)</f>
        <v>16197224.664488005</v>
      </c>
      <c r="Y167" s="299"/>
      <c r="Z167" s="288"/>
    </row>
    <row r="168" spans="1:26">
      <c r="B168" s="288"/>
      <c r="C168" s="288"/>
      <c r="D168" s="269"/>
      <c r="E168" s="270"/>
      <c r="F168" s="270"/>
      <c r="G168" s="270"/>
      <c r="H168" s="270"/>
      <c r="I168" s="271"/>
      <c r="J168" s="272"/>
      <c r="K168" s="272"/>
      <c r="L168" s="272"/>
      <c r="M168" s="272"/>
      <c r="N168" s="272"/>
      <c r="O168" s="300"/>
      <c r="P168" s="284"/>
      <c r="Q168" s="284"/>
      <c r="R168" s="275"/>
      <c r="S168" s="288"/>
      <c r="T168" s="303"/>
      <c r="U168" s="277"/>
      <c r="V168" s="278"/>
      <c r="W168" s="275"/>
      <c r="X168" s="303"/>
      <c r="Y168" s="299"/>
      <c r="Z168" s="288"/>
    </row>
    <row r="169" spans="1:26">
      <c r="B169" s="288"/>
      <c r="C169" s="289"/>
      <c r="D169" s="269"/>
      <c r="E169" s="270"/>
      <c r="F169" s="270"/>
      <c r="G169" s="270"/>
      <c r="H169" s="270"/>
      <c r="I169" s="271">
        <f>SUM(D167:I167)</f>
        <v>22736542.010000002</v>
      </c>
      <c r="J169" s="272"/>
      <c r="K169" s="272"/>
      <c r="L169" s="272"/>
      <c r="M169" s="272"/>
      <c r="N169" s="272"/>
      <c r="O169" s="300">
        <f>SUM(J167:O167)</f>
        <v>32831802.450000003</v>
      </c>
      <c r="P169" s="284"/>
      <c r="Q169" s="284"/>
      <c r="R169" s="275"/>
      <c r="S169" s="288"/>
      <c r="T169" s="303"/>
      <c r="U169" s="277"/>
      <c r="V169" s="278"/>
      <c r="W169" s="275"/>
      <c r="X169" s="288"/>
      <c r="Y169" s="299"/>
      <c r="Z169" s="288"/>
    </row>
    <row r="170" spans="1:26">
      <c r="B170" s="288"/>
      <c r="C170" s="288"/>
      <c r="D170" s="269"/>
      <c r="E170" s="270"/>
      <c r="F170" s="270"/>
      <c r="G170" s="270"/>
      <c r="H170" s="270"/>
      <c r="I170" s="271"/>
      <c r="J170" s="272"/>
      <c r="K170" s="272"/>
      <c r="L170" s="272"/>
      <c r="M170" s="272"/>
      <c r="N170" s="272"/>
      <c r="O170" s="300"/>
      <c r="P170" s="284"/>
      <c r="Q170" s="284"/>
      <c r="R170" s="275"/>
      <c r="S170" s="288"/>
      <c r="T170" s="301"/>
      <c r="U170" s="277"/>
      <c r="V170" s="278"/>
      <c r="W170" s="275"/>
      <c r="X170" s="288"/>
      <c r="Y170" s="299"/>
      <c r="Z170" s="288"/>
    </row>
    <row r="171" spans="1:26">
      <c r="A171" s="8">
        <v>159</v>
      </c>
      <c r="B171" s="268" t="s">
        <v>1558</v>
      </c>
      <c r="C171" s="268" t="s">
        <v>1559</v>
      </c>
      <c r="D171" s="269">
        <v>0</v>
      </c>
      <c r="E171" s="270">
        <v>0</v>
      </c>
      <c r="F171" s="270">
        <v>0</v>
      </c>
      <c r="G171" s="270">
        <v>0</v>
      </c>
      <c r="H171" s="270">
        <v>0</v>
      </c>
      <c r="I171" s="271">
        <v>0</v>
      </c>
      <c r="J171" s="272">
        <v>882.87</v>
      </c>
      <c r="K171" s="272">
        <v>882.87</v>
      </c>
      <c r="L171" s="272">
        <v>882.87</v>
      </c>
      <c r="M171" s="272">
        <v>882.87</v>
      </c>
      <c r="N171" s="272">
        <v>882.87</v>
      </c>
      <c r="O171" s="272">
        <v>882.87</v>
      </c>
      <c r="P171" s="273">
        <v>44561</v>
      </c>
      <c r="Q171" s="274">
        <v>396</v>
      </c>
      <c r="R171" s="275">
        <v>5297.22</v>
      </c>
      <c r="S171" s="986">
        <f>+'State Allocation Formulas'!$L$25</f>
        <v>0.77239999999999998</v>
      </c>
      <c r="T171" s="276">
        <f t="shared" ref="T171:T203" si="52">+R171*S171</f>
        <v>4091.5727280000001</v>
      </c>
      <c r="U171" s="277">
        <f t="shared" ref="U171:U203" si="53">SUM(D171:I171)</f>
        <v>0</v>
      </c>
      <c r="V171" s="278">
        <f t="shared" ref="V171:V203" si="54">SUM(J171:O171)</f>
        <v>5297.22</v>
      </c>
      <c r="W171" s="275">
        <f t="shared" ref="W171:W203" si="55">U171+V171</f>
        <v>5297.22</v>
      </c>
      <c r="X171" s="276"/>
      <c r="Y171" s="280" t="s">
        <v>1428</v>
      </c>
      <c r="Z171" s="268"/>
    </row>
    <row r="172" spans="1:26">
      <c r="A172" s="8">
        <v>160</v>
      </c>
      <c r="B172" s="268" t="s">
        <v>1558</v>
      </c>
      <c r="C172" s="268" t="s">
        <v>1560</v>
      </c>
      <c r="D172" s="269">
        <v>2416.65</v>
      </c>
      <c r="E172" s="270">
        <v>1514.64</v>
      </c>
      <c r="F172" s="270">
        <v>4178.3900000000003</v>
      </c>
      <c r="G172" s="270">
        <v>5415.88</v>
      </c>
      <c r="H172" s="270">
        <v>20910.14</v>
      </c>
      <c r="I172" s="271">
        <v>7842</v>
      </c>
      <c r="J172" s="272">
        <v>24341.89</v>
      </c>
      <c r="K172" s="272">
        <v>24341.89</v>
      </c>
      <c r="L172" s="272">
        <v>24341.89</v>
      </c>
      <c r="M172" s="272">
        <v>24341.89</v>
      </c>
      <c r="N172" s="272">
        <v>24341.89</v>
      </c>
      <c r="O172" s="272">
        <v>24341.89</v>
      </c>
      <c r="P172" s="273">
        <v>46022</v>
      </c>
      <c r="Q172" s="274">
        <v>397</v>
      </c>
      <c r="R172" s="275">
        <v>188329.04</v>
      </c>
      <c r="S172" s="986">
        <f>+'State Allocation Formulas'!$L$25</f>
        <v>0.77239999999999998</v>
      </c>
      <c r="T172" s="276">
        <f t="shared" si="52"/>
        <v>145465.350496</v>
      </c>
      <c r="U172" s="277">
        <f t="shared" si="53"/>
        <v>42277.7</v>
      </c>
      <c r="V172" s="278">
        <f t="shared" si="54"/>
        <v>146051.34</v>
      </c>
      <c r="W172" s="275">
        <f t="shared" si="55"/>
        <v>188329.03999999998</v>
      </c>
      <c r="X172" s="276"/>
      <c r="Y172" s="280" t="s">
        <v>1428</v>
      </c>
      <c r="Z172" s="268"/>
    </row>
    <row r="173" spans="1:26">
      <c r="A173" s="8">
        <v>161</v>
      </c>
      <c r="B173" s="268" t="s">
        <v>1558</v>
      </c>
      <c r="C173" s="268" t="s">
        <v>1561</v>
      </c>
      <c r="D173" s="269">
        <v>-1479.5</v>
      </c>
      <c r="E173" s="270">
        <v>-35847.599999999999</v>
      </c>
      <c r="F173" s="270">
        <v>-16293.28</v>
      </c>
      <c r="G173" s="270">
        <v>76220.67</v>
      </c>
      <c r="H173" s="270">
        <v>70334.180000000008</v>
      </c>
      <c r="I173" s="271">
        <v>17524.38</v>
      </c>
      <c r="J173" s="272">
        <v>41495.78</v>
      </c>
      <c r="K173" s="272">
        <v>41495.78</v>
      </c>
      <c r="L173" s="272">
        <v>41495.78</v>
      </c>
      <c r="M173" s="272">
        <v>41495.78</v>
      </c>
      <c r="N173" s="272">
        <v>41495.78</v>
      </c>
      <c r="O173" s="272">
        <v>41495.78</v>
      </c>
      <c r="P173" s="274"/>
      <c r="Q173" s="274"/>
      <c r="R173" s="275">
        <v>359433.53</v>
      </c>
      <c r="S173" s="268"/>
      <c r="T173" s="276"/>
      <c r="U173" s="277">
        <f t="shared" si="53"/>
        <v>110458.85</v>
      </c>
      <c r="V173" s="278">
        <f t="shared" si="54"/>
        <v>248974.68</v>
      </c>
      <c r="W173" s="275">
        <f t="shared" si="55"/>
        <v>359433.53</v>
      </c>
      <c r="X173" s="268"/>
      <c r="Y173" s="280"/>
      <c r="Z173" s="268"/>
    </row>
    <row r="174" spans="1:26">
      <c r="A174" s="8">
        <v>162</v>
      </c>
      <c r="B174" s="268" t="s">
        <v>1558</v>
      </c>
      <c r="C174" s="268" t="s">
        <v>1562</v>
      </c>
      <c r="D174" s="269">
        <v>19901.59</v>
      </c>
      <c r="E174" s="270">
        <v>-600</v>
      </c>
      <c r="F174" s="270">
        <v>0</v>
      </c>
      <c r="G174" s="270">
        <v>0</v>
      </c>
      <c r="H174" s="270">
        <v>-59935.46</v>
      </c>
      <c r="I174" s="271">
        <v>-3426</v>
      </c>
      <c r="J174" s="272">
        <v>47787.65</v>
      </c>
      <c r="K174" s="272">
        <v>47787.65</v>
      </c>
      <c r="L174" s="272">
        <v>47787.65</v>
      </c>
      <c r="M174" s="272">
        <v>47787.65</v>
      </c>
      <c r="N174" s="272">
        <v>47787.65</v>
      </c>
      <c r="O174" s="272">
        <v>47787.65</v>
      </c>
      <c r="P174" s="274"/>
      <c r="Q174" s="274"/>
      <c r="R174" s="275">
        <v>242666.03</v>
      </c>
      <c r="S174" s="268"/>
      <c r="T174" s="276"/>
      <c r="U174" s="277">
        <f t="shared" si="53"/>
        <v>-44059.869999999995</v>
      </c>
      <c r="V174" s="278">
        <f t="shared" si="54"/>
        <v>286725.90000000002</v>
      </c>
      <c r="W174" s="275">
        <f t="shared" si="55"/>
        <v>242666.03000000003</v>
      </c>
      <c r="X174" s="268"/>
      <c r="Y174" s="280"/>
      <c r="Z174" s="268"/>
    </row>
    <row r="175" spans="1:26">
      <c r="A175" s="8">
        <v>163</v>
      </c>
      <c r="B175" s="268" t="s">
        <v>1558</v>
      </c>
      <c r="C175" s="268" t="s">
        <v>1563</v>
      </c>
      <c r="D175" s="269">
        <v>-21843.72</v>
      </c>
      <c r="E175" s="270">
        <v>136006.39999999999</v>
      </c>
      <c r="F175" s="270">
        <v>14779.07</v>
      </c>
      <c r="G175" s="270">
        <v>209749.84</v>
      </c>
      <c r="H175" s="270">
        <v>98505.45</v>
      </c>
      <c r="I175" s="271">
        <v>335275.18</v>
      </c>
      <c r="J175" s="272">
        <v>98096.17</v>
      </c>
      <c r="K175" s="272">
        <v>98096.17</v>
      </c>
      <c r="L175" s="272">
        <v>98096.17</v>
      </c>
      <c r="M175" s="272">
        <v>98096.17</v>
      </c>
      <c r="N175" s="272">
        <v>98096.17</v>
      </c>
      <c r="O175" s="272">
        <v>98096.17</v>
      </c>
      <c r="P175" s="273">
        <v>44926</v>
      </c>
      <c r="Q175" s="274">
        <v>392</v>
      </c>
      <c r="R175" s="275">
        <v>1361049.24</v>
      </c>
      <c r="S175" s="268"/>
      <c r="T175" s="276">
        <f>+R175</f>
        <v>1361049.24</v>
      </c>
      <c r="U175" s="277">
        <f t="shared" si="53"/>
        <v>772472.22</v>
      </c>
      <c r="V175" s="278">
        <f t="shared" si="54"/>
        <v>588577.02</v>
      </c>
      <c r="W175" s="275">
        <f t="shared" si="55"/>
        <v>1361049.24</v>
      </c>
      <c r="X175" s="276"/>
      <c r="Y175" s="280" t="s">
        <v>1428</v>
      </c>
      <c r="Z175" s="268"/>
    </row>
    <row r="176" spans="1:26">
      <c r="A176" s="8">
        <v>164</v>
      </c>
      <c r="B176" s="268" t="s">
        <v>1558</v>
      </c>
      <c r="C176" s="268" t="s">
        <v>1564</v>
      </c>
      <c r="D176" s="269">
        <v>44759.69</v>
      </c>
      <c r="E176" s="270">
        <v>0</v>
      </c>
      <c r="F176" s="270">
        <v>0</v>
      </c>
      <c r="G176" s="270">
        <v>0</v>
      </c>
      <c r="H176" s="270">
        <v>-128283.23</v>
      </c>
      <c r="I176" s="271">
        <v>-4719.57</v>
      </c>
      <c r="J176" s="272">
        <v>131219.44</v>
      </c>
      <c r="K176" s="272">
        <v>131219.44</v>
      </c>
      <c r="L176" s="272">
        <v>131219.44</v>
      </c>
      <c r="M176" s="272">
        <v>131219.44</v>
      </c>
      <c r="N176" s="272">
        <v>131219.44</v>
      </c>
      <c r="O176" s="272">
        <v>131219.44</v>
      </c>
      <c r="P176" s="273">
        <v>44926</v>
      </c>
      <c r="Q176" s="274">
        <v>396</v>
      </c>
      <c r="R176" s="275">
        <v>699073.53</v>
      </c>
      <c r="S176" s="268"/>
      <c r="T176" s="276">
        <f t="shared" ref="T176:T177" si="56">+R176</f>
        <v>699073.53</v>
      </c>
      <c r="U176" s="277">
        <f t="shared" si="53"/>
        <v>-88243.109999999986</v>
      </c>
      <c r="V176" s="278">
        <f t="shared" si="54"/>
        <v>787316.6399999999</v>
      </c>
      <c r="W176" s="275">
        <f t="shared" si="55"/>
        <v>699073.52999999991</v>
      </c>
      <c r="X176" s="276"/>
      <c r="Y176" s="280" t="s">
        <v>1428</v>
      </c>
      <c r="Z176" s="268"/>
    </row>
    <row r="177" spans="1:26">
      <c r="A177" s="8">
        <v>165</v>
      </c>
      <c r="B177" s="268" t="s">
        <v>1558</v>
      </c>
      <c r="C177" s="268" t="s">
        <v>1565</v>
      </c>
      <c r="D177" s="269">
        <v>1059.77</v>
      </c>
      <c r="E177" s="270">
        <v>0</v>
      </c>
      <c r="F177" s="270">
        <v>0</v>
      </c>
      <c r="G177" s="270">
        <v>0</v>
      </c>
      <c r="H177" s="270">
        <v>0</v>
      </c>
      <c r="I177" s="271">
        <v>0</v>
      </c>
      <c r="J177" s="272">
        <v>0</v>
      </c>
      <c r="K177" s="272">
        <v>0</v>
      </c>
      <c r="L177" s="272">
        <v>0</v>
      </c>
      <c r="M177" s="272">
        <v>0</v>
      </c>
      <c r="N177" s="272">
        <v>0</v>
      </c>
      <c r="O177" s="272">
        <v>0</v>
      </c>
      <c r="P177" s="273">
        <v>46022</v>
      </c>
      <c r="Q177" s="274">
        <v>397</v>
      </c>
      <c r="R177" s="275">
        <v>1059.77</v>
      </c>
      <c r="S177" s="268"/>
      <c r="T177" s="276">
        <f t="shared" si="56"/>
        <v>1059.77</v>
      </c>
      <c r="U177" s="277">
        <f t="shared" si="53"/>
        <v>1059.77</v>
      </c>
      <c r="V177" s="278">
        <f t="shared" si="54"/>
        <v>0</v>
      </c>
      <c r="W177" s="275">
        <f t="shared" si="55"/>
        <v>1059.77</v>
      </c>
      <c r="X177" s="276"/>
      <c r="Y177" s="280" t="s">
        <v>1428</v>
      </c>
      <c r="Z177" s="268"/>
    </row>
    <row r="178" spans="1:26">
      <c r="A178" s="8">
        <v>166</v>
      </c>
      <c r="B178" s="268" t="s">
        <v>1558</v>
      </c>
      <c r="C178" s="268" t="s">
        <v>1566</v>
      </c>
      <c r="D178" s="269">
        <v>225.18</v>
      </c>
      <c r="E178" s="270">
        <v>226.54</v>
      </c>
      <c r="F178" s="270">
        <v>-2051.9700000000003</v>
      </c>
      <c r="G178" s="270">
        <v>0</v>
      </c>
      <c r="H178" s="270">
        <v>0</v>
      </c>
      <c r="I178" s="271">
        <v>0</v>
      </c>
      <c r="J178" s="272">
        <v>0</v>
      </c>
      <c r="K178" s="272">
        <v>0</v>
      </c>
      <c r="L178" s="272">
        <v>0</v>
      </c>
      <c r="M178" s="272">
        <v>0</v>
      </c>
      <c r="N178" s="272">
        <v>0</v>
      </c>
      <c r="O178" s="272">
        <v>0</v>
      </c>
      <c r="P178" s="273">
        <v>46022</v>
      </c>
      <c r="Q178" s="274">
        <v>390</v>
      </c>
      <c r="R178" s="275">
        <v>-1600.25</v>
      </c>
      <c r="S178" s="986">
        <f>+'State Allocation Formulas'!$L$25</f>
        <v>0.77239999999999998</v>
      </c>
      <c r="T178" s="276">
        <f t="shared" si="52"/>
        <v>-1236.0330999999999</v>
      </c>
      <c r="U178" s="277">
        <f t="shared" si="53"/>
        <v>-1600.2500000000002</v>
      </c>
      <c r="V178" s="278">
        <f t="shared" si="54"/>
        <v>0</v>
      </c>
      <c r="W178" s="275">
        <f t="shared" si="55"/>
        <v>-1600.2500000000002</v>
      </c>
      <c r="X178" s="276"/>
      <c r="Y178" s="280" t="s">
        <v>1428</v>
      </c>
      <c r="Z178" s="268"/>
    </row>
    <row r="179" spans="1:26">
      <c r="A179" s="8">
        <v>167</v>
      </c>
      <c r="B179" s="268" t="s">
        <v>1558</v>
      </c>
      <c r="C179" s="268" t="s">
        <v>1567</v>
      </c>
      <c r="D179" s="269">
        <v>-21753.350000000002</v>
      </c>
      <c r="E179" s="270">
        <v>2941.76</v>
      </c>
      <c r="F179" s="270">
        <v>-495.14</v>
      </c>
      <c r="G179" s="270">
        <v>-5000</v>
      </c>
      <c r="H179" s="270">
        <v>0</v>
      </c>
      <c r="I179" s="271">
        <v>0</v>
      </c>
      <c r="J179" s="272">
        <v>7350.29</v>
      </c>
      <c r="K179" s="272">
        <v>7350.29</v>
      </c>
      <c r="L179" s="272">
        <v>7350.29</v>
      </c>
      <c r="M179" s="272">
        <v>7350.29</v>
      </c>
      <c r="N179" s="272">
        <v>7350.29</v>
      </c>
      <c r="O179" s="272">
        <v>7350.29</v>
      </c>
      <c r="P179" s="273">
        <v>44926</v>
      </c>
      <c r="Q179" s="274">
        <v>392</v>
      </c>
      <c r="R179" s="275">
        <v>19795.010000000002</v>
      </c>
      <c r="S179" s="986">
        <f>+'State Allocation Formulas'!$L$25</f>
        <v>0.77239999999999998</v>
      </c>
      <c r="T179" s="276">
        <f t="shared" si="52"/>
        <v>15289.665724</v>
      </c>
      <c r="U179" s="277">
        <f t="shared" si="53"/>
        <v>-24306.730000000003</v>
      </c>
      <c r="V179" s="278">
        <f t="shared" si="54"/>
        <v>44101.74</v>
      </c>
      <c r="W179" s="275">
        <f t="shared" si="55"/>
        <v>19795.009999999995</v>
      </c>
      <c r="X179" s="276"/>
      <c r="Y179" s="280" t="s">
        <v>1428</v>
      </c>
      <c r="Z179" s="268"/>
    </row>
    <row r="180" spans="1:26">
      <c r="A180" s="8">
        <v>168</v>
      </c>
      <c r="B180" s="268" t="s">
        <v>1558</v>
      </c>
      <c r="C180" s="268" t="s">
        <v>1568</v>
      </c>
      <c r="D180" s="269">
        <v>24589.55</v>
      </c>
      <c r="E180" s="270">
        <v>83.99</v>
      </c>
      <c r="F180" s="270">
        <v>1389.16</v>
      </c>
      <c r="G180" s="270">
        <v>4571.34</v>
      </c>
      <c r="H180" s="270">
        <v>498.01</v>
      </c>
      <c r="I180" s="271">
        <v>5446.72</v>
      </c>
      <c r="J180" s="272">
        <v>0</v>
      </c>
      <c r="K180" s="272">
        <v>0</v>
      </c>
      <c r="L180" s="272">
        <v>0</v>
      </c>
      <c r="M180" s="272">
        <v>0</v>
      </c>
      <c r="N180" s="272">
        <v>0</v>
      </c>
      <c r="O180" s="272">
        <v>0</v>
      </c>
      <c r="P180" s="273">
        <v>46022</v>
      </c>
      <c r="Q180" s="274">
        <v>394</v>
      </c>
      <c r="R180" s="275">
        <v>36578.770000000004</v>
      </c>
      <c r="S180" s="986">
        <f>+'State Allocation Formulas'!$L$25</f>
        <v>0.77239999999999998</v>
      </c>
      <c r="T180" s="276">
        <f t="shared" si="52"/>
        <v>28253.441948000003</v>
      </c>
      <c r="U180" s="277">
        <f t="shared" si="53"/>
        <v>36578.769999999997</v>
      </c>
      <c r="V180" s="278">
        <f t="shared" si="54"/>
        <v>0</v>
      </c>
      <c r="W180" s="275">
        <f t="shared" si="55"/>
        <v>36578.769999999997</v>
      </c>
      <c r="X180" s="276"/>
      <c r="Y180" s="280" t="s">
        <v>1428</v>
      </c>
      <c r="Z180" s="268"/>
    </row>
    <row r="181" spans="1:26">
      <c r="A181" s="8">
        <v>169</v>
      </c>
      <c r="B181" s="268" t="s">
        <v>1558</v>
      </c>
      <c r="C181" s="268" t="s">
        <v>1569</v>
      </c>
      <c r="D181" s="269">
        <v>0</v>
      </c>
      <c r="E181" s="270">
        <v>0</v>
      </c>
      <c r="F181" s="270">
        <v>5409.36</v>
      </c>
      <c r="G181" s="270">
        <v>12679.99</v>
      </c>
      <c r="H181" s="270">
        <v>8605.64</v>
      </c>
      <c r="I181" s="271">
        <v>8</v>
      </c>
      <c r="J181" s="272">
        <v>0</v>
      </c>
      <c r="K181" s="272">
        <v>0</v>
      </c>
      <c r="L181" s="272">
        <v>0</v>
      </c>
      <c r="M181" s="272">
        <v>0</v>
      </c>
      <c r="N181" s="272">
        <v>0</v>
      </c>
      <c r="O181" s="272">
        <v>0</v>
      </c>
      <c r="P181" s="274"/>
      <c r="Q181" s="274"/>
      <c r="R181" s="275">
        <v>26702.99</v>
      </c>
      <c r="S181" s="268"/>
      <c r="T181" s="276"/>
      <c r="U181" s="277">
        <f t="shared" si="53"/>
        <v>26702.989999999998</v>
      </c>
      <c r="V181" s="278">
        <f t="shared" si="54"/>
        <v>0</v>
      </c>
      <c r="W181" s="275">
        <f t="shared" si="55"/>
        <v>26702.989999999998</v>
      </c>
      <c r="X181" s="268"/>
      <c r="Y181" s="280"/>
      <c r="Z181" s="268"/>
    </row>
    <row r="182" spans="1:26">
      <c r="A182" s="8">
        <v>170</v>
      </c>
      <c r="B182" s="268" t="s">
        <v>1558</v>
      </c>
      <c r="C182" s="268" t="s">
        <v>1570</v>
      </c>
      <c r="D182" s="269">
        <v>6249.31</v>
      </c>
      <c r="E182" s="270">
        <v>0</v>
      </c>
      <c r="F182" s="270">
        <v>2900.9</v>
      </c>
      <c r="G182" s="270">
        <v>0</v>
      </c>
      <c r="H182" s="270">
        <v>0</v>
      </c>
      <c r="I182" s="271">
        <v>0</v>
      </c>
      <c r="J182" s="272">
        <v>1794</v>
      </c>
      <c r="K182" s="272">
        <v>1794</v>
      </c>
      <c r="L182" s="272">
        <v>1794</v>
      </c>
      <c r="M182" s="272">
        <v>1794</v>
      </c>
      <c r="N182" s="272">
        <v>1794</v>
      </c>
      <c r="O182" s="272">
        <v>1794</v>
      </c>
      <c r="P182" s="274"/>
      <c r="Q182" s="274"/>
      <c r="R182" s="275">
        <v>19914.21</v>
      </c>
      <c r="S182" s="268"/>
      <c r="T182" s="276"/>
      <c r="U182" s="277">
        <f t="shared" si="53"/>
        <v>9150.2100000000009</v>
      </c>
      <c r="V182" s="278">
        <f t="shared" si="54"/>
        <v>10764</v>
      </c>
      <c r="W182" s="275">
        <f t="shared" si="55"/>
        <v>19914.21</v>
      </c>
      <c r="X182" s="268"/>
      <c r="Y182" s="280"/>
      <c r="Z182" s="268"/>
    </row>
    <row r="183" spans="1:26">
      <c r="A183" s="8">
        <v>171</v>
      </c>
      <c r="B183" s="268" t="s">
        <v>1558</v>
      </c>
      <c r="C183" s="268" t="s">
        <v>1571</v>
      </c>
      <c r="D183" s="269">
        <v>49.17</v>
      </c>
      <c r="E183" s="270">
        <v>0</v>
      </c>
      <c r="F183" s="270">
        <v>0</v>
      </c>
      <c r="G183" s="270">
        <v>6450.03</v>
      </c>
      <c r="H183" s="270">
        <v>0</v>
      </c>
      <c r="I183" s="271">
        <v>3595.55</v>
      </c>
      <c r="J183" s="272">
        <v>0</v>
      </c>
      <c r="K183" s="272">
        <v>0</v>
      </c>
      <c r="L183" s="272">
        <v>0</v>
      </c>
      <c r="M183" s="272">
        <v>0</v>
      </c>
      <c r="N183" s="272">
        <v>0</v>
      </c>
      <c r="O183" s="272">
        <v>0</v>
      </c>
      <c r="P183" s="273">
        <v>46022</v>
      </c>
      <c r="Q183" s="274">
        <v>394</v>
      </c>
      <c r="R183" s="275">
        <v>10094.75</v>
      </c>
      <c r="S183" s="268"/>
      <c r="T183" s="276">
        <f>+R183</f>
        <v>10094.75</v>
      </c>
      <c r="U183" s="277">
        <f t="shared" si="53"/>
        <v>10094.75</v>
      </c>
      <c r="V183" s="278">
        <f t="shared" si="54"/>
        <v>0</v>
      </c>
      <c r="W183" s="275">
        <f t="shared" si="55"/>
        <v>10094.75</v>
      </c>
      <c r="X183" s="276"/>
      <c r="Y183" s="280" t="s">
        <v>1428</v>
      </c>
      <c r="Z183" s="268"/>
    </row>
    <row r="184" spans="1:26">
      <c r="A184" s="8">
        <v>172</v>
      </c>
      <c r="B184" s="268" t="s">
        <v>1558</v>
      </c>
      <c r="C184" s="268" t="s">
        <v>1572</v>
      </c>
      <c r="D184" s="269">
        <v>0</v>
      </c>
      <c r="E184" s="270">
        <v>0</v>
      </c>
      <c r="F184" s="270">
        <v>0</v>
      </c>
      <c r="G184" s="270">
        <v>0</v>
      </c>
      <c r="H184" s="270">
        <v>0</v>
      </c>
      <c r="I184" s="271">
        <v>1842.79</v>
      </c>
      <c r="J184" s="272">
        <v>0</v>
      </c>
      <c r="K184" s="272">
        <v>0</v>
      </c>
      <c r="L184" s="272">
        <v>0</v>
      </c>
      <c r="M184" s="272">
        <v>0</v>
      </c>
      <c r="N184" s="272">
        <v>0</v>
      </c>
      <c r="O184" s="272">
        <v>0</v>
      </c>
      <c r="P184" s="273">
        <v>46022</v>
      </c>
      <c r="Q184" s="274">
        <v>391</v>
      </c>
      <c r="R184" s="275">
        <v>1842.79</v>
      </c>
      <c r="S184" s="986">
        <f>+'State Allocation Formulas'!$L$25</f>
        <v>0.77239999999999998</v>
      </c>
      <c r="T184" s="276">
        <f t="shared" si="52"/>
        <v>1423.3709959999999</v>
      </c>
      <c r="U184" s="277">
        <f t="shared" si="53"/>
        <v>1842.79</v>
      </c>
      <c r="V184" s="278">
        <f t="shared" si="54"/>
        <v>0</v>
      </c>
      <c r="W184" s="275">
        <f t="shared" si="55"/>
        <v>1842.79</v>
      </c>
      <c r="X184" s="276"/>
      <c r="Y184" s="280" t="s">
        <v>1428</v>
      </c>
      <c r="Z184" s="268"/>
    </row>
    <row r="185" spans="1:26">
      <c r="A185" s="8">
        <v>173</v>
      </c>
      <c r="B185" s="268" t="s">
        <v>1558</v>
      </c>
      <c r="C185" s="268" t="s">
        <v>1573</v>
      </c>
      <c r="D185" s="269">
        <v>7287.07</v>
      </c>
      <c r="E185" s="270">
        <v>20506.060000000001</v>
      </c>
      <c r="F185" s="270">
        <v>2035.5900000000001</v>
      </c>
      <c r="G185" s="270">
        <v>13952</v>
      </c>
      <c r="H185" s="270">
        <v>32177.72</v>
      </c>
      <c r="I185" s="271">
        <v>500.24</v>
      </c>
      <c r="J185" s="272">
        <v>0</v>
      </c>
      <c r="K185" s="272">
        <v>0</v>
      </c>
      <c r="L185" s="272">
        <v>0</v>
      </c>
      <c r="M185" s="272">
        <v>0</v>
      </c>
      <c r="N185" s="272">
        <v>0</v>
      </c>
      <c r="O185" s="272">
        <v>0</v>
      </c>
      <c r="P185" s="273">
        <v>46022</v>
      </c>
      <c r="Q185" s="274">
        <v>390</v>
      </c>
      <c r="R185" s="275">
        <v>76458.680000000008</v>
      </c>
      <c r="S185" s="268"/>
      <c r="T185" s="276">
        <f>+R185</f>
        <v>76458.680000000008</v>
      </c>
      <c r="U185" s="277">
        <f t="shared" si="53"/>
        <v>76458.680000000008</v>
      </c>
      <c r="V185" s="278">
        <f t="shared" si="54"/>
        <v>0</v>
      </c>
      <c r="W185" s="275">
        <f t="shared" si="55"/>
        <v>76458.680000000008</v>
      </c>
      <c r="X185" s="276">
        <f t="shared" ref="X185:X189" si="57">+T185</f>
        <v>76458.680000000008</v>
      </c>
      <c r="Y185" s="280">
        <v>13</v>
      </c>
      <c r="Z185" s="268"/>
    </row>
    <row r="186" spans="1:26">
      <c r="A186" s="8">
        <v>174</v>
      </c>
      <c r="B186" s="268" t="s">
        <v>1558</v>
      </c>
      <c r="C186" s="268" t="s">
        <v>1574</v>
      </c>
      <c r="D186" s="269">
        <v>6250</v>
      </c>
      <c r="E186" s="270">
        <v>0</v>
      </c>
      <c r="F186" s="270">
        <v>3211.78</v>
      </c>
      <c r="G186" s="270">
        <v>0</v>
      </c>
      <c r="H186" s="270">
        <v>0</v>
      </c>
      <c r="I186" s="271">
        <v>0</v>
      </c>
      <c r="J186" s="272">
        <v>0</v>
      </c>
      <c r="K186" s="272">
        <v>0</v>
      </c>
      <c r="L186" s="272">
        <v>0</v>
      </c>
      <c r="M186" s="272">
        <v>0</v>
      </c>
      <c r="N186" s="272">
        <v>0</v>
      </c>
      <c r="O186" s="272">
        <v>0</v>
      </c>
      <c r="P186" s="273">
        <v>46022</v>
      </c>
      <c r="Q186" s="274">
        <v>394</v>
      </c>
      <c r="R186" s="275">
        <v>9461.7800000000007</v>
      </c>
      <c r="S186" s="268"/>
      <c r="T186" s="276">
        <f>+R186</f>
        <v>9461.7800000000007</v>
      </c>
      <c r="U186" s="277">
        <f t="shared" si="53"/>
        <v>9461.7800000000007</v>
      </c>
      <c r="V186" s="278">
        <f t="shared" si="54"/>
        <v>0</v>
      </c>
      <c r="W186" s="275">
        <f t="shared" si="55"/>
        <v>9461.7800000000007</v>
      </c>
      <c r="X186" s="276">
        <f t="shared" si="57"/>
        <v>9461.7800000000007</v>
      </c>
      <c r="Y186" s="280">
        <v>12</v>
      </c>
      <c r="Z186" s="268"/>
    </row>
    <row r="187" spans="1:26">
      <c r="A187" s="8">
        <v>175</v>
      </c>
      <c r="B187" s="268" t="s">
        <v>1558</v>
      </c>
      <c r="C187" s="268" t="s">
        <v>1575</v>
      </c>
      <c r="D187" s="269">
        <v>1181.8900000000001</v>
      </c>
      <c r="E187" s="270">
        <v>0</v>
      </c>
      <c r="F187" s="270">
        <v>0</v>
      </c>
      <c r="G187" s="270">
        <v>0</v>
      </c>
      <c r="H187" s="270">
        <v>0</v>
      </c>
      <c r="I187" s="271">
        <v>9127.9600000000009</v>
      </c>
      <c r="J187" s="272">
        <v>0</v>
      </c>
      <c r="K187" s="272">
        <v>0</v>
      </c>
      <c r="L187" s="272">
        <v>0</v>
      </c>
      <c r="M187" s="272">
        <v>0</v>
      </c>
      <c r="N187" s="272">
        <v>0</v>
      </c>
      <c r="O187" s="272">
        <v>0</v>
      </c>
      <c r="P187" s="273">
        <v>46022</v>
      </c>
      <c r="Q187" s="274">
        <v>394</v>
      </c>
      <c r="R187" s="275">
        <v>10309.85</v>
      </c>
      <c r="S187" s="268"/>
      <c r="T187" s="276">
        <f t="shared" ref="T187:T195" si="58">+R187</f>
        <v>10309.85</v>
      </c>
      <c r="U187" s="277">
        <f t="shared" si="53"/>
        <v>10309.85</v>
      </c>
      <c r="V187" s="278">
        <f t="shared" si="54"/>
        <v>0</v>
      </c>
      <c r="W187" s="275">
        <f t="shared" si="55"/>
        <v>10309.85</v>
      </c>
      <c r="X187" s="276"/>
      <c r="Y187" s="280" t="s">
        <v>1428</v>
      </c>
      <c r="Z187" s="268"/>
    </row>
    <row r="188" spans="1:26">
      <c r="A188" s="8">
        <v>176</v>
      </c>
      <c r="B188" s="268" t="s">
        <v>1558</v>
      </c>
      <c r="C188" s="268" t="s">
        <v>1576</v>
      </c>
      <c r="D188" s="269">
        <v>0</v>
      </c>
      <c r="E188" s="270">
        <v>0</v>
      </c>
      <c r="F188" s="270">
        <v>653.37</v>
      </c>
      <c r="G188" s="270">
        <v>0</v>
      </c>
      <c r="H188" s="270">
        <v>0</v>
      </c>
      <c r="I188" s="271">
        <v>1547.73</v>
      </c>
      <c r="J188" s="272">
        <v>0</v>
      </c>
      <c r="K188" s="272">
        <v>0</v>
      </c>
      <c r="L188" s="272">
        <v>0</v>
      </c>
      <c r="M188" s="272">
        <v>0</v>
      </c>
      <c r="N188" s="272">
        <v>0</v>
      </c>
      <c r="O188" s="272">
        <v>0</v>
      </c>
      <c r="P188" s="273">
        <v>46022</v>
      </c>
      <c r="Q188" s="274">
        <v>392</v>
      </c>
      <c r="R188" s="275">
        <v>2201.1</v>
      </c>
      <c r="S188" s="268"/>
      <c r="T188" s="276">
        <f t="shared" si="58"/>
        <v>2201.1</v>
      </c>
      <c r="U188" s="277">
        <f t="shared" si="53"/>
        <v>2201.1</v>
      </c>
      <c r="V188" s="278">
        <f t="shared" si="54"/>
        <v>0</v>
      </c>
      <c r="W188" s="275">
        <f t="shared" si="55"/>
        <v>2201.1</v>
      </c>
      <c r="X188" s="276">
        <f t="shared" si="57"/>
        <v>2201.1</v>
      </c>
      <c r="Y188" s="280">
        <v>10</v>
      </c>
      <c r="Z188" s="268"/>
    </row>
    <row r="189" spans="1:26">
      <c r="A189" s="8">
        <v>177</v>
      </c>
      <c r="B189" s="268" t="s">
        <v>1558</v>
      </c>
      <c r="C189" s="268" t="s">
        <v>1577</v>
      </c>
      <c r="D189" s="269">
        <v>5780.39</v>
      </c>
      <c r="E189" s="270">
        <v>0</v>
      </c>
      <c r="F189" s="270">
        <v>0</v>
      </c>
      <c r="G189" s="270">
        <v>0</v>
      </c>
      <c r="H189" s="270">
        <v>0</v>
      </c>
      <c r="I189" s="271">
        <v>0</v>
      </c>
      <c r="J189" s="272">
        <v>0</v>
      </c>
      <c r="K189" s="272">
        <v>0</v>
      </c>
      <c r="L189" s="272">
        <v>0</v>
      </c>
      <c r="M189" s="272">
        <v>0</v>
      </c>
      <c r="N189" s="272">
        <v>0</v>
      </c>
      <c r="O189" s="272">
        <v>0</v>
      </c>
      <c r="P189" s="273">
        <v>46022</v>
      </c>
      <c r="Q189" s="274">
        <v>394</v>
      </c>
      <c r="R189" s="275">
        <v>5780.39</v>
      </c>
      <c r="S189" s="268"/>
      <c r="T189" s="276">
        <f t="shared" si="58"/>
        <v>5780.39</v>
      </c>
      <c r="U189" s="277">
        <f t="shared" si="53"/>
        <v>5780.39</v>
      </c>
      <c r="V189" s="278">
        <f t="shared" si="54"/>
        <v>0</v>
      </c>
      <c r="W189" s="275">
        <f t="shared" si="55"/>
        <v>5780.39</v>
      </c>
      <c r="X189" s="276">
        <f t="shared" si="57"/>
        <v>5780.39</v>
      </c>
      <c r="Y189" s="280">
        <v>11</v>
      </c>
      <c r="Z189" s="268"/>
    </row>
    <row r="190" spans="1:26">
      <c r="A190" s="8">
        <v>178</v>
      </c>
      <c r="B190" s="268" t="s">
        <v>1558</v>
      </c>
      <c r="C190" s="268" t="s">
        <v>1578</v>
      </c>
      <c r="D190" s="269">
        <v>0</v>
      </c>
      <c r="E190" s="270">
        <v>0</v>
      </c>
      <c r="F190" s="270">
        <v>0</v>
      </c>
      <c r="G190" s="270">
        <v>0</v>
      </c>
      <c r="H190" s="270">
        <v>224.44</v>
      </c>
      <c r="I190" s="271">
        <v>225.69</v>
      </c>
      <c r="J190" s="272">
        <v>0</v>
      </c>
      <c r="K190" s="272">
        <v>0</v>
      </c>
      <c r="L190" s="272">
        <v>0</v>
      </c>
      <c r="M190" s="272">
        <v>0</v>
      </c>
      <c r="N190" s="272">
        <v>0</v>
      </c>
      <c r="O190" s="272">
        <v>0</v>
      </c>
      <c r="P190" s="273">
        <v>46022</v>
      </c>
      <c r="Q190" s="274">
        <v>392</v>
      </c>
      <c r="R190" s="275">
        <v>450.13</v>
      </c>
      <c r="S190" s="268"/>
      <c r="T190" s="276">
        <f t="shared" si="58"/>
        <v>450.13</v>
      </c>
      <c r="U190" s="277">
        <f t="shared" si="53"/>
        <v>450.13</v>
      </c>
      <c r="V190" s="278">
        <f t="shared" si="54"/>
        <v>0</v>
      </c>
      <c r="W190" s="275">
        <f t="shared" si="55"/>
        <v>450.13</v>
      </c>
      <c r="X190" s="276"/>
      <c r="Y190" s="280" t="s">
        <v>1428</v>
      </c>
      <c r="Z190" s="268"/>
    </row>
    <row r="191" spans="1:26">
      <c r="A191" s="8">
        <v>179</v>
      </c>
      <c r="B191" s="268" t="s">
        <v>1558</v>
      </c>
      <c r="C191" s="268" t="s">
        <v>1579</v>
      </c>
      <c r="D191" s="269">
        <v>3320.35</v>
      </c>
      <c r="E191" s="270">
        <v>0</v>
      </c>
      <c r="F191" s="270">
        <v>-0.01</v>
      </c>
      <c r="G191" s="270">
        <v>0</v>
      </c>
      <c r="H191" s="270">
        <v>0</v>
      </c>
      <c r="I191" s="271">
        <v>0</v>
      </c>
      <c r="J191" s="272">
        <v>0</v>
      </c>
      <c r="K191" s="272">
        <v>0</v>
      </c>
      <c r="L191" s="272">
        <v>0</v>
      </c>
      <c r="M191" s="272">
        <v>0</v>
      </c>
      <c r="N191" s="272">
        <v>0</v>
      </c>
      <c r="O191" s="272">
        <v>0</v>
      </c>
      <c r="P191" s="273">
        <v>46022</v>
      </c>
      <c r="Q191" s="274">
        <v>391</v>
      </c>
      <c r="R191" s="275">
        <v>3320.34</v>
      </c>
      <c r="S191" s="268"/>
      <c r="T191" s="276">
        <f t="shared" si="58"/>
        <v>3320.34</v>
      </c>
      <c r="U191" s="277">
        <f t="shared" si="53"/>
        <v>3320.3399999999997</v>
      </c>
      <c r="V191" s="278">
        <f t="shared" si="54"/>
        <v>0</v>
      </c>
      <c r="W191" s="275">
        <f t="shared" si="55"/>
        <v>3320.3399999999997</v>
      </c>
      <c r="X191" s="276"/>
      <c r="Y191" s="280" t="s">
        <v>1428</v>
      </c>
      <c r="Z191" s="268"/>
    </row>
    <row r="192" spans="1:26">
      <c r="A192" s="8">
        <v>180</v>
      </c>
      <c r="B192" s="268" t="s">
        <v>1558</v>
      </c>
      <c r="C192" s="268" t="s">
        <v>1580</v>
      </c>
      <c r="D192" s="269">
        <v>809.29</v>
      </c>
      <c r="E192" s="270">
        <v>0</v>
      </c>
      <c r="F192" s="270">
        <v>0</v>
      </c>
      <c r="G192" s="270">
        <v>0</v>
      </c>
      <c r="H192" s="270">
        <v>0</v>
      </c>
      <c r="I192" s="271">
        <v>0</v>
      </c>
      <c r="J192" s="272">
        <v>0</v>
      </c>
      <c r="K192" s="272">
        <v>0</v>
      </c>
      <c r="L192" s="272">
        <v>0</v>
      </c>
      <c r="M192" s="272">
        <v>0</v>
      </c>
      <c r="N192" s="272">
        <v>0</v>
      </c>
      <c r="O192" s="272">
        <v>0</v>
      </c>
      <c r="P192" s="273">
        <v>46022</v>
      </c>
      <c r="Q192" s="274">
        <v>394</v>
      </c>
      <c r="R192" s="275">
        <v>809.29</v>
      </c>
      <c r="S192" s="268"/>
      <c r="T192" s="276">
        <f t="shared" si="58"/>
        <v>809.29</v>
      </c>
      <c r="U192" s="277">
        <f t="shared" si="53"/>
        <v>809.29</v>
      </c>
      <c r="V192" s="278">
        <f t="shared" si="54"/>
        <v>0</v>
      </c>
      <c r="W192" s="275">
        <f t="shared" si="55"/>
        <v>809.29</v>
      </c>
      <c r="X192" s="276"/>
      <c r="Y192" s="280" t="s">
        <v>1428</v>
      </c>
      <c r="Z192" s="268"/>
    </row>
    <row r="193" spans="1:26">
      <c r="A193" s="8">
        <v>181</v>
      </c>
      <c r="B193" s="268" t="s">
        <v>1558</v>
      </c>
      <c r="C193" s="268" t="s">
        <v>1581</v>
      </c>
      <c r="D193" s="269">
        <v>0</v>
      </c>
      <c r="E193" s="270">
        <v>6356.6500000000005</v>
      </c>
      <c r="F193" s="270">
        <v>0</v>
      </c>
      <c r="G193" s="270">
        <v>0</v>
      </c>
      <c r="H193" s="270">
        <v>-451.18</v>
      </c>
      <c r="I193" s="271">
        <v>0</v>
      </c>
      <c r="J193" s="272">
        <v>0</v>
      </c>
      <c r="K193" s="272">
        <v>0</v>
      </c>
      <c r="L193" s="272">
        <v>0</v>
      </c>
      <c r="M193" s="272">
        <v>0</v>
      </c>
      <c r="N193" s="272">
        <v>0</v>
      </c>
      <c r="O193" s="272">
        <v>0</v>
      </c>
      <c r="P193" s="273">
        <v>46022</v>
      </c>
      <c r="Q193" s="274">
        <v>392</v>
      </c>
      <c r="R193" s="275">
        <v>5905.47</v>
      </c>
      <c r="S193" s="268"/>
      <c r="T193" s="276">
        <f t="shared" si="58"/>
        <v>5905.47</v>
      </c>
      <c r="U193" s="277">
        <f t="shared" si="53"/>
        <v>5905.47</v>
      </c>
      <c r="V193" s="278">
        <f t="shared" si="54"/>
        <v>0</v>
      </c>
      <c r="W193" s="275">
        <f t="shared" si="55"/>
        <v>5905.47</v>
      </c>
      <c r="X193" s="276"/>
      <c r="Y193" s="280" t="s">
        <v>1428</v>
      </c>
      <c r="Z193" s="268"/>
    </row>
    <row r="194" spans="1:26">
      <c r="A194" s="8">
        <v>182</v>
      </c>
      <c r="B194" s="268" t="s">
        <v>1558</v>
      </c>
      <c r="C194" s="268" t="s">
        <v>1582</v>
      </c>
      <c r="D194" s="269">
        <v>0</v>
      </c>
      <c r="E194" s="270">
        <v>7009.27</v>
      </c>
      <c r="F194" s="270">
        <v>0</v>
      </c>
      <c r="G194" s="270">
        <v>0</v>
      </c>
      <c r="H194" s="270">
        <v>0</v>
      </c>
      <c r="I194" s="271">
        <v>0</v>
      </c>
      <c r="J194" s="272">
        <v>0</v>
      </c>
      <c r="K194" s="272">
        <v>0</v>
      </c>
      <c r="L194" s="272">
        <v>0</v>
      </c>
      <c r="M194" s="272">
        <v>0</v>
      </c>
      <c r="N194" s="272">
        <v>0</v>
      </c>
      <c r="O194" s="272">
        <v>0</v>
      </c>
      <c r="P194" s="273">
        <v>46022</v>
      </c>
      <c r="Q194" s="274">
        <v>392</v>
      </c>
      <c r="R194" s="275">
        <v>7009.27</v>
      </c>
      <c r="S194" s="268"/>
      <c r="T194" s="276">
        <f t="shared" si="58"/>
        <v>7009.27</v>
      </c>
      <c r="U194" s="277">
        <f t="shared" si="53"/>
        <v>7009.27</v>
      </c>
      <c r="V194" s="278">
        <f t="shared" si="54"/>
        <v>0</v>
      </c>
      <c r="W194" s="275">
        <f t="shared" si="55"/>
        <v>7009.27</v>
      </c>
      <c r="X194" s="276"/>
      <c r="Y194" s="280" t="s">
        <v>1428</v>
      </c>
      <c r="Z194" s="268"/>
    </row>
    <row r="195" spans="1:26">
      <c r="A195" s="8">
        <v>183</v>
      </c>
      <c r="B195" s="268" t="s">
        <v>1558</v>
      </c>
      <c r="C195" s="268" t="s">
        <v>1583</v>
      </c>
      <c r="D195" s="269">
        <v>-12817.14</v>
      </c>
      <c r="E195" s="270">
        <v>8205.0400000000009</v>
      </c>
      <c r="F195" s="270">
        <v>0</v>
      </c>
      <c r="G195" s="270">
        <v>0</v>
      </c>
      <c r="H195" s="270">
        <v>0</v>
      </c>
      <c r="I195" s="271">
        <v>6241.9400000000005</v>
      </c>
      <c r="J195" s="272">
        <v>0</v>
      </c>
      <c r="K195" s="272">
        <v>0</v>
      </c>
      <c r="L195" s="272">
        <v>0</v>
      </c>
      <c r="M195" s="272">
        <v>0</v>
      </c>
      <c r="N195" s="272">
        <v>0</v>
      </c>
      <c r="O195" s="272">
        <v>0</v>
      </c>
      <c r="P195" s="273">
        <v>46022</v>
      </c>
      <c r="Q195" s="274">
        <v>394</v>
      </c>
      <c r="R195" s="275">
        <v>1629.8400000000001</v>
      </c>
      <c r="S195" s="268"/>
      <c r="T195" s="276">
        <f t="shared" si="58"/>
        <v>1629.8400000000001</v>
      </c>
      <c r="U195" s="277">
        <f t="shared" si="53"/>
        <v>1629.840000000002</v>
      </c>
      <c r="V195" s="278">
        <f t="shared" si="54"/>
        <v>0</v>
      </c>
      <c r="W195" s="275">
        <f t="shared" si="55"/>
        <v>1629.840000000002</v>
      </c>
      <c r="X195" s="276"/>
      <c r="Y195" s="280" t="s">
        <v>1428</v>
      </c>
      <c r="Z195" s="268"/>
    </row>
    <row r="196" spans="1:26">
      <c r="A196" s="8">
        <v>184</v>
      </c>
      <c r="B196" s="268" t="s">
        <v>1558</v>
      </c>
      <c r="C196" s="268" t="s">
        <v>1584</v>
      </c>
      <c r="D196" s="269">
        <v>148327.62</v>
      </c>
      <c r="E196" s="270">
        <v>165961.39000000001</v>
      </c>
      <c r="F196" s="270">
        <v>-12880.34</v>
      </c>
      <c r="G196" s="270">
        <v>-143306.96</v>
      </c>
      <c r="H196" s="270">
        <v>-148746.73000000001</v>
      </c>
      <c r="I196" s="271">
        <v>-117291.52</v>
      </c>
      <c r="J196" s="272">
        <v>0</v>
      </c>
      <c r="K196" s="272">
        <v>0</v>
      </c>
      <c r="L196" s="272">
        <v>0</v>
      </c>
      <c r="M196" s="272">
        <v>0</v>
      </c>
      <c r="N196" s="272">
        <v>0</v>
      </c>
      <c r="O196" s="272">
        <v>0</v>
      </c>
      <c r="P196" s="274"/>
      <c r="Q196" s="274"/>
      <c r="R196" s="275">
        <v>-107936.54000000001</v>
      </c>
      <c r="S196" s="268"/>
      <c r="T196" s="276"/>
      <c r="U196" s="277">
        <f t="shared" si="53"/>
        <v>-107936.54000000002</v>
      </c>
      <c r="V196" s="278">
        <f t="shared" si="54"/>
        <v>0</v>
      </c>
      <c r="W196" s="275">
        <f t="shared" si="55"/>
        <v>-107936.54000000002</v>
      </c>
      <c r="X196" s="268"/>
      <c r="Y196" s="280"/>
      <c r="Z196" s="268"/>
    </row>
    <row r="197" spans="1:26">
      <c r="A197" s="8">
        <v>185</v>
      </c>
      <c r="B197" s="268" t="s">
        <v>1558</v>
      </c>
      <c r="C197" s="268" t="s">
        <v>1585</v>
      </c>
      <c r="D197" s="269">
        <v>72138.790000000008</v>
      </c>
      <c r="E197" s="270">
        <v>30187.16</v>
      </c>
      <c r="F197" s="270">
        <v>62479.35</v>
      </c>
      <c r="G197" s="270">
        <v>-51075.840000000004</v>
      </c>
      <c r="H197" s="270">
        <v>-57024.21</v>
      </c>
      <c r="I197" s="271">
        <v>-94967.61</v>
      </c>
      <c r="J197" s="272">
        <v>0</v>
      </c>
      <c r="K197" s="272">
        <v>0</v>
      </c>
      <c r="L197" s="272">
        <v>0</v>
      </c>
      <c r="M197" s="272">
        <v>0</v>
      </c>
      <c r="N197" s="272">
        <v>0</v>
      </c>
      <c r="O197" s="272">
        <v>0</v>
      </c>
      <c r="P197" s="274"/>
      <c r="Q197" s="274"/>
      <c r="R197" s="275">
        <v>-38262.36</v>
      </c>
      <c r="S197" s="268"/>
      <c r="T197" s="276"/>
      <c r="U197" s="277">
        <f t="shared" si="53"/>
        <v>-38262.359999999979</v>
      </c>
      <c r="V197" s="278">
        <f t="shared" si="54"/>
        <v>0</v>
      </c>
      <c r="W197" s="275">
        <f t="shared" si="55"/>
        <v>-38262.359999999979</v>
      </c>
      <c r="X197" s="268"/>
      <c r="Y197" s="280"/>
      <c r="Z197" s="268"/>
    </row>
    <row r="198" spans="1:26">
      <c r="A198" s="8">
        <v>186</v>
      </c>
      <c r="B198" s="268" t="s">
        <v>1558</v>
      </c>
      <c r="C198" s="268" t="s">
        <v>1586</v>
      </c>
      <c r="D198" s="269">
        <v>26289.59</v>
      </c>
      <c r="E198" s="270">
        <v>155.85</v>
      </c>
      <c r="F198" s="270">
        <v>156.79</v>
      </c>
      <c r="G198" s="270">
        <v>143.81</v>
      </c>
      <c r="H198" s="270">
        <v>144.61000000000001</v>
      </c>
      <c r="I198" s="271">
        <v>145.4</v>
      </c>
      <c r="J198" s="272">
        <v>5906.02</v>
      </c>
      <c r="K198" s="272">
        <v>5906.02</v>
      </c>
      <c r="L198" s="272">
        <v>5906.02</v>
      </c>
      <c r="M198" s="272">
        <v>5906.02</v>
      </c>
      <c r="N198" s="272">
        <v>5906.02</v>
      </c>
      <c r="O198" s="272">
        <v>5906.02</v>
      </c>
      <c r="P198" s="273">
        <v>44561</v>
      </c>
      <c r="Q198" s="274">
        <v>391</v>
      </c>
      <c r="R198" s="275">
        <v>62472.17</v>
      </c>
      <c r="S198" s="986">
        <f>+'State Allocation Formulas'!$L$25</f>
        <v>0.77239999999999998</v>
      </c>
      <c r="T198" s="276">
        <f t="shared" si="52"/>
        <v>48253.504107999994</v>
      </c>
      <c r="U198" s="277">
        <f t="shared" si="53"/>
        <v>27036.050000000003</v>
      </c>
      <c r="V198" s="278">
        <f t="shared" si="54"/>
        <v>35436.120000000003</v>
      </c>
      <c r="W198" s="275">
        <f t="shared" si="55"/>
        <v>62472.170000000006</v>
      </c>
      <c r="X198" s="279">
        <f t="shared" ref="X198:X201" si="59">+T198</f>
        <v>48253.504107999994</v>
      </c>
      <c r="Y198" s="280">
        <v>47</v>
      </c>
      <c r="Z198" s="268"/>
    </row>
    <row r="199" spans="1:26">
      <c r="A199" s="8">
        <v>187</v>
      </c>
      <c r="B199" s="268" t="s">
        <v>1558</v>
      </c>
      <c r="C199" s="268" t="s">
        <v>1587</v>
      </c>
      <c r="D199" s="269">
        <v>7274.29</v>
      </c>
      <c r="E199" s="270">
        <v>2577.7200000000003</v>
      </c>
      <c r="F199" s="270">
        <v>23481.97</v>
      </c>
      <c r="G199" s="270">
        <v>813.35</v>
      </c>
      <c r="H199" s="270">
        <v>44789.32</v>
      </c>
      <c r="I199" s="271">
        <v>-3115.69</v>
      </c>
      <c r="J199" s="272">
        <v>0</v>
      </c>
      <c r="K199" s="272">
        <v>0</v>
      </c>
      <c r="L199" s="272">
        <v>67275</v>
      </c>
      <c r="M199" s="272">
        <v>0</v>
      </c>
      <c r="N199" s="272">
        <v>0</v>
      </c>
      <c r="O199" s="272">
        <v>0</v>
      </c>
      <c r="P199" s="273">
        <v>44561</v>
      </c>
      <c r="Q199" s="274">
        <v>391</v>
      </c>
      <c r="R199" s="275">
        <v>143095.96</v>
      </c>
      <c r="S199" s="986">
        <f>+'State Allocation Formulas'!$L$25</f>
        <v>0.77239999999999998</v>
      </c>
      <c r="T199" s="276">
        <f t="shared" si="52"/>
        <v>110527.31950399998</v>
      </c>
      <c r="U199" s="277">
        <f t="shared" si="53"/>
        <v>75820.959999999992</v>
      </c>
      <c r="V199" s="278">
        <f t="shared" si="54"/>
        <v>67275</v>
      </c>
      <c r="W199" s="275">
        <f t="shared" si="55"/>
        <v>143095.96</v>
      </c>
      <c r="X199" s="279">
        <f t="shared" si="59"/>
        <v>110527.31950399998</v>
      </c>
      <c r="Y199" s="280">
        <v>48</v>
      </c>
      <c r="Z199" s="268"/>
    </row>
    <row r="200" spans="1:26">
      <c r="A200" s="8">
        <v>188</v>
      </c>
      <c r="B200" s="268" t="s">
        <v>1558</v>
      </c>
      <c r="C200" s="268" t="s">
        <v>1588</v>
      </c>
      <c r="D200" s="269">
        <v>0</v>
      </c>
      <c r="E200" s="270">
        <v>0</v>
      </c>
      <c r="F200" s="270">
        <v>0</v>
      </c>
      <c r="G200" s="270">
        <v>0</v>
      </c>
      <c r="H200" s="270">
        <v>0</v>
      </c>
      <c r="I200" s="271">
        <v>0</v>
      </c>
      <c r="J200" s="272">
        <v>160.91</v>
      </c>
      <c r="K200" s="272">
        <v>161.80000000000001</v>
      </c>
      <c r="L200" s="272">
        <v>162.69</v>
      </c>
      <c r="M200" s="272">
        <v>163.59</v>
      </c>
      <c r="N200" s="272">
        <v>164.49</v>
      </c>
      <c r="O200" s="272">
        <v>165.4</v>
      </c>
      <c r="P200" s="273">
        <v>43160</v>
      </c>
      <c r="Q200" s="274">
        <v>390</v>
      </c>
      <c r="R200" s="275">
        <v>978.88</v>
      </c>
      <c r="S200" s="268"/>
      <c r="T200" s="276">
        <f>+R200</f>
        <v>978.88</v>
      </c>
      <c r="U200" s="277">
        <f t="shared" si="53"/>
        <v>0</v>
      </c>
      <c r="V200" s="278">
        <f t="shared" si="54"/>
        <v>978.88</v>
      </c>
      <c r="W200" s="275">
        <f t="shared" si="55"/>
        <v>978.88</v>
      </c>
      <c r="X200" s="279"/>
      <c r="Y200" s="280" t="s">
        <v>1400</v>
      </c>
      <c r="Z200" s="268"/>
    </row>
    <row r="201" spans="1:26">
      <c r="A201" s="8">
        <v>189</v>
      </c>
      <c r="B201" s="268" t="s">
        <v>1558</v>
      </c>
      <c r="C201" s="268" t="s">
        <v>1589</v>
      </c>
      <c r="D201" s="269">
        <v>0</v>
      </c>
      <c r="E201" s="270">
        <v>0</v>
      </c>
      <c r="F201" s="270">
        <v>73195.199999999997</v>
      </c>
      <c r="G201" s="270">
        <v>46803.01</v>
      </c>
      <c r="H201" s="270">
        <v>0</v>
      </c>
      <c r="I201" s="271">
        <v>0</v>
      </c>
      <c r="J201" s="272">
        <v>0</v>
      </c>
      <c r="K201" s="272">
        <v>0</v>
      </c>
      <c r="L201" s="272">
        <v>645840</v>
      </c>
      <c r="M201" s="272">
        <v>0</v>
      </c>
      <c r="N201" s="272">
        <v>0</v>
      </c>
      <c r="O201" s="272">
        <v>0</v>
      </c>
      <c r="P201" s="273">
        <v>43069</v>
      </c>
      <c r="Q201" s="274">
        <v>394</v>
      </c>
      <c r="R201" s="275">
        <v>765838.21</v>
      </c>
      <c r="S201" s="986">
        <f>+'State Allocation Formulas'!$L$25</f>
        <v>0.77239999999999998</v>
      </c>
      <c r="T201" s="276">
        <f t="shared" si="52"/>
        <v>591533.43340400001</v>
      </c>
      <c r="U201" s="277">
        <f t="shared" si="53"/>
        <v>119998.20999999999</v>
      </c>
      <c r="V201" s="278">
        <f t="shared" si="54"/>
        <v>645840</v>
      </c>
      <c r="W201" s="275">
        <f t="shared" si="55"/>
        <v>765838.21</v>
      </c>
      <c r="X201" s="279">
        <f t="shared" si="59"/>
        <v>591533.43340400001</v>
      </c>
      <c r="Y201" s="280">
        <v>49</v>
      </c>
      <c r="Z201" s="268"/>
    </row>
    <row r="202" spans="1:26">
      <c r="A202" s="8">
        <v>190</v>
      </c>
      <c r="B202" s="268" t="s">
        <v>1558</v>
      </c>
      <c r="C202" s="268" t="s">
        <v>1590</v>
      </c>
      <c r="D202" s="269">
        <v>98485.8</v>
      </c>
      <c r="E202" s="270">
        <v>-24733.73</v>
      </c>
      <c r="F202" s="270">
        <v>156819.43</v>
      </c>
      <c r="G202" s="270">
        <v>4833.71</v>
      </c>
      <c r="H202" s="270">
        <v>-316063.28999999998</v>
      </c>
      <c r="I202" s="271">
        <v>82360.240000000005</v>
      </c>
      <c r="J202" s="272">
        <v>0</v>
      </c>
      <c r="K202" s="272">
        <v>0</v>
      </c>
      <c r="L202" s="272">
        <v>0</v>
      </c>
      <c r="M202" s="272">
        <v>0</v>
      </c>
      <c r="N202" s="272">
        <v>0</v>
      </c>
      <c r="O202" s="272">
        <v>0</v>
      </c>
      <c r="P202" s="274"/>
      <c r="Q202" s="274"/>
      <c r="R202" s="275">
        <v>1702.16</v>
      </c>
      <c r="S202" s="268"/>
      <c r="T202" s="276"/>
      <c r="U202" s="277">
        <f t="shared" si="53"/>
        <v>1702.160000000018</v>
      </c>
      <c r="V202" s="278">
        <f t="shared" si="54"/>
        <v>0</v>
      </c>
      <c r="W202" s="275">
        <f t="shared" si="55"/>
        <v>1702.160000000018</v>
      </c>
      <c r="X202" s="268"/>
      <c r="Y202" s="280"/>
      <c r="Z202" s="268"/>
    </row>
    <row r="203" spans="1:26">
      <c r="A203" s="8">
        <v>191</v>
      </c>
      <c r="B203" s="268" t="s">
        <v>1558</v>
      </c>
      <c r="C203" s="268" t="s">
        <v>1591</v>
      </c>
      <c r="D203" s="269">
        <v>0</v>
      </c>
      <c r="E203" s="270">
        <v>0</v>
      </c>
      <c r="F203" s="270">
        <v>0</v>
      </c>
      <c r="G203" s="270">
        <v>0</v>
      </c>
      <c r="H203" s="270">
        <v>0</v>
      </c>
      <c r="I203" s="271">
        <v>0</v>
      </c>
      <c r="J203" s="272">
        <v>86631.900000000009</v>
      </c>
      <c r="K203" s="272">
        <v>21194.170000000002</v>
      </c>
      <c r="L203" s="272">
        <v>21311.05</v>
      </c>
      <c r="M203" s="272">
        <v>21428.58</v>
      </c>
      <c r="N203" s="272">
        <v>21546.760000000002</v>
      </c>
      <c r="O203" s="272">
        <v>0</v>
      </c>
      <c r="P203" s="273">
        <v>43100</v>
      </c>
      <c r="Q203" s="274">
        <v>303</v>
      </c>
      <c r="R203" s="275">
        <v>172112.46</v>
      </c>
      <c r="S203" s="986">
        <f>+'State Allocation Formulas'!$L$25</f>
        <v>0.77239999999999998</v>
      </c>
      <c r="T203" s="276">
        <f t="shared" si="52"/>
        <v>132939.664104</v>
      </c>
      <c r="U203" s="277">
        <f t="shared" si="53"/>
        <v>0</v>
      </c>
      <c r="V203" s="278">
        <f t="shared" si="54"/>
        <v>172112.46000000002</v>
      </c>
      <c r="W203" s="275">
        <f t="shared" si="55"/>
        <v>172112.46000000002</v>
      </c>
      <c r="X203" s="279">
        <f>+T203</f>
        <v>132939.664104</v>
      </c>
      <c r="Y203" s="280">
        <v>50</v>
      </c>
      <c r="Z203" s="268"/>
    </row>
    <row r="204" spans="1:26">
      <c r="B204" s="288"/>
      <c r="C204" s="289" t="s">
        <v>1557</v>
      </c>
      <c r="D204" s="290">
        <f t="shared" ref="D204:R204" si="60">SUM(D171:D203)</f>
        <v>418502.27999999997</v>
      </c>
      <c r="E204" s="291">
        <f t="shared" si="60"/>
        <v>320551.13999999996</v>
      </c>
      <c r="F204" s="291">
        <f t="shared" si="60"/>
        <v>318969.62</v>
      </c>
      <c r="G204" s="291">
        <f t="shared" si="60"/>
        <v>182250.83000000007</v>
      </c>
      <c r="H204" s="291">
        <f t="shared" si="60"/>
        <v>-434314.58999999997</v>
      </c>
      <c r="I204" s="292">
        <f t="shared" si="60"/>
        <v>248163.42999999993</v>
      </c>
      <c r="J204" s="293">
        <f t="shared" si="60"/>
        <v>445666.92</v>
      </c>
      <c r="K204" s="293">
        <f t="shared" si="60"/>
        <v>380230.07999999996</v>
      </c>
      <c r="L204" s="293">
        <f t="shared" si="60"/>
        <v>1093462.8500000001</v>
      </c>
      <c r="M204" s="293">
        <f t="shared" si="60"/>
        <v>380466.28</v>
      </c>
      <c r="N204" s="293">
        <f t="shared" si="60"/>
        <v>380585.36</v>
      </c>
      <c r="O204" s="293">
        <f t="shared" si="60"/>
        <v>359039.51</v>
      </c>
      <c r="P204" s="294"/>
      <c r="Q204" s="294"/>
      <c r="R204" s="295">
        <f t="shared" si="60"/>
        <v>4093573.71</v>
      </c>
      <c r="S204" s="288"/>
      <c r="T204" s="296">
        <f t="shared" ref="T204:V204" si="61">SUM(T171:T203)</f>
        <v>3272133.5999119994</v>
      </c>
      <c r="U204" s="297">
        <f t="shared" si="61"/>
        <v>1054122.71</v>
      </c>
      <c r="V204" s="298">
        <f t="shared" si="61"/>
        <v>3039451</v>
      </c>
      <c r="W204" s="295">
        <f>SUM(W171:W203)</f>
        <v>4093573.71</v>
      </c>
      <c r="X204" s="296">
        <f t="shared" ref="X204" si="62">SUM(X171:X203)</f>
        <v>977155.87112000003</v>
      </c>
      <c r="Y204" s="299"/>
      <c r="Z204" s="288"/>
    </row>
    <row r="205" spans="1:26">
      <c r="B205" s="288"/>
      <c r="C205" s="288"/>
      <c r="D205" s="269"/>
      <c r="E205" s="270"/>
      <c r="F205" s="270"/>
      <c r="G205" s="270"/>
      <c r="H205" s="270"/>
      <c r="I205" s="271"/>
      <c r="J205" s="272"/>
      <c r="K205" s="272"/>
      <c r="L205" s="272"/>
      <c r="M205" s="272"/>
      <c r="N205" s="272"/>
      <c r="O205" s="300"/>
      <c r="P205" s="284"/>
      <c r="Q205" s="284"/>
      <c r="R205" s="275"/>
      <c r="S205" s="288"/>
      <c r="T205" s="303"/>
      <c r="U205" s="277"/>
      <c r="V205" s="278"/>
      <c r="W205" s="275"/>
      <c r="X205" s="303"/>
      <c r="Y205" s="299"/>
      <c r="Z205" s="288"/>
    </row>
    <row r="206" spans="1:26">
      <c r="B206" s="288"/>
      <c r="C206" s="289"/>
      <c r="D206" s="269"/>
      <c r="E206" s="270"/>
      <c r="F206" s="270"/>
      <c r="G206" s="270"/>
      <c r="H206" s="270"/>
      <c r="I206" s="271">
        <f>SUM(D204:I204)</f>
        <v>1054122.71</v>
      </c>
      <c r="J206" s="272"/>
      <c r="K206" s="272"/>
      <c r="L206" s="272"/>
      <c r="M206" s="272"/>
      <c r="N206" s="272"/>
      <c r="O206" s="300">
        <f>SUM(J204:O204)</f>
        <v>3039451</v>
      </c>
      <c r="P206" s="284"/>
      <c r="Q206" s="284"/>
      <c r="R206" s="275"/>
      <c r="S206" s="288"/>
      <c r="T206" s="303"/>
      <c r="U206" s="277"/>
      <c r="V206" s="278"/>
      <c r="W206" s="275"/>
      <c r="X206" s="303"/>
      <c r="Y206" s="299"/>
      <c r="Z206" s="288"/>
    </row>
    <row r="207" spans="1:26">
      <c r="B207" s="288"/>
      <c r="C207" s="288"/>
      <c r="D207" s="269"/>
      <c r="E207" s="270"/>
      <c r="F207" s="270"/>
      <c r="G207" s="270"/>
      <c r="H207" s="270"/>
      <c r="I207" s="271"/>
      <c r="J207" s="272"/>
      <c r="K207" s="272"/>
      <c r="L207" s="272"/>
      <c r="M207" s="272"/>
      <c r="N207" s="272"/>
      <c r="O207" s="300"/>
      <c r="P207" s="284"/>
      <c r="Q207" s="284"/>
      <c r="R207" s="275"/>
      <c r="S207" s="288"/>
      <c r="T207" s="303"/>
      <c r="U207" s="277"/>
      <c r="V207" s="278"/>
      <c r="W207" s="275"/>
      <c r="X207" s="303"/>
      <c r="Y207" s="288"/>
      <c r="Z207" s="288"/>
    </row>
    <row r="208" spans="1:26" ht="16.5" thickBot="1">
      <c r="A208" s="8">
        <v>192</v>
      </c>
      <c r="B208" s="288"/>
      <c r="C208" s="289" t="s">
        <v>59</v>
      </c>
      <c r="D208" s="290">
        <f t="shared" ref="D208:O208" si="63">D23+D167+D204</f>
        <v>2500520.8399999994</v>
      </c>
      <c r="E208" s="291">
        <f t="shared" si="63"/>
        <v>3040136.560000001</v>
      </c>
      <c r="F208" s="291">
        <f t="shared" si="63"/>
        <v>3755954.24</v>
      </c>
      <c r="G208" s="291">
        <f t="shared" si="63"/>
        <v>4478213.8299999991</v>
      </c>
      <c r="H208" s="291">
        <f t="shared" si="63"/>
        <v>5503859.0600000005</v>
      </c>
      <c r="I208" s="292">
        <f t="shared" si="63"/>
        <v>5161199.4200000009</v>
      </c>
      <c r="J208" s="293">
        <f t="shared" si="63"/>
        <v>7677358.8200000012</v>
      </c>
      <c r="K208" s="293">
        <f t="shared" si="63"/>
        <v>7649517.450000002</v>
      </c>
      <c r="L208" s="293">
        <f t="shared" si="63"/>
        <v>8221829.5900000017</v>
      </c>
      <c r="M208" s="293">
        <f t="shared" si="63"/>
        <v>5794736.4399999995</v>
      </c>
      <c r="N208" s="293">
        <f t="shared" si="63"/>
        <v>4063251.16</v>
      </c>
      <c r="O208" s="293">
        <f t="shared" si="63"/>
        <v>3677846.46</v>
      </c>
      <c r="P208" s="294"/>
      <c r="Q208" s="294"/>
      <c r="R208" s="295">
        <f>R23+R167+R204</f>
        <v>61524423.86999999</v>
      </c>
      <c r="S208" s="288"/>
      <c r="T208" s="304">
        <f>T23+T167+T204</f>
        <v>47578549.533320002</v>
      </c>
      <c r="U208" s="297">
        <f>U23+U167+U204</f>
        <v>24439883.95000001</v>
      </c>
      <c r="V208" s="298">
        <f>V23+V167+V204</f>
        <v>37084539.920000002</v>
      </c>
      <c r="W208" s="295">
        <f>W23+W167+W204</f>
        <v>61524423.86999999</v>
      </c>
      <c r="X208" s="257">
        <f>X23+X167+X204</f>
        <v>18072319.657660004</v>
      </c>
      <c r="Y208" s="288"/>
      <c r="Z208" s="288"/>
    </row>
    <row r="209" spans="1:26" ht="16.5" thickTop="1">
      <c r="B209" s="288"/>
      <c r="C209" s="288"/>
      <c r="D209" s="269"/>
      <c r="E209" s="270"/>
      <c r="F209" s="270"/>
      <c r="G209" s="270"/>
      <c r="H209" s="270"/>
      <c r="I209" s="271"/>
      <c r="J209" s="272"/>
      <c r="K209" s="272"/>
      <c r="L209" s="272"/>
      <c r="M209" s="272"/>
      <c r="N209" s="272"/>
      <c r="O209" s="300"/>
      <c r="P209" s="284"/>
      <c r="Q209" s="284"/>
      <c r="R209" s="275"/>
      <c r="S209" s="288"/>
      <c r="T209" s="303"/>
      <c r="U209" s="277"/>
      <c r="V209" s="278"/>
      <c r="W209" s="275"/>
      <c r="X209" s="288"/>
      <c r="Y209" s="288"/>
      <c r="Z209" s="288"/>
    </row>
    <row r="210" spans="1:26">
      <c r="B210" s="288"/>
      <c r="C210" s="289"/>
      <c r="D210" s="269"/>
      <c r="E210" s="270"/>
      <c r="F210" s="270"/>
      <c r="G210" s="270"/>
      <c r="H210" s="270"/>
      <c r="I210" s="271">
        <f>I25+I169+I206</f>
        <v>24439883.950000003</v>
      </c>
      <c r="J210" s="272"/>
      <c r="K210" s="272"/>
      <c r="L210" s="272"/>
      <c r="M210" s="272"/>
      <c r="N210" s="272"/>
      <c r="O210" s="300">
        <f>O25+O169+O206</f>
        <v>37084539.920000002</v>
      </c>
      <c r="P210" s="284"/>
      <c r="Q210" s="284"/>
      <c r="R210" s="275"/>
      <c r="S210" s="288"/>
      <c r="T210" s="303"/>
      <c r="U210" s="277"/>
      <c r="V210" s="278"/>
      <c r="W210" s="275"/>
      <c r="X210" s="288"/>
      <c r="Y210" s="288"/>
      <c r="Z210" s="288"/>
    </row>
    <row r="211" spans="1:26">
      <c r="B211" s="268"/>
      <c r="C211" s="268"/>
      <c r="D211" s="305"/>
      <c r="E211" s="305"/>
      <c r="F211" s="305"/>
      <c r="G211" s="305"/>
      <c r="H211" s="305"/>
      <c r="I211" s="305"/>
      <c r="J211" s="305"/>
      <c r="K211" s="305"/>
      <c r="L211" s="305"/>
      <c r="M211" s="305"/>
      <c r="N211" s="305"/>
      <c r="O211" s="305"/>
      <c r="P211" s="305"/>
      <c r="Q211" s="305"/>
      <c r="R211" s="305"/>
      <c r="S211" s="268"/>
      <c r="T211" s="268"/>
      <c r="U211" s="305"/>
      <c r="V211" s="305"/>
      <c r="W211" s="305"/>
      <c r="X211" s="276"/>
      <c r="Y211" s="268"/>
      <c r="Z211" s="268"/>
    </row>
    <row r="212" spans="1:26">
      <c r="A212" s="8">
        <v>193</v>
      </c>
      <c r="B212" s="268" t="s">
        <v>1592</v>
      </c>
      <c r="C212" s="268"/>
      <c r="D212" s="305"/>
      <c r="E212" s="305"/>
      <c r="F212" s="305"/>
      <c r="G212" s="305"/>
      <c r="H212" s="305"/>
      <c r="I212" s="305"/>
      <c r="J212" s="305"/>
      <c r="K212" s="305"/>
      <c r="L212" s="305"/>
      <c r="M212" s="305"/>
      <c r="N212" s="305"/>
      <c r="O212" s="305"/>
      <c r="P212" s="306" t="s">
        <v>886</v>
      </c>
      <c r="Q212" s="305"/>
      <c r="R212" s="305"/>
      <c r="S212" s="268"/>
      <c r="T212" s="302"/>
      <c r="U212" s="305"/>
      <c r="V212" s="305"/>
      <c r="W212" s="305"/>
      <c r="X212" s="268"/>
      <c r="Y212" s="268"/>
      <c r="Z212" s="268"/>
    </row>
    <row r="213" spans="1:26">
      <c r="A213" s="8">
        <v>194</v>
      </c>
      <c r="B213" s="307" t="s">
        <v>1428</v>
      </c>
      <c r="C213" s="268" t="s">
        <v>1593</v>
      </c>
      <c r="D213" s="305"/>
      <c r="E213" s="305"/>
      <c r="F213" s="305"/>
      <c r="G213" s="305"/>
      <c r="H213" s="305"/>
      <c r="I213" s="305"/>
      <c r="J213" s="305"/>
      <c r="K213" s="305"/>
      <c r="L213" s="305"/>
      <c r="M213" s="305"/>
      <c r="N213" s="305"/>
      <c r="O213" s="305"/>
      <c r="P213" s="305">
        <f>+T195+T194+T193+T192+T191+T190+T187+T184+T183+T180+T179+T178+T177+T176+T175+T172+T171</f>
        <v>2293998.8487920002</v>
      </c>
      <c r="Q213" s="305"/>
      <c r="R213" s="305"/>
      <c r="S213" s="268"/>
      <c r="T213" s="280" t="s">
        <v>1599</v>
      </c>
      <c r="U213" s="306"/>
      <c r="V213" s="306"/>
      <c r="W213" s="306"/>
      <c r="X213" s="280" t="s">
        <v>1601</v>
      </c>
      <c r="Y213" s="987" t="s">
        <v>2126</v>
      </c>
      <c r="Z213" s="280" t="s">
        <v>1597</v>
      </c>
    </row>
    <row r="214" spans="1:26">
      <c r="A214" s="8">
        <v>195</v>
      </c>
      <c r="B214" s="307" t="s">
        <v>1441</v>
      </c>
      <c r="C214" s="268" t="s">
        <v>1147</v>
      </c>
      <c r="D214" s="305"/>
      <c r="E214" s="305"/>
      <c r="F214" s="305"/>
      <c r="G214" s="305"/>
      <c r="H214" s="305"/>
      <c r="I214" s="305"/>
      <c r="J214" s="305"/>
      <c r="K214" s="305"/>
      <c r="L214" s="305"/>
      <c r="M214" s="305"/>
      <c r="N214" s="305"/>
      <c r="O214" s="305"/>
      <c r="P214" s="305">
        <f>+T51+T55+T56+T59+T60+T61+T70+T76+T79+T80+T82+T88+T91+T134+T146</f>
        <v>10912878.120000001</v>
      </c>
      <c r="Q214" s="305"/>
      <c r="R214" s="305"/>
      <c r="S214" s="268"/>
      <c r="T214" s="280" t="s">
        <v>1600</v>
      </c>
      <c r="U214" s="306"/>
      <c r="V214" s="306"/>
      <c r="W214" s="306"/>
      <c r="X214" s="280" t="s">
        <v>408</v>
      </c>
      <c r="Y214" s="32" t="s">
        <v>2127</v>
      </c>
      <c r="Z214" s="280" t="s">
        <v>1598</v>
      </c>
    </row>
    <row r="215" spans="1:26">
      <c r="A215" s="8">
        <v>196</v>
      </c>
      <c r="B215" s="307" t="s">
        <v>1426</v>
      </c>
      <c r="C215" s="268" t="s">
        <v>1594</v>
      </c>
      <c r="D215" s="305"/>
      <c r="E215" s="305"/>
      <c r="F215" s="305"/>
      <c r="G215" s="305"/>
      <c r="H215" s="305"/>
      <c r="I215" s="305"/>
      <c r="J215" s="305"/>
      <c r="K215" s="305"/>
      <c r="L215" s="305"/>
      <c r="M215" s="305"/>
      <c r="N215" s="305"/>
      <c r="O215" s="305"/>
      <c r="P215" s="305">
        <f>+T163+T162+T161+T159+T158+T157+T156+T154+T153+T152+T151+T150+T148+T147+T136+T135+T133+T130+T128+T119+T117+T111+T73+T49+T48+T46+T44+T43+T41+T38+T126+T116+T140+T89</f>
        <v>14771450.923044002</v>
      </c>
      <c r="Q215" s="305"/>
      <c r="R215" s="305"/>
      <c r="S215" s="268"/>
      <c r="T215" s="268">
        <v>303</v>
      </c>
      <c r="U215" s="305"/>
      <c r="V215" s="305"/>
      <c r="W215" s="305"/>
      <c r="X215" s="276">
        <f>+X8+X9+X10+X11+X13+X15+X17+X18+X19+X20+X21+X203+X16</f>
        <v>1030878.7861559999</v>
      </c>
      <c r="Y215" s="268">
        <v>12.81</v>
      </c>
      <c r="Z215" s="308">
        <f>+X215*Y215/100</f>
        <v>132055.57250658359</v>
      </c>
    </row>
    <row r="216" spans="1:26">
      <c r="A216" s="8">
        <v>197</v>
      </c>
      <c r="B216" s="307" t="s">
        <v>1400</v>
      </c>
      <c r="C216" s="268" t="s">
        <v>1595</v>
      </c>
      <c r="D216" s="305"/>
      <c r="E216" s="305"/>
      <c r="F216" s="305"/>
      <c r="G216" s="305"/>
      <c r="H216" s="305"/>
      <c r="I216" s="305"/>
      <c r="J216" s="305"/>
      <c r="K216" s="305"/>
      <c r="L216" s="305"/>
      <c r="M216" s="305"/>
      <c r="N216" s="305"/>
      <c r="O216" s="305"/>
      <c r="P216" s="305">
        <f>+T18+T166+T165+T83+T14+T12+T11+T9+T200</f>
        <v>1504034.5638239998</v>
      </c>
      <c r="Q216" s="305"/>
      <c r="R216" s="305"/>
      <c r="S216" s="268"/>
      <c r="T216" s="268">
        <v>367</v>
      </c>
      <c r="U216" s="305"/>
      <c r="V216" s="305"/>
      <c r="W216" s="305"/>
      <c r="X216" s="276">
        <f>+X141</f>
        <v>386079.56</v>
      </c>
      <c r="Y216" s="268">
        <v>1.82</v>
      </c>
      <c r="Z216" s="308">
        <f>+X216*Y216/100</f>
        <v>7026.6479920000002</v>
      </c>
    </row>
    <row r="217" spans="1:26">
      <c r="A217" s="8">
        <v>198</v>
      </c>
      <c r="B217" s="307" t="s">
        <v>1444</v>
      </c>
      <c r="C217" s="268" t="s">
        <v>1596</v>
      </c>
      <c r="D217" s="305"/>
      <c r="E217" s="305"/>
      <c r="F217" s="305"/>
      <c r="G217" s="305"/>
      <c r="H217" s="305"/>
      <c r="I217" s="305"/>
      <c r="J217" s="305"/>
      <c r="K217" s="305"/>
      <c r="L217" s="305"/>
      <c r="M217" s="305"/>
      <c r="N217" s="305"/>
      <c r="O217" s="305"/>
      <c r="P217" s="305">
        <f>+T92+T75+T53</f>
        <v>23867.42</v>
      </c>
      <c r="Q217" s="305"/>
      <c r="R217" s="305"/>
      <c r="S217" s="268"/>
      <c r="T217" s="268">
        <v>376</v>
      </c>
      <c r="U217" s="305"/>
      <c r="V217" s="305"/>
      <c r="W217" s="305"/>
      <c r="X217" s="276">
        <f>+X149+X145+X144+X143+X142+X140+X138+X137+X127+X126+X125+X118+X113+X112+X108+X95+X94+X93+X90+X87+X84+X71+X64+X62+X40+X39+X122+X120+X89+X86+X83+X69+X115+X114+X160</f>
        <v>12426705.59</v>
      </c>
      <c r="Y217" s="268">
        <v>1.25</v>
      </c>
      <c r="Z217" s="308">
        <f t="shared" ref="Z217:Z226" si="64">+X217*Y217/100</f>
        <v>155333.81987500002</v>
      </c>
    </row>
    <row r="218" spans="1:26">
      <c r="A218" s="8">
        <v>199</v>
      </c>
      <c r="B218" s="307"/>
      <c r="C218" s="268"/>
      <c r="D218" s="305"/>
      <c r="E218" s="305"/>
      <c r="F218" s="305"/>
      <c r="G218" s="305"/>
      <c r="H218" s="305"/>
      <c r="I218" s="305"/>
      <c r="J218" s="305"/>
      <c r="K218" s="305"/>
      <c r="L218" s="305"/>
      <c r="M218" s="305"/>
      <c r="N218" s="305"/>
      <c r="O218" s="305"/>
      <c r="P218" s="305"/>
      <c r="Q218" s="305"/>
      <c r="R218" s="305"/>
      <c r="S218" s="268"/>
      <c r="T218" s="268">
        <v>378</v>
      </c>
      <c r="U218" s="305"/>
      <c r="V218" s="305"/>
      <c r="W218" s="305"/>
      <c r="X218" s="276">
        <f>+X116+X99+X98+X100+X67+X52+X42</f>
        <v>714721.72</v>
      </c>
      <c r="Y218" s="268">
        <v>1.92</v>
      </c>
      <c r="Z218" s="308">
        <f t="shared" si="64"/>
        <v>13722.657023999998</v>
      </c>
    </row>
    <row r="219" spans="1:26">
      <c r="A219" s="8">
        <v>200</v>
      </c>
      <c r="B219" s="307"/>
      <c r="C219" s="268"/>
      <c r="D219" s="305"/>
      <c r="E219" s="305"/>
      <c r="F219" s="305"/>
      <c r="G219" s="305"/>
      <c r="H219" s="305"/>
      <c r="I219" s="305"/>
      <c r="J219" s="305"/>
      <c r="K219" s="305"/>
      <c r="L219" s="305"/>
      <c r="M219" s="305"/>
      <c r="N219" s="305"/>
      <c r="O219" s="305"/>
      <c r="P219" s="305">
        <f>SUM(P213:P217)+X208</f>
        <v>47578549.53332001</v>
      </c>
      <c r="Q219" s="305"/>
      <c r="R219" s="305"/>
      <c r="S219" s="268"/>
      <c r="T219" s="268">
        <v>380</v>
      </c>
      <c r="U219" s="305"/>
      <c r="V219" s="305"/>
      <c r="W219" s="305"/>
      <c r="X219" s="276">
        <f>+X50</f>
        <v>777866.77</v>
      </c>
      <c r="Y219" s="268">
        <v>3.88</v>
      </c>
      <c r="Z219" s="308">
        <f t="shared" si="64"/>
        <v>30181.230676000003</v>
      </c>
    </row>
    <row r="220" spans="1:26">
      <c r="A220" s="8">
        <v>201</v>
      </c>
      <c r="B220" s="307"/>
      <c r="C220" s="268"/>
      <c r="D220" s="305"/>
      <c r="E220" s="305"/>
      <c r="F220" s="305"/>
      <c r="G220" s="305"/>
      <c r="H220" s="305"/>
      <c r="I220" s="305"/>
      <c r="J220" s="305"/>
      <c r="K220" s="305"/>
      <c r="L220" s="305"/>
      <c r="M220" s="305"/>
      <c r="N220" s="305"/>
      <c r="O220" s="305"/>
      <c r="P220" s="305">
        <f>+P219-T208</f>
        <v>0</v>
      </c>
      <c r="Q220" s="305"/>
      <c r="R220" s="305"/>
      <c r="S220" s="268"/>
      <c r="T220" s="268">
        <v>381</v>
      </c>
      <c r="U220" s="305"/>
      <c r="V220" s="305"/>
      <c r="W220" s="305"/>
      <c r="X220" s="276">
        <f>+X110</f>
        <v>843746.2944880001</v>
      </c>
      <c r="Y220" s="268">
        <v>2.27</v>
      </c>
      <c r="Z220" s="308">
        <f t="shared" si="64"/>
        <v>19153.040884877602</v>
      </c>
    </row>
    <row r="221" spans="1:26">
      <c r="A221" s="8">
        <v>202</v>
      </c>
      <c r="B221" s="307"/>
      <c r="C221" s="268"/>
      <c r="D221" s="305"/>
      <c r="E221" s="305"/>
      <c r="F221" s="305"/>
      <c r="G221" s="305"/>
      <c r="H221" s="305"/>
      <c r="I221" s="305"/>
      <c r="J221" s="305"/>
      <c r="K221" s="305"/>
      <c r="L221" s="305"/>
      <c r="M221" s="305"/>
      <c r="N221" s="305"/>
      <c r="O221" s="305"/>
      <c r="P221" s="305"/>
      <c r="Q221" s="305"/>
      <c r="R221" s="305"/>
      <c r="S221" s="268"/>
      <c r="T221" s="268">
        <v>382</v>
      </c>
      <c r="U221" s="305"/>
      <c r="V221" s="305"/>
      <c r="W221" s="305"/>
      <c r="X221" s="268"/>
      <c r="Y221" s="268"/>
      <c r="Z221" s="308">
        <f t="shared" si="64"/>
        <v>0</v>
      </c>
    </row>
    <row r="222" spans="1:26">
      <c r="A222" s="8">
        <v>203</v>
      </c>
      <c r="B222" s="268"/>
      <c r="C222" s="268"/>
      <c r="D222" s="305"/>
      <c r="E222" s="305"/>
      <c r="F222" s="305"/>
      <c r="G222" s="305"/>
      <c r="H222" s="305"/>
      <c r="I222" s="305"/>
      <c r="J222" s="305"/>
      <c r="K222" s="305"/>
      <c r="L222" s="305"/>
      <c r="M222" s="305"/>
      <c r="N222" s="305"/>
      <c r="O222" s="305"/>
      <c r="P222" s="305"/>
      <c r="Q222" s="305"/>
      <c r="R222" s="305"/>
      <c r="S222" s="268"/>
      <c r="T222" s="268">
        <v>385</v>
      </c>
      <c r="U222" s="305"/>
      <c r="V222" s="305"/>
      <c r="W222" s="305"/>
      <c r="X222" s="276">
        <f>+X47+X45</f>
        <v>1048104.73</v>
      </c>
      <c r="Y222" s="268">
        <v>2.1800000000000002</v>
      </c>
      <c r="Z222" s="308">
        <f t="shared" si="64"/>
        <v>22848.683113999999</v>
      </c>
    </row>
    <row r="223" spans="1:26">
      <c r="A223" s="8">
        <v>204</v>
      </c>
      <c r="B223" s="268"/>
      <c r="C223" s="268"/>
      <c r="D223" s="305"/>
      <c r="E223" s="305"/>
      <c r="F223" s="305"/>
      <c r="G223" s="305"/>
      <c r="H223" s="305"/>
      <c r="I223" s="305"/>
      <c r="J223" s="305"/>
      <c r="K223" s="305"/>
      <c r="L223" s="305"/>
      <c r="M223" s="305"/>
      <c r="N223" s="305"/>
      <c r="O223" s="305"/>
      <c r="P223" s="305"/>
      <c r="Q223" s="305"/>
      <c r="R223" s="305"/>
      <c r="S223" s="268"/>
      <c r="T223" s="268">
        <v>390</v>
      </c>
      <c r="U223" s="305"/>
      <c r="V223" s="305"/>
      <c r="W223" s="305"/>
      <c r="X223" s="276">
        <f>+X178+X185</f>
        <v>76458.680000000008</v>
      </c>
      <c r="Y223" s="268">
        <v>1.24</v>
      </c>
      <c r="Z223" s="308">
        <f t="shared" si="64"/>
        <v>948.08763200000021</v>
      </c>
    </row>
    <row r="224" spans="1:26">
      <c r="A224" s="8">
        <v>205</v>
      </c>
      <c r="B224" s="268"/>
      <c r="C224" s="268"/>
      <c r="D224" s="305"/>
      <c r="E224" s="305"/>
      <c r="F224" s="305"/>
      <c r="G224" s="305"/>
      <c r="H224" s="305"/>
      <c r="I224" s="305"/>
      <c r="J224" s="305"/>
      <c r="K224" s="305"/>
      <c r="L224" s="305"/>
      <c r="M224" s="305"/>
      <c r="N224" s="305"/>
      <c r="O224" s="305"/>
      <c r="P224" s="305"/>
      <c r="Q224" s="305"/>
      <c r="R224" s="305"/>
      <c r="S224" s="268"/>
      <c r="T224" s="268">
        <v>391</v>
      </c>
      <c r="U224" s="305"/>
      <c r="V224" s="305"/>
      <c r="W224" s="305"/>
      <c r="X224" s="276">
        <f>+X199+X198+X191+X184</f>
        <v>158780.82361199998</v>
      </c>
      <c r="Y224" s="268">
        <v>4.9800000000000004</v>
      </c>
      <c r="Z224" s="308">
        <f t="shared" si="64"/>
        <v>7907.2850158775991</v>
      </c>
    </row>
    <row r="225" spans="1:27">
      <c r="A225" s="8">
        <v>206</v>
      </c>
      <c r="B225" s="268"/>
      <c r="C225" s="268"/>
      <c r="D225" s="305"/>
      <c r="E225" s="305"/>
      <c r="F225" s="305"/>
      <c r="G225" s="305"/>
      <c r="H225" s="305"/>
      <c r="I225" s="305"/>
      <c r="J225" s="305"/>
      <c r="K225" s="305"/>
      <c r="L225" s="305"/>
      <c r="M225" s="305"/>
      <c r="N225" s="305"/>
      <c r="O225" s="305"/>
      <c r="P225" s="305"/>
      <c r="Q225" s="305"/>
      <c r="R225" s="305"/>
      <c r="S225" s="268"/>
      <c r="T225" s="268">
        <v>392</v>
      </c>
      <c r="U225" s="305"/>
      <c r="V225" s="305"/>
      <c r="W225" s="305"/>
      <c r="X225" s="276">
        <f>+X194+X193+X190+X188+X179+X175</f>
        <v>2201.1</v>
      </c>
      <c r="Y225" s="268">
        <v>6.16</v>
      </c>
      <c r="Z225" s="308">
        <f t="shared" si="64"/>
        <v>135.58776</v>
      </c>
    </row>
    <row r="226" spans="1:27">
      <c r="A226" s="8">
        <v>207</v>
      </c>
      <c r="B226" s="268"/>
      <c r="C226" s="268"/>
      <c r="D226" s="305"/>
      <c r="E226" s="305"/>
      <c r="F226" s="305"/>
      <c r="G226" s="305"/>
      <c r="H226" s="305"/>
      <c r="I226" s="305"/>
      <c r="J226" s="305"/>
      <c r="K226" s="305"/>
      <c r="L226" s="305"/>
      <c r="M226" s="305"/>
      <c r="N226" s="305"/>
      <c r="O226" s="305"/>
      <c r="P226" s="305"/>
      <c r="Q226" s="305"/>
      <c r="R226" s="305"/>
      <c r="S226" s="268"/>
      <c r="T226" s="268">
        <v>394</v>
      </c>
      <c r="U226" s="305"/>
      <c r="V226" s="305"/>
      <c r="W226" s="305"/>
      <c r="X226" s="276">
        <f>+X201+X195+X192+X189+X187+X186+X183+X180</f>
        <v>606775.60340400005</v>
      </c>
      <c r="Y226" s="268">
        <v>3.55</v>
      </c>
      <c r="Z226" s="308">
        <f t="shared" si="64"/>
        <v>21540.533920842001</v>
      </c>
    </row>
    <row r="227" spans="1:27">
      <c r="A227" s="8">
        <v>208</v>
      </c>
      <c r="B227" s="268"/>
      <c r="C227" s="268"/>
      <c r="D227" s="305"/>
      <c r="E227" s="305"/>
      <c r="F227" s="305"/>
      <c r="G227" s="305"/>
      <c r="H227" s="305"/>
      <c r="I227" s="305"/>
      <c r="J227" s="305"/>
      <c r="K227" s="305"/>
      <c r="L227" s="305"/>
      <c r="M227" s="305"/>
      <c r="N227" s="305"/>
      <c r="O227" s="305"/>
      <c r="P227" s="305"/>
      <c r="Q227" s="305"/>
      <c r="R227" s="305"/>
      <c r="S227" s="268"/>
      <c r="T227" s="268">
        <v>396</v>
      </c>
      <c r="U227" s="305"/>
      <c r="V227" s="305"/>
      <c r="W227" s="305"/>
      <c r="X227" s="276">
        <f>+X176+X171</f>
        <v>0</v>
      </c>
      <c r="Y227" s="268"/>
      <c r="Z227" s="308"/>
    </row>
    <row r="228" spans="1:27">
      <c r="A228" s="8">
        <v>209</v>
      </c>
      <c r="B228" s="268"/>
      <c r="C228" s="268"/>
      <c r="D228" s="305"/>
      <c r="E228" s="305"/>
      <c r="F228" s="305"/>
      <c r="G228" s="305"/>
      <c r="H228" s="305"/>
      <c r="I228" s="305"/>
      <c r="J228" s="305"/>
      <c r="K228" s="305"/>
      <c r="L228" s="305"/>
      <c r="M228" s="305"/>
      <c r="N228" s="305"/>
      <c r="O228" s="305"/>
      <c r="P228" s="305"/>
      <c r="Q228" s="305"/>
      <c r="R228" s="305"/>
      <c r="S228" s="268"/>
      <c r="T228" s="268">
        <v>397</v>
      </c>
      <c r="U228" s="305"/>
      <c r="V228" s="305"/>
      <c r="W228" s="305"/>
      <c r="X228" s="276">
        <f>+X177+X172</f>
        <v>0</v>
      </c>
      <c r="Y228" s="268"/>
      <c r="Z228" s="308"/>
    </row>
    <row r="229" spans="1:27">
      <c r="A229" s="8">
        <v>210</v>
      </c>
      <c r="B229" s="268"/>
      <c r="C229" s="268"/>
      <c r="D229" s="305"/>
      <c r="E229" s="305"/>
      <c r="F229" s="305"/>
      <c r="G229" s="305"/>
      <c r="H229" s="305"/>
      <c r="I229" s="305"/>
      <c r="J229" s="305"/>
      <c r="K229" s="305"/>
      <c r="L229" s="305"/>
      <c r="M229" s="305"/>
      <c r="N229" s="305"/>
      <c r="O229" s="305"/>
      <c r="P229" s="305"/>
      <c r="Q229" s="305"/>
      <c r="R229" s="305"/>
      <c r="S229" s="268"/>
      <c r="T229" s="268"/>
      <c r="U229" s="305"/>
      <c r="V229" s="305"/>
      <c r="W229" s="305"/>
      <c r="X229" s="268"/>
      <c r="Y229" s="268"/>
      <c r="Z229" s="268"/>
    </row>
    <row r="230" spans="1:27">
      <c r="A230" s="8">
        <v>211</v>
      </c>
      <c r="B230" s="268"/>
      <c r="C230" s="268"/>
      <c r="D230" s="305"/>
      <c r="E230" s="305"/>
      <c r="F230" s="305"/>
      <c r="G230" s="305"/>
      <c r="H230" s="305"/>
      <c r="I230" s="305"/>
      <c r="J230" s="305"/>
      <c r="K230" s="305"/>
      <c r="L230" s="305"/>
      <c r="M230" s="305"/>
      <c r="N230" s="305"/>
      <c r="O230" s="305"/>
      <c r="P230" s="305"/>
      <c r="Q230" s="305"/>
      <c r="R230" s="305"/>
      <c r="S230" s="268" t="s">
        <v>886</v>
      </c>
      <c r="T230" s="268"/>
      <c r="U230" s="305"/>
      <c r="V230" s="305"/>
      <c r="W230" s="305"/>
      <c r="X230" s="276">
        <f>SUM(X215:X228)</f>
        <v>18072319.65766</v>
      </c>
      <c r="Y230" s="268"/>
      <c r="Z230" s="276">
        <f>SUM(Z215:Z228)</f>
        <v>410853.14640118089</v>
      </c>
      <c r="AA230" s="6">
        <f>+Z230/X230</f>
        <v>2.2733835732428501E-2</v>
      </c>
    </row>
    <row r="231" spans="1:27">
      <c r="A231" s="8">
        <v>212</v>
      </c>
      <c r="B231" s="268"/>
      <c r="C231" s="268"/>
      <c r="D231" s="305"/>
      <c r="E231" s="305"/>
      <c r="F231" s="305"/>
      <c r="G231" s="305"/>
      <c r="H231" s="305"/>
      <c r="I231" s="305"/>
      <c r="J231" s="305"/>
      <c r="K231" s="305"/>
      <c r="L231" s="305"/>
      <c r="M231" s="305"/>
      <c r="N231" s="305"/>
      <c r="O231" s="305"/>
      <c r="P231" s="305"/>
      <c r="Q231" s="305"/>
      <c r="R231" s="305"/>
      <c r="S231" s="268"/>
      <c r="T231" s="268"/>
      <c r="U231" s="305"/>
      <c r="V231" s="305"/>
      <c r="W231" s="305"/>
      <c r="X231" s="268"/>
      <c r="Y231" s="268"/>
      <c r="Z231" s="268"/>
    </row>
    <row r="232" spans="1:27">
      <c r="A232" s="8">
        <v>213</v>
      </c>
      <c r="B232" s="268"/>
      <c r="C232" s="268"/>
      <c r="D232" s="305"/>
      <c r="E232" s="305"/>
      <c r="F232" s="305"/>
      <c r="G232" s="305"/>
      <c r="H232" s="305"/>
      <c r="I232" s="305"/>
      <c r="J232" s="305"/>
      <c r="K232" s="305"/>
      <c r="L232" s="305"/>
      <c r="M232" s="305"/>
      <c r="N232" s="305"/>
      <c r="O232" s="305"/>
      <c r="P232" s="305"/>
      <c r="Q232" s="305"/>
      <c r="R232" s="305"/>
      <c r="S232" s="268"/>
      <c r="T232" s="268"/>
      <c r="U232" s="305"/>
      <c r="V232" s="305"/>
      <c r="W232" s="305"/>
      <c r="X232" s="276">
        <f>+X208-X230</f>
        <v>0</v>
      </c>
      <c r="Y232" s="268"/>
      <c r="Z232" s="268"/>
    </row>
  </sheetData>
  <mergeCells count="4">
    <mergeCell ref="O1:R1"/>
    <mergeCell ref="O2:R2"/>
    <mergeCell ref="O3:R3"/>
    <mergeCell ref="O4:R4"/>
  </mergeCells>
  <pageMargins left="0.7" right="0.7" top="0.75" bottom="0.75" header="0.3" footer="0.3"/>
  <pageSetup scale="44" fitToHeight="0" orientation="portrait" useFirstPageNumber="1" r:id="rId1"/>
  <headerFooter scaleWithDoc="0" alignWithMargins="0">
    <oddHeader>&amp;RDocket No. UG-17_____
Exhibit _____ (MPP-6)
Page &amp;P of 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9"/>
  <sheetViews>
    <sheetView view="pageBreakPreview" zoomScale="90" zoomScaleNormal="100" zoomScaleSheetLayoutView="90" workbookViewId="0">
      <selection sqref="A1:B1"/>
    </sheetView>
  </sheetViews>
  <sheetFormatPr defaultRowHeight="15.75"/>
  <cols>
    <col min="1" max="1" width="9.140625" style="8"/>
    <col min="2" max="2" width="99" style="6" customWidth="1"/>
    <col min="3" max="16384" width="9.140625" style="6"/>
  </cols>
  <sheetData>
    <row r="1" spans="1:7">
      <c r="A1" s="1025" t="s">
        <v>1639</v>
      </c>
      <c r="B1" s="1025"/>
      <c r="C1" s="5"/>
      <c r="D1" s="5"/>
    </row>
    <row r="2" spans="1:7">
      <c r="A2" s="1025" t="s">
        <v>1688</v>
      </c>
      <c r="B2" s="1025"/>
      <c r="C2" s="5"/>
      <c r="D2" s="5"/>
    </row>
    <row r="3" spans="1:7">
      <c r="A3" s="1025" t="s">
        <v>990</v>
      </c>
      <c r="B3" s="1025"/>
      <c r="C3" s="5"/>
      <c r="D3" s="5"/>
    </row>
    <row r="4" spans="1:7">
      <c r="A4" s="17"/>
      <c r="B4" s="7"/>
      <c r="C4" s="7"/>
      <c r="D4" s="7"/>
    </row>
    <row r="5" spans="1:7">
      <c r="A5" s="18"/>
      <c r="B5" s="19"/>
    </row>
    <row r="6" spans="1:7">
      <c r="A6" s="15" t="s">
        <v>1603</v>
      </c>
      <c r="B6" s="15" t="s">
        <v>1604</v>
      </c>
    </row>
    <row r="8" spans="1:7" ht="63">
      <c r="A8" s="16" t="s">
        <v>1428</v>
      </c>
      <c r="B8" s="9" t="s">
        <v>1661</v>
      </c>
    </row>
    <row r="9" spans="1:7" ht="31.5">
      <c r="A9" s="16" t="s">
        <v>1441</v>
      </c>
      <c r="B9" s="10" t="s">
        <v>1605</v>
      </c>
    </row>
    <row r="10" spans="1:7" ht="31.5">
      <c r="A10" s="16" t="s">
        <v>1426</v>
      </c>
      <c r="B10" s="10" t="s">
        <v>1606</v>
      </c>
    </row>
    <row r="11" spans="1:7" ht="31.5">
      <c r="A11" s="16" t="s">
        <v>1400</v>
      </c>
      <c r="B11" s="10" t="s">
        <v>1662</v>
      </c>
      <c r="G11" s="19"/>
    </row>
    <row r="12" spans="1:7" ht="31.5">
      <c r="A12" s="16" t="s">
        <v>1444</v>
      </c>
      <c r="B12" s="10" t="s">
        <v>1663</v>
      </c>
    </row>
    <row r="13" spans="1:7" ht="47.25">
      <c r="A13" s="16">
        <v>1</v>
      </c>
      <c r="B13" s="10" t="s">
        <v>1664</v>
      </c>
    </row>
    <row r="14" spans="1:7" ht="31.5">
      <c r="A14" s="16">
        <v>2</v>
      </c>
      <c r="B14" s="11" t="s">
        <v>1607</v>
      </c>
    </row>
    <row r="15" spans="1:7" ht="31.5">
      <c r="A15" s="16">
        <v>3</v>
      </c>
      <c r="B15" s="10" t="s">
        <v>1665</v>
      </c>
    </row>
    <row r="16" spans="1:7">
      <c r="A16" s="16">
        <v>4</v>
      </c>
      <c r="B16" s="6" t="s">
        <v>1689</v>
      </c>
    </row>
    <row r="17" spans="1:2" ht="31.5">
      <c r="A17" s="16">
        <v>5</v>
      </c>
      <c r="B17" s="10" t="s">
        <v>1608</v>
      </c>
    </row>
    <row r="18" spans="1:2" ht="31.5">
      <c r="A18" s="16">
        <v>6</v>
      </c>
      <c r="B18" s="9" t="s">
        <v>1666</v>
      </c>
    </row>
    <row r="19" spans="1:2" ht="220.5">
      <c r="A19" s="16">
        <v>7</v>
      </c>
      <c r="B19" s="12" t="s">
        <v>1667</v>
      </c>
    </row>
    <row r="20" spans="1:2" ht="63">
      <c r="A20" s="16">
        <v>8</v>
      </c>
      <c r="B20" s="10" t="s">
        <v>1668</v>
      </c>
    </row>
    <row r="21" spans="1:2" ht="31.5">
      <c r="A21" s="16">
        <v>9</v>
      </c>
      <c r="B21" s="10" t="s">
        <v>1634</v>
      </c>
    </row>
    <row r="22" spans="1:2">
      <c r="A22" s="16">
        <v>10</v>
      </c>
      <c r="B22" s="13" t="s">
        <v>1610</v>
      </c>
    </row>
    <row r="23" spans="1:2">
      <c r="A23" s="16">
        <v>11</v>
      </c>
      <c r="B23" s="13" t="s">
        <v>1611</v>
      </c>
    </row>
    <row r="24" spans="1:2" ht="31.5">
      <c r="A24" s="16">
        <v>12</v>
      </c>
      <c r="B24" s="9" t="s">
        <v>1609</v>
      </c>
    </row>
    <row r="25" spans="1:2">
      <c r="A25" s="16">
        <v>13</v>
      </c>
      <c r="B25" s="14" t="s">
        <v>1612</v>
      </c>
    </row>
    <row r="26" spans="1:2" ht="47.25">
      <c r="A26" s="16">
        <v>14</v>
      </c>
      <c r="B26" s="10" t="s">
        <v>1669</v>
      </c>
    </row>
    <row r="27" spans="1:2" ht="47.25">
      <c r="A27" s="16">
        <v>15</v>
      </c>
      <c r="B27" s="10" t="s">
        <v>1613</v>
      </c>
    </row>
    <row r="28" spans="1:2" ht="78.75">
      <c r="A28" s="16">
        <v>16</v>
      </c>
      <c r="B28" s="10" t="s">
        <v>1614</v>
      </c>
    </row>
    <row r="29" spans="1:2" ht="63">
      <c r="A29" s="16">
        <v>17</v>
      </c>
      <c r="B29" s="10" t="s">
        <v>1670</v>
      </c>
    </row>
    <row r="30" spans="1:2" ht="63">
      <c r="A30" s="16">
        <v>18</v>
      </c>
      <c r="B30" s="10" t="s">
        <v>1615</v>
      </c>
    </row>
    <row r="31" spans="1:2" ht="63">
      <c r="A31" s="16">
        <v>19</v>
      </c>
      <c r="B31" s="10" t="s">
        <v>1616</v>
      </c>
    </row>
    <row r="32" spans="1:2" ht="47.25">
      <c r="A32" s="16">
        <v>20</v>
      </c>
      <c r="B32" s="10" t="s">
        <v>1671</v>
      </c>
    </row>
    <row r="33" spans="1:2" ht="47.25">
      <c r="A33" s="16">
        <v>21</v>
      </c>
      <c r="B33" s="10" t="s">
        <v>1680</v>
      </c>
    </row>
    <row r="34" spans="1:2" ht="31.5">
      <c r="A34" s="16">
        <v>22</v>
      </c>
      <c r="B34" s="10" t="s">
        <v>1617</v>
      </c>
    </row>
    <row r="35" spans="1:2" ht="47.25">
      <c r="A35" s="16">
        <v>23</v>
      </c>
      <c r="B35" s="10" t="s">
        <v>1618</v>
      </c>
    </row>
    <row r="36" spans="1:2" ht="47.25">
      <c r="A36" s="16">
        <v>24</v>
      </c>
      <c r="B36" s="10" t="s">
        <v>1619</v>
      </c>
    </row>
    <row r="37" spans="1:2" ht="30.75" customHeight="1">
      <c r="A37" s="16">
        <v>25</v>
      </c>
      <c r="B37" s="10" t="s">
        <v>1620</v>
      </c>
    </row>
    <row r="38" spans="1:2" ht="47.25">
      <c r="A38" s="16">
        <v>26</v>
      </c>
      <c r="B38" s="10" t="s">
        <v>1621</v>
      </c>
    </row>
    <row r="39" spans="1:2" ht="47.25">
      <c r="A39" s="16">
        <v>27</v>
      </c>
      <c r="B39" s="10" t="s">
        <v>1622</v>
      </c>
    </row>
    <row r="40" spans="1:2" ht="47.25">
      <c r="A40" s="16">
        <v>28</v>
      </c>
      <c r="B40" s="10" t="s">
        <v>1623</v>
      </c>
    </row>
    <row r="41" spans="1:2" ht="47.25">
      <c r="A41" s="16">
        <v>29</v>
      </c>
      <c r="B41" s="10" t="s">
        <v>1624</v>
      </c>
    </row>
    <row r="42" spans="1:2" ht="47.25">
      <c r="A42" s="16">
        <v>30</v>
      </c>
      <c r="B42" s="10" t="s">
        <v>1625</v>
      </c>
    </row>
    <row r="43" spans="1:2" ht="47.25">
      <c r="A43" s="16">
        <v>31</v>
      </c>
      <c r="B43" s="10" t="s">
        <v>1625</v>
      </c>
    </row>
    <row r="44" spans="1:2">
      <c r="A44" s="16">
        <v>32</v>
      </c>
      <c r="B44" s="10" t="s">
        <v>1626</v>
      </c>
    </row>
    <row r="45" spans="1:2" ht="31.5">
      <c r="A45" s="16">
        <v>33</v>
      </c>
      <c r="B45" s="10" t="s">
        <v>1627</v>
      </c>
    </row>
    <row r="46" spans="1:2" ht="141.75">
      <c r="A46" s="16">
        <v>34</v>
      </c>
      <c r="B46" s="10" t="s">
        <v>1628</v>
      </c>
    </row>
    <row r="47" spans="1:2" ht="267.75">
      <c r="A47" s="16">
        <v>35</v>
      </c>
      <c r="B47" s="12" t="s">
        <v>1672</v>
      </c>
    </row>
    <row r="48" spans="1:2" ht="63">
      <c r="A48" s="16">
        <v>36</v>
      </c>
      <c r="B48" s="10" t="s">
        <v>1629</v>
      </c>
    </row>
    <row r="49" spans="1:2" ht="94.5">
      <c r="A49" s="16">
        <v>37</v>
      </c>
      <c r="B49" s="10" t="s">
        <v>1630</v>
      </c>
    </row>
    <row r="50" spans="1:2">
      <c r="A50" s="16">
        <v>38</v>
      </c>
      <c r="B50" s="10" t="s">
        <v>1631</v>
      </c>
    </row>
    <row r="51" spans="1:2" ht="47.25">
      <c r="A51" s="16">
        <v>39</v>
      </c>
      <c r="B51" s="10" t="s">
        <v>1632</v>
      </c>
    </row>
    <row r="52" spans="1:2">
      <c r="A52" s="16">
        <v>40</v>
      </c>
      <c r="B52" s="10" t="s">
        <v>1633</v>
      </c>
    </row>
    <row r="53" spans="1:2" ht="93.75" customHeight="1">
      <c r="A53" s="16">
        <v>41</v>
      </c>
      <c r="B53" s="12" t="s">
        <v>1653</v>
      </c>
    </row>
    <row r="54" spans="1:2" ht="47.25">
      <c r="A54" s="16">
        <v>42</v>
      </c>
      <c r="B54" s="12" t="s">
        <v>1635</v>
      </c>
    </row>
    <row r="55" spans="1:2" ht="47.25">
      <c r="A55" s="16">
        <v>43</v>
      </c>
      <c r="B55" s="12" t="s">
        <v>1654</v>
      </c>
    </row>
    <row r="56" spans="1:2" ht="47.25">
      <c r="A56" s="16">
        <v>44</v>
      </c>
      <c r="B56" s="12" t="s">
        <v>1655</v>
      </c>
    </row>
    <row r="57" spans="1:2" ht="31.5">
      <c r="A57" s="16">
        <v>45</v>
      </c>
      <c r="B57" s="10" t="s">
        <v>1636</v>
      </c>
    </row>
    <row r="58" spans="1:2" ht="31.5">
      <c r="A58" s="16">
        <v>46</v>
      </c>
      <c r="B58" s="10" t="s">
        <v>1636</v>
      </c>
    </row>
    <row r="59" spans="1:2" ht="47.25">
      <c r="A59" s="16">
        <v>47</v>
      </c>
      <c r="B59" s="12" t="s">
        <v>1656</v>
      </c>
    </row>
    <row r="60" spans="1:2" ht="31.5">
      <c r="A60" s="16">
        <v>48</v>
      </c>
      <c r="B60" s="12" t="s">
        <v>1637</v>
      </c>
    </row>
    <row r="61" spans="1:2" ht="31.5">
      <c r="A61" s="16">
        <v>49</v>
      </c>
      <c r="B61" s="12" t="s">
        <v>1657</v>
      </c>
    </row>
    <row r="62" spans="1:2" ht="94.5">
      <c r="A62" s="16">
        <v>50</v>
      </c>
      <c r="B62" s="12" t="s">
        <v>1658</v>
      </c>
    </row>
    <row r="63" spans="1:2" ht="47.25">
      <c r="A63" s="16">
        <v>51</v>
      </c>
      <c r="B63" s="10" t="s">
        <v>1640</v>
      </c>
    </row>
    <row r="64" spans="1:2">
      <c r="A64" s="16">
        <v>52</v>
      </c>
      <c r="B64" s="10" t="s">
        <v>1679</v>
      </c>
    </row>
    <row r="65" spans="1:2">
      <c r="A65" s="16">
        <v>53</v>
      </c>
      <c r="B65" s="10" t="s">
        <v>1659</v>
      </c>
    </row>
    <row r="66" spans="1:2">
      <c r="A66" s="16">
        <v>54</v>
      </c>
      <c r="B66" s="10" t="s">
        <v>1660</v>
      </c>
    </row>
    <row r="67" spans="1:2">
      <c r="B67" s="10"/>
    </row>
    <row r="68" spans="1:2">
      <c r="B68" s="10"/>
    </row>
    <row r="69" spans="1:2">
      <c r="B69" s="10"/>
    </row>
    <row r="70" spans="1:2">
      <c r="B70" s="10"/>
    </row>
    <row r="71" spans="1:2">
      <c r="B71" s="10"/>
    </row>
    <row r="72" spans="1:2">
      <c r="B72" s="10"/>
    </row>
    <row r="73" spans="1:2">
      <c r="B73" s="10"/>
    </row>
    <row r="74" spans="1:2">
      <c r="B74" s="10"/>
    </row>
    <row r="75" spans="1:2">
      <c r="B75" s="10"/>
    </row>
    <row r="76" spans="1:2">
      <c r="B76" s="10"/>
    </row>
    <row r="77" spans="1:2">
      <c r="B77" s="10"/>
    </row>
    <row r="78" spans="1:2">
      <c r="B78" s="10"/>
    </row>
    <row r="79" spans="1:2">
      <c r="B79" s="10"/>
    </row>
  </sheetData>
  <mergeCells count="3">
    <mergeCell ref="A1:B1"/>
    <mergeCell ref="A2:B2"/>
    <mergeCell ref="A3:B3"/>
  </mergeCells>
  <pageMargins left="0.7" right="0.7" top="0.75" bottom="0.75" header="0.3" footer="0.3"/>
  <pageSetup scale="70" firstPageNumber="4" fitToHeight="0" orientation="portrait" useFirstPageNumber="1" r:id="rId1"/>
  <headerFooter scaleWithDoc="0" alignWithMargins="0">
    <oddHeader>&amp;RDocket No. UG-17_____
Exhibit _____ (MPP-6)
Page &amp;P of 7</oddHeader>
  </headerFooter>
  <rowBreaks count="3" manualBreakCount="3">
    <brk id="23" max="16383" man="1"/>
    <brk id="39" max="16383" man="1"/>
    <brk id="48"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14"/>
  <sheetViews>
    <sheetView workbookViewId="0">
      <selection activeCell="K11" sqref="K11"/>
    </sheetView>
  </sheetViews>
  <sheetFormatPr defaultRowHeight="15.75"/>
  <cols>
    <col min="1" max="16384" width="9.140625" style="6"/>
  </cols>
  <sheetData>
    <row r="2" spans="1:9">
      <c r="A2" s="1025" t="s">
        <v>61</v>
      </c>
      <c r="B2" s="1025"/>
      <c r="C2" s="1025"/>
      <c r="D2" s="1025"/>
      <c r="E2" s="1025"/>
      <c r="F2" s="1025"/>
      <c r="G2" s="1025"/>
      <c r="H2" s="1025"/>
      <c r="I2" s="1025"/>
    </row>
    <row r="3" spans="1:9">
      <c r="A3" s="1025" t="s">
        <v>1690</v>
      </c>
      <c r="B3" s="1025"/>
      <c r="C3" s="1025"/>
      <c r="D3" s="1025"/>
      <c r="E3" s="1025"/>
      <c r="F3" s="1025"/>
      <c r="G3" s="1025"/>
      <c r="H3" s="1025"/>
      <c r="I3" s="1025"/>
    </row>
    <row r="4" spans="1:9">
      <c r="A4" s="1025" t="s">
        <v>1693</v>
      </c>
      <c r="B4" s="1025"/>
      <c r="C4" s="1025"/>
      <c r="D4" s="1025"/>
      <c r="E4" s="1025"/>
      <c r="F4" s="1025"/>
      <c r="G4" s="1025"/>
      <c r="H4" s="1025"/>
      <c r="I4" s="1025"/>
    </row>
    <row r="5" spans="1:9">
      <c r="A5" s="1025"/>
      <c r="B5" s="1025"/>
      <c r="C5" s="1025"/>
      <c r="D5" s="1025"/>
      <c r="E5" s="1025"/>
      <c r="F5" s="1025"/>
      <c r="G5" s="1025"/>
      <c r="H5" s="1025"/>
      <c r="I5" s="1025"/>
    </row>
    <row r="6" spans="1:9">
      <c r="A6" s="1025"/>
      <c r="B6" s="1025"/>
      <c r="C6" s="1025"/>
      <c r="D6" s="1025"/>
      <c r="E6" s="1025"/>
      <c r="F6" s="1025"/>
      <c r="G6" s="1025"/>
      <c r="H6" s="1025"/>
      <c r="I6" s="1025"/>
    </row>
    <row r="11" spans="1:9">
      <c r="G11" s="19"/>
    </row>
    <row r="14" spans="1:9">
      <c r="A14" s="1032" t="s">
        <v>1713</v>
      </c>
      <c r="B14" s="1032"/>
      <c r="C14" s="1032"/>
      <c r="D14" s="1032"/>
      <c r="E14" s="1032"/>
      <c r="F14" s="1032"/>
      <c r="G14" s="1032"/>
      <c r="H14" s="1032"/>
      <c r="I14" s="1032"/>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2"/>
  <sheetViews>
    <sheetView view="pageBreakPreview" topLeftCell="A9" zoomScaleNormal="100" zoomScaleSheetLayoutView="100" workbookViewId="0">
      <selection activeCell="J20" sqref="J20"/>
    </sheetView>
  </sheetViews>
  <sheetFormatPr defaultRowHeight="15.75"/>
  <cols>
    <col min="1" max="1" width="13" style="6" bestFit="1" customWidth="1"/>
    <col min="2" max="2" width="43.140625" style="6" bestFit="1" customWidth="1"/>
    <col min="3" max="3" width="8.85546875" style="6" customWidth="1"/>
    <col min="4" max="4" width="14.5703125" style="6" bestFit="1" customWidth="1"/>
    <col min="5" max="5" width="4" style="6" customWidth="1"/>
    <col min="6" max="6" width="9.140625" style="561"/>
    <col min="7" max="7" width="9.140625" style="6"/>
    <col min="8" max="8" width="8.140625" style="6" bestFit="1" customWidth="1"/>
    <col min="9" max="16384" width="9.140625" style="6"/>
  </cols>
  <sheetData>
    <row r="1" spans="1:10">
      <c r="A1" s="37"/>
      <c r="B1" s="37"/>
      <c r="C1" s="37"/>
      <c r="D1" s="37"/>
      <c r="E1" s="37"/>
    </row>
    <row r="2" spans="1:10">
      <c r="A2" s="1025" t="s">
        <v>61</v>
      </c>
      <c r="B2" s="1025"/>
      <c r="C2" s="1025"/>
      <c r="D2" s="1025"/>
      <c r="E2" s="1025"/>
      <c r="F2" s="1025"/>
      <c r="G2" s="5"/>
      <c r="H2" s="5"/>
    </row>
    <row r="3" spans="1:10">
      <c r="A3" s="1025" t="s">
        <v>1690</v>
      </c>
      <c r="B3" s="1025"/>
      <c r="C3" s="1025"/>
      <c r="D3" s="1025"/>
      <c r="E3" s="1025"/>
      <c r="F3" s="1025"/>
      <c r="G3" s="5"/>
      <c r="H3" s="5"/>
    </row>
    <row r="4" spans="1:10">
      <c r="A4" s="1025" t="s">
        <v>1691</v>
      </c>
      <c r="B4" s="1025"/>
      <c r="C4" s="1025"/>
      <c r="D4" s="1025"/>
      <c r="E4" s="1025"/>
      <c r="F4" s="1025"/>
      <c r="G4" s="5"/>
      <c r="H4" s="5"/>
    </row>
    <row r="5" spans="1:10">
      <c r="A5" s="1025" t="s">
        <v>1692</v>
      </c>
      <c r="B5" s="1025"/>
      <c r="C5" s="1025"/>
      <c r="D5" s="1025"/>
      <c r="E5" s="1025"/>
      <c r="F5" s="1025"/>
      <c r="G5" s="5"/>
      <c r="H5" s="5"/>
    </row>
    <row r="6" spans="1:10">
      <c r="A6" s="1025" t="s">
        <v>985</v>
      </c>
      <c r="B6" s="1025"/>
      <c r="C6" s="1025"/>
      <c r="D6" s="1025"/>
      <c r="E6" s="1025"/>
      <c r="F6" s="1025"/>
      <c r="G6" s="5"/>
      <c r="H6" s="5"/>
    </row>
    <row r="7" spans="1:10">
      <c r="B7" s="34"/>
      <c r="C7" s="34"/>
      <c r="D7" s="34"/>
      <c r="E7" s="34"/>
      <c r="F7" s="38"/>
      <c r="G7" s="5"/>
      <c r="H7" s="5"/>
    </row>
    <row r="8" spans="1:10">
      <c r="B8" s="8" t="s">
        <v>1728</v>
      </c>
      <c r="C8" s="8"/>
      <c r="D8" s="8" t="s">
        <v>1729</v>
      </c>
      <c r="E8" s="8"/>
      <c r="F8" s="561" t="s">
        <v>1730</v>
      </c>
    </row>
    <row r="9" spans="1:10">
      <c r="B9" s="35"/>
      <c r="C9" s="35"/>
      <c r="D9" s="35"/>
      <c r="E9" s="35"/>
      <c r="F9" s="897"/>
    </row>
    <row r="10" spans="1:10">
      <c r="A10" s="31" t="s">
        <v>1727</v>
      </c>
      <c r="B10" s="27" t="s">
        <v>2062</v>
      </c>
      <c r="D10" s="27" t="s">
        <v>1695</v>
      </c>
      <c r="E10" s="27"/>
      <c r="F10" s="898" t="s">
        <v>1694</v>
      </c>
      <c r="G10" s="27"/>
    </row>
    <row r="11" spans="1:10">
      <c r="A11" s="31"/>
      <c r="B11" s="8" t="s">
        <v>2159</v>
      </c>
      <c r="D11" s="27"/>
      <c r="E11" s="27"/>
      <c r="F11" s="898"/>
      <c r="G11" s="27"/>
    </row>
    <row r="12" spans="1:10">
      <c r="A12" s="8">
        <v>1</v>
      </c>
      <c r="B12" s="6" t="s">
        <v>1692</v>
      </c>
      <c r="D12" s="6" t="s">
        <v>1691</v>
      </c>
      <c r="F12" s="561">
        <v>1</v>
      </c>
    </row>
    <row r="13" spans="1:10">
      <c r="A13" s="8">
        <f>A12+1</f>
        <v>2</v>
      </c>
      <c r="B13" s="6" t="s">
        <v>1367</v>
      </c>
      <c r="D13" s="6" t="s">
        <v>1696</v>
      </c>
      <c r="F13" s="899" t="s">
        <v>2066</v>
      </c>
    </row>
    <row r="14" spans="1:10">
      <c r="A14" s="8">
        <f t="shared" ref="A14:A32" si="0">A13+1</f>
        <v>3</v>
      </c>
      <c r="B14" s="6" t="s">
        <v>42</v>
      </c>
      <c r="D14" s="6" t="s">
        <v>1697</v>
      </c>
      <c r="F14" s="561">
        <v>18</v>
      </c>
    </row>
    <row r="15" spans="1:10">
      <c r="A15" s="8">
        <f t="shared" si="0"/>
        <v>4</v>
      </c>
      <c r="B15" s="6" t="s">
        <v>2041</v>
      </c>
      <c r="D15" s="6" t="s">
        <v>1698</v>
      </c>
      <c r="F15" s="561" t="s">
        <v>2067</v>
      </c>
    </row>
    <row r="16" spans="1:10">
      <c r="A16" s="8">
        <f t="shared" si="0"/>
        <v>5</v>
      </c>
      <c r="B16" s="6" t="s">
        <v>2061</v>
      </c>
      <c r="C16" s="29"/>
      <c r="D16" s="6" t="s">
        <v>1699</v>
      </c>
      <c r="E16" s="29"/>
      <c r="F16" s="900" t="s">
        <v>2068</v>
      </c>
      <c r="G16" s="29"/>
      <c r="H16" s="29"/>
      <c r="I16" s="29"/>
      <c r="J16" s="29"/>
    </row>
    <row r="17" spans="1:6">
      <c r="A17" s="8">
        <f t="shared" si="0"/>
        <v>6</v>
      </c>
      <c r="B17" s="28" t="s">
        <v>1673</v>
      </c>
      <c r="D17" s="6" t="s">
        <v>1700</v>
      </c>
      <c r="F17" s="561">
        <v>44</v>
      </c>
    </row>
    <row r="18" spans="1:6">
      <c r="A18" s="8">
        <f t="shared" si="0"/>
        <v>7</v>
      </c>
      <c r="B18" s="29" t="s">
        <v>979</v>
      </c>
      <c r="D18" s="6" t="s">
        <v>1701</v>
      </c>
      <c r="F18" s="561">
        <v>45</v>
      </c>
    </row>
    <row r="19" spans="1:6">
      <c r="A19" s="8">
        <f t="shared" si="0"/>
        <v>8</v>
      </c>
      <c r="B19" s="29" t="s">
        <v>2123</v>
      </c>
      <c r="D19" s="6" t="s">
        <v>1702</v>
      </c>
      <c r="F19" s="561">
        <v>46</v>
      </c>
    </row>
    <row r="20" spans="1:6">
      <c r="A20" s="8"/>
      <c r="B20" s="8" t="s">
        <v>1714</v>
      </c>
    </row>
    <row r="21" spans="1:6">
      <c r="A21" s="8">
        <v>9</v>
      </c>
      <c r="B21" s="6" t="s">
        <v>1715</v>
      </c>
      <c r="D21" s="6" t="s">
        <v>1703</v>
      </c>
      <c r="F21" s="561">
        <v>48</v>
      </c>
    </row>
    <row r="22" spans="1:6">
      <c r="A22" s="8">
        <f t="shared" si="0"/>
        <v>10</v>
      </c>
      <c r="B22" s="6" t="s">
        <v>1720</v>
      </c>
      <c r="D22" s="6" t="s">
        <v>1704</v>
      </c>
      <c r="F22" s="561" t="s">
        <v>2166</v>
      </c>
    </row>
    <row r="23" spans="1:6">
      <c r="A23" s="8">
        <f t="shared" si="0"/>
        <v>11</v>
      </c>
      <c r="B23" s="6" t="s">
        <v>1716</v>
      </c>
      <c r="D23" s="6" t="s">
        <v>1705</v>
      </c>
      <c r="F23" s="561" t="s">
        <v>2165</v>
      </c>
    </row>
    <row r="24" spans="1:6">
      <c r="A24" s="8">
        <f t="shared" si="0"/>
        <v>12</v>
      </c>
      <c r="B24" s="6" t="s">
        <v>1126</v>
      </c>
      <c r="D24" s="6" t="s">
        <v>1706</v>
      </c>
      <c r="F24" s="561">
        <v>53</v>
      </c>
    </row>
    <row r="25" spans="1:6">
      <c r="A25" s="8">
        <f t="shared" si="0"/>
        <v>13</v>
      </c>
      <c r="B25" s="6" t="s">
        <v>87</v>
      </c>
      <c r="D25" s="6" t="s">
        <v>1707</v>
      </c>
      <c r="F25" s="561">
        <v>54</v>
      </c>
    </row>
    <row r="26" spans="1:6">
      <c r="A26" s="8">
        <f t="shared" si="0"/>
        <v>14</v>
      </c>
      <c r="B26" s="6" t="s">
        <v>980</v>
      </c>
      <c r="D26" s="6" t="s">
        <v>1708</v>
      </c>
      <c r="F26" s="561" t="s">
        <v>2164</v>
      </c>
    </row>
    <row r="27" spans="1:6">
      <c r="A27" s="8">
        <f t="shared" si="0"/>
        <v>15</v>
      </c>
      <c r="B27" s="6" t="s">
        <v>981</v>
      </c>
      <c r="D27" s="6" t="s">
        <v>1709</v>
      </c>
      <c r="F27" s="561">
        <v>58</v>
      </c>
    </row>
    <row r="28" spans="1:6">
      <c r="A28" s="8">
        <f t="shared" si="0"/>
        <v>16</v>
      </c>
      <c r="B28" s="6" t="s">
        <v>982</v>
      </c>
      <c r="D28" s="6" t="s">
        <v>1710</v>
      </c>
      <c r="F28" s="561">
        <v>59</v>
      </c>
    </row>
    <row r="29" spans="1:6">
      <c r="A29" s="8">
        <f t="shared" si="0"/>
        <v>17</v>
      </c>
      <c r="B29" s="6" t="s">
        <v>1717</v>
      </c>
      <c r="D29" s="6" t="s">
        <v>1711</v>
      </c>
      <c r="F29" s="561">
        <v>60</v>
      </c>
    </row>
    <row r="30" spans="1:6">
      <c r="A30" s="8">
        <f t="shared" si="0"/>
        <v>18</v>
      </c>
      <c r="B30" s="6" t="s">
        <v>1025</v>
      </c>
      <c r="D30" s="6" t="s">
        <v>1721</v>
      </c>
      <c r="F30" s="561">
        <v>61</v>
      </c>
    </row>
    <row r="31" spans="1:6">
      <c r="A31" s="8">
        <f t="shared" si="0"/>
        <v>19</v>
      </c>
      <c r="B31" s="6" t="s">
        <v>1026</v>
      </c>
      <c r="D31" s="6" t="s">
        <v>1722</v>
      </c>
      <c r="F31" s="561">
        <v>62</v>
      </c>
    </row>
    <row r="32" spans="1:6">
      <c r="A32" s="8">
        <f t="shared" si="0"/>
        <v>20</v>
      </c>
      <c r="B32" s="6" t="s">
        <v>1718</v>
      </c>
      <c r="D32" s="6" t="s">
        <v>1723</v>
      </c>
      <c r="F32" s="561">
        <v>63</v>
      </c>
    </row>
    <row r="33" spans="1:6">
      <c r="A33" s="8">
        <v>21</v>
      </c>
      <c r="B33" s="6" t="s">
        <v>1719</v>
      </c>
      <c r="D33" s="6" t="s">
        <v>2042</v>
      </c>
      <c r="F33" s="561" t="s">
        <v>2163</v>
      </c>
    </row>
    <row r="34" spans="1:6">
      <c r="A34" s="8">
        <v>22</v>
      </c>
      <c r="B34" s="6" t="s">
        <v>983</v>
      </c>
      <c r="D34" s="6" t="s">
        <v>2043</v>
      </c>
      <c r="F34" s="561">
        <v>70</v>
      </c>
    </row>
    <row r="35" spans="1:6">
      <c r="A35" s="8">
        <v>23</v>
      </c>
      <c r="B35" s="6" t="s">
        <v>1986</v>
      </c>
      <c r="D35" s="6" t="s">
        <v>2161</v>
      </c>
      <c r="F35" s="561" t="s">
        <v>2162</v>
      </c>
    </row>
    <row r="42" spans="1:6">
      <c r="B42" s="6" t="s">
        <v>1724</v>
      </c>
    </row>
  </sheetData>
  <mergeCells count="5">
    <mergeCell ref="A2:F2"/>
    <mergeCell ref="A3:F3"/>
    <mergeCell ref="A4:F4"/>
    <mergeCell ref="A5:F5"/>
    <mergeCell ref="A6:F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87"/>
  <sheetViews>
    <sheetView view="pageBreakPreview" zoomScaleNormal="100" zoomScaleSheetLayoutView="100" workbookViewId="0">
      <selection activeCell="A3" sqref="A3:H3"/>
    </sheetView>
  </sheetViews>
  <sheetFormatPr defaultRowHeight="15.75"/>
  <cols>
    <col min="1" max="1" width="9.28515625" style="35" bestFit="1" customWidth="1"/>
    <col min="2" max="2" width="9.28515625" style="6" bestFit="1" customWidth="1"/>
    <col min="3" max="3" width="44.28515625" style="6" customWidth="1"/>
    <col min="4" max="4" width="2.7109375" style="6" customWidth="1"/>
    <col min="5" max="5" width="17.140625" style="6" bestFit="1" customWidth="1"/>
    <col min="6" max="6" width="16.42578125" style="6" bestFit="1" customWidth="1"/>
    <col min="7" max="7" width="16.85546875" style="6" bestFit="1" customWidth="1"/>
    <col min="8" max="8" width="14.140625" style="6" customWidth="1"/>
    <col min="9" max="9" width="15.7109375" style="91" bestFit="1" customWidth="1"/>
    <col min="10" max="10" width="12.28515625" style="91" bestFit="1" customWidth="1"/>
    <col min="11" max="11" width="14.5703125" style="311" bestFit="1" customWidth="1"/>
    <col min="12" max="13" width="13.85546875" style="91" bestFit="1" customWidth="1"/>
    <col min="14" max="15" width="13.5703125" style="91" bestFit="1" customWidth="1"/>
    <col min="16" max="16" width="13.85546875" style="91" bestFit="1" customWidth="1"/>
    <col min="17" max="17" width="13.7109375" style="91" customWidth="1"/>
    <col min="18" max="18" width="15.42578125" style="310" bestFit="1" customWidth="1"/>
    <col min="19" max="19" width="13.5703125" style="91" bestFit="1" customWidth="1"/>
    <col min="20" max="20" width="13" style="91" customWidth="1"/>
    <col min="21" max="21" width="14.5703125" style="91" bestFit="1" customWidth="1"/>
    <col min="22" max="23" width="2.140625" style="6" customWidth="1"/>
    <col min="24" max="24" width="15.7109375" style="6" bestFit="1" customWidth="1"/>
    <col min="25" max="25" width="17" style="6" bestFit="1" customWidth="1"/>
    <col min="26" max="16384" width="9.140625" style="6"/>
  </cols>
  <sheetData>
    <row r="1" spans="1:25">
      <c r="C1" s="1025" t="s">
        <v>61</v>
      </c>
      <c r="D1" s="1025"/>
      <c r="E1" s="1025"/>
      <c r="F1" s="1025"/>
      <c r="G1" s="1025"/>
      <c r="K1" s="1025" t="s">
        <v>61</v>
      </c>
      <c r="L1" s="1025"/>
      <c r="M1" s="1025"/>
      <c r="N1" s="1025"/>
      <c r="O1" s="1025"/>
      <c r="S1" s="1025" t="s">
        <v>61</v>
      </c>
      <c r="T1" s="1025"/>
      <c r="U1" s="1025"/>
      <c r="V1" s="1025"/>
      <c r="W1" s="1025"/>
    </row>
    <row r="2" spans="1:25">
      <c r="C2" s="1025" t="s">
        <v>1690</v>
      </c>
      <c r="D2" s="1025"/>
      <c r="E2" s="1025"/>
      <c r="F2" s="1025"/>
      <c r="G2" s="1025"/>
      <c r="K2" s="1025" t="s">
        <v>1690</v>
      </c>
      <c r="L2" s="1025"/>
      <c r="M2" s="1025"/>
      <c r="N2" s="1025"/>
      <c r="O2" s="1025"/>
      <c r="S2" s="1025" t="s">
        <v>1690</v>
      </c>
      <c r="T2" s="1025"/>
      <c r="U2" s="1025"/>
      <c r="V2" s="1025"/>
      <c r="W2" s="1025"/>
    </row>
    <row r="3" spans="1:25">
      <c r="C3" s="1025" t="s">
        <v>1696</v>
      </c>
      <c r="D3" s="1025"/>
      <c r="E3" s="1025"/>
      <c r="F3" s="1025"/>
      <c r="G3" s="1025"/>
      <c r="K3" s="1025" t="s">
        <v>1696</v>
      </c>
      <c r="L3" s="1025"/>
      <c r="M3" s="1025"/>
      <c r="N3" s="1025"/>
      <c r="O3" s="1025"/>
      <c r="S3" s="1025" t="s">
        <v>1696</v>
      </c>
      <c r="T3" s="1025"/>
      <c r="U3" s="1025"/>
      <c r="V3" s="1025"/>
      <c r="W3" s="1025"/>
    </row>
    <row r="4" spans="1:25">
      <c r="C4" s="1025" t="s">
        <v>2128</v>
      </c>
      <c r="D4" s="1025"/>
      <c r="E4" s="1025"/>
      <c r="F4" s="1025"/>
      <c r="G4" s="1025"/>
      <c r="K4" s="1025" t="s">
        <v>1367</v>
      </c>
      <c r="L4" s="1025"/>
      <c r="M4" s="1025"/>
      <c r="N4" s="1025"/>
      <c r="O4" s="1025"/>
      <c r="S4" s="1025" t="s">
        <v>1367</v>
      </c>
      <c r="T4" s="1025"/>
      <c r="U4" s="1025"/>
      <c r="V4" s="1025"/>
      <c r="W4" s="1025"/>
    </row>
    <row r="5" spans="1:25">
      <c r="C5" s="1025" t="s">
        <v>985</v>
      </c>
      <c r="D5" s="1025"/>
      <c r="E5" s="1025"/>
      <c r="F5" s="1025"/>
      <c r="G5" s="1025"/>
      <c r="K5" s="1025" t="s">
        <v>985</v>
      </c>
      <c r="L5" s="1025"/>
      <c r="M5" s="1025"/>
      <c r="N5" s="1025"/>
      <c r="O5" s="1025"/>
      <c r="S5" s="1025" t="s">
        <v>985</v>
      </c>
      <c r="T5" s="1025"/>
      <c r="U5" s="1025"/>
      <c r="V5" s="1025"/>
      <c r="W5" s="1025"/>
    </row>
    <row r="7" spans="1:25" s="35" customFormat="1">
      <c r="A7" s="35" t="s">
        <v>2025</v>
      </c>
      <c r="B7" s="35" t="s">
        <v>1731</v>
      </c>
      <c r="C7" s="35" t="s">
        <v>1729</v>
      </c>
      <c r="E7" s="35" t="s">
        <v>1730</v>
      </c>
      <c r="F7" s="35" t="s">
        <v>1733</v>
      </c>
      <c r="G7" s="35" t="s">
        <v>1734</v>
      </c>
      <c r="H7" s="35" t="s">
        <v>1743</v>
      </c>
      <c r="I7" s="312" t="s">
        <v>1744</v>
      </c>
      <c r="J7" s="312" t="s">
        <v>1745</v>
      </c>
      <c r="K7" s="313" t="s">
        <v>1746</v>
      </c>
      <c r="L7" s="312" t="s">
        <v>1747</v>
      </c>
      <c r="M7" s="312" t="s">
        <v>1748</v>
      </c>
      <c r="N7" s="312" t="s">
        <v>1749</v>
      </c>
      <c r="O7" s="312" t="s">
        <v>1750</v>
      </c>
      <c r="P7" s="312" t="s">
        <v>1751</v>
      </c>
      <c r="Q7" s="312" t="s">
        <v>1752</v>
      </c>
      <c r="R7" s="314" t="s">
        <v>2026</v>
      </c>
      <c r="S7" s="312" t="s">
        <v>2027</v>
      </c>
      <c r="T7" s="312" t="s">
        <v>2028</v>
      </c>
      <c r="U7" s="312" t="s">
        <v>2029</v>
      </c>
      <c r="X7" s="312" t="s">
        <v>2030</v>
      </c>
      <c r="Y7" s="312" t="s">
        <v>2031</v>
      </c>
    </row>
    <row r="8" spans="1:25" ht="31.5">
      <c r="A8" s="35">
        <v>1</v>
      </c>
      <c r="B8" s="309" t="s">
        <v>1367</v>
      </c>
      <c r="C8" s="315"/>
      <c r="D8" s="316"/>
      <c r="E8" s="317"/>
      <c r="F8" s="318" t="s">
        <v>121</v>
      </c>
      <c r="G8" s="318" t="s">
        <v>122</v>
      </c>
      <c r="H8" s="318" t="s">
        <v>123</v>
      </c>
    </row>
    <row r="9" spans="1:25">
      <c r="A9" s="35">
        <v>2</v>
      </c>
      <c r="B9" s="143" t="s">
        <v>986</v>
      </c>
      <c r="C9" s="141"/>
      <c r="D9" s="316"/>
      <c r="E9" s="319" t="s">
        <v>124</v>
      </c>
      <c r="F9" s="320">
        <f>+'State Allocation Formulas'!C21</f>
        <v>0.75280000000000002</v>
      </c>
      <c r="G9" s="321">
        <f>+'State Allocation Formulas'!C16</f>
        <v>0.74880000000000002</v>
      </c>
      <c r="H9" s="321">
        <f>+'State Allocation Formulas'!T21</f>
        <v>0.76549999999999996</v>
      </c>
    </row>
    <row r="10" spans="1:25">
      <c r="A10" s="35">
        <v>3</v>
      </c>
      <c r="B10" s="143"/>
      <c r="C10" s="141"/>
      <c r="D10" s="316"/>
      <c r="E10" s="319" t="s">
        <v>125</v>
      </c>
      <c r="F10" s="320">
        <f>+'State Allocation Formulas'!D21</f>
        <v>0.2472</v>
      </c>
      <c r="G10" s="321">
        <f>+'State Allocation Formulas'!D16</f>
        <v>0.25119999999999998</v>
      </c>
      <c r="H10" s="321">
        <f>+'State Allocation Formulas'!T22</f>
        <v>0.23450000000000004</v>
      </c>
      <c r="I10" s="322" t="s">
        <v>889</v>
      </c>
      <c r="J10" s="322" t="s">
        <v>62</v>
      </c>
      <c r="K10" s="323" t="s">
        <v>973</v>
      </c>
      <c r="L10" s="322" t="s">
        <v>1123</v>
      </c>
      <c r="M10" s="322" t="s">
        <v>64</v>
      </c>
      <c r="N10" s="322" t="s">
        <v>930</v>
      </c>
      <c r="O10" s="324" t="s">
        <v>974</v>
      </c>
      <c r="P10" s="324" t="s">
        <v>67</v>
      </c>
      <c r="Q10" s="164" t="s">
        <v>930</v>
      </c>
      <c r="R10" s="325" t="s">
        <v>1022</v>
      </c>
      <c r="S10" s="324" t="s">
        <v>1143</v>
      </c>
      <c r="T10" s="164" t="s">
        <v>1147</v>
      </c>
      <c r="U10" s="324" t="s">
        <v>930</v>
      </c>
      <c r="V10" s="164"/>
      <c r="X10" s="326" t="s">
        <v>59</v>
      </c>
      <c r="Y10" s="326" t="s">
        <v>930</v>
      </c>
    </row>
    <row r="11" spans="1:25">
      <c r="A11" s="327">
        <v>4</v>
      </c>
      <c r="B11" s="1037" t="s">
        <v>126</v>
      </c>
      <c r="C11" s="1038"/>
      <c r="D11" s="316"/>
      <c r="E11" s="1041" t="s">
        <v>127</v>
      </c>
      <c r="F11" s="1042"/>
      <c r="G11" s="1042"/>
      <c r="I11" s="328" t="s">
        <v>890</v>
      </c>
      <c r="J11" s="328" t="s">
        <v>58</v>
      </c>
      <c r="K11" s="329" t="s">
        <v>83</v>
      </c>
      <c r="L11" s="328" t="s">
        <v>1124</v>
      </c>
      <c r="M11" s="328" t="s">
        <v>65</v>
      </c>
      <c r="N11" s="328" t="s">
        <v>934</v>
      </c>
      <c r="O11" s="330" t="s">
        <v>66</v>
      </c>
      <c r="P11" s="330" t="s">
        <v>68</v>
      </c>
      <c r="Q11" s="172" t="s">
        <v>1145</v>
      </c>
      <c r="R11" s="331" t="s">
        <v>1023</v>
      </c>
      <c r="S11" s="330" t="s">
        <v>1119</v>
      </c>
      <c r="T11" s="172" t="s">
        <v>63</v>
      </c>
      <c r="U11" s="330" t="s">
        <v>969</v>
      </c>
      <c r="V11" s="172"/>
      <c r="X11" s="326" t="s">
        <v>1</v>
      </c>
      <c r="Y11" s="326" t="s">
        <v>931</v>
      </c>
    </row>
    <row r="12" spans="1:25">
      <c r="A12" s="35">
        <v>5</v>
      </c>
      <c r="B12" s="1039"/>
      <c r="C12" s="1040"/>
      <c r="D12" s="332"/>
      <c r="E12" s="1043" t="s">
        <v>128</v>
      </c>
      <c r="F12" s="1044"/>
      <c r="G12" s="1045"/>
      <c r="I12" s="328" t="s">
        <v>63</v>
      </c>
      <c r="J12" s="328" t="s">
        <v>63</v>
      </c>
      <c r="K12" s="329"/>
      <c r="L12" s="328" t="s">
        <v>1125</v>
      </c>
      <c r="M12" s="328" t="s">
        <v>63</v>
      </c>
      <c r="N12" s="328" t="s">
        <v>63</v>
      </c>
      <c r="O12" s="330"/>
      <c r="P12" s="330"/>
      <c r="Q12" s="172" t="s">
        <v>1146</v>
      </c>
      <c r="R12" s="331" t="s">
        <v>1024</v>
      </c>
      <c r="S12" s="330" t="s">
        <v>1120</v>
      </c>
      <c r="T12" s="172"/>
      <c r="U12" s="330"/>
      <c r="V12" s="172"/>
      <c r="Y12" s="8" t="s">
        <v>932</v>
      </c>
    </row>
    <row r="13" spans="1:25">
      <c r="A13" s="35">
        <v>6</v>
      </c>
      <c r="B13" s="1033" t="s">
        <v>129</v>
      </c>
      <c r="C13" s="1034"/>
      <c r="D13" s="333"/>
      <c r="E13" s="334" t="s">
        <v>130</v>
      </c>
      <c r="F13" s="335" t="s">
        <v>131</v>
      </c>
      <c r="G13" s="336" t="s">
        <v>132</v>
      </c>
      <c r="I13" s="337" t="s">
        <v>922</v>
      </c>
      <c r="J13" s="337" t="s">
        <v>923</v>
      </c>
      <c r="K13" s="338" t="s">
        <v>972</v>
      </c>
      <c r="L13" s="337" t="s">
        <v>1144</v>
      </c>
      <c r="M13" s="337" t="s">
        <v>924</v>
      </c>
      <c r="N13" s="337" t="s">
        <v>925</v>
      </c>
      <c r="O13" s="337" t="s">
        <v>1148</v>
      </c>
      <c r="P13" s="337" t="s">
        <v>926</v>
      </c>
      <c r="Q13" s="337" t="s">
        <v>927</v>
      </c>
      <c r="R13" s="339" t="s">
        <v>928</v>
      </c>
      <c r="S13" s="337" t="s">
        <v>929</v>
      </c>
      <c r="T13" s="337" t="s">
        <v>1149</v>
      </c>
      <c r="U13" s="337" t="s">
        <v>1150</v>
      </c>
      <c r="V13" s="340"/>
      <c r="W13" s="340"/>
    </row>
    <row r="14" spans="1:25">
      <c r="A14" s="327">
        <v>7</v>
      </c>
      <c r="B14" s="341" t="s">
        <v>133</v>
      </c>
      <c r="C14" s="342"/>
      <c r="D14" s="343"/>
      <c r="E14" s="143"/>
      <c r="F14" s="141"/>
      <c r="G14" s="344"/>
    </row>
    <row r="15" spans="1:25">
      <c r="A15" s="35">
        <v>8</v>
      </c>
      <c r="B15" s="345" t="s">
        <v>134</v>
      </c>
      <c r="C15" s="346" t="s">
        <v>135</v>
      </c>
      <c r="D15" s="347"/>
      <c r="E15" s="348">
        <v>100892687.81</v>
      </c>
      <c r="F15" s="349">
        <v>0</v>
      </c>
      <c r="G15" s="350">
        <f>SUM(E15:F15)</f>
        <v>100892687.81</v>
      </c>
      <c r="I15" s="91">
        <f>+'Weather Normalization'!F12+'Weather Normalization'!F18+'Weather Normalization'!F19</f>
        <v>11337843.88446</v>
      </c>
      <c r="K15" s="904">
        <f>+'Restate Revenues'!M28</f>
        <v>-8383168.3755000383</v>
      </c>
      <c r="U15" s="91">
        <f>'Revenue Adjustment'!G21</f>
        <v>2520322</v>
      </c>
      <c r="X15" s="351">
        <f>SUM(I15:W15)</f>
        <v>5474997.5089599621</v>
      </c>
      <c r="Y15" s="351">
        <f>+G15+X15</f>
        <v>106367685.31895997</v>
      </c>
    </row>
    <row r="16" spans="1:25">
      <c r="A16" s="35">
        <v>9</v>
      </c>
      <c r="B16" s="345" t="s">
        <v>136</v>
      </c>
      <c r="C16" s="346" t="s">
        <v>137</v>
      </c>
      <c r="D16" s="347"/>
      <c r="E16" s="348">
        <v>82010145.060000002</v>
      </c>
      <c r="F16" s="349">
        <v>0</v>
      </c>
      <c r="G16" s="350">
        <f>SUM(E16:F16)</f>
        <v>82010145.060000002</v>
      </c>
      <c r="I16" s="91">
        <f>+'Weather Normalization'!F15</f>
        <v>4134187.9</v>
      </c>
      <c r="K16" s="904">
        <f>+'Restate Revenues'!M29</f>
        <v>-346008.79999999795</v>
      </c>
      <c r="U16" s="901">
        <f>'Revenue Adjustment'!G22</f>
        <v>766252</v>
      </c>
      <c r="X16" s="351">
        <f>SUM(I16:W16)</f>
        <v>4554431.1000000015</v>
      </c>
      <c r="Y16" s="351">
        <f>+G16+X16</f>
        <v>86564576.159999996</v>
      </c>
    </row>
    <row r="17" spans="1:25">
      <c r="A17" s="327">
        <v>10</v>
      </c>
      <c r="B17" s="341" t="s">
        <v>138</v>
      </c>
      <c r="C17" s="342"/>
      <c r="D17" s="352"/>
      <c r="E17" s="353">
        <f t="shared" ref="E17:T17" si="0">SUM(E15:E16)</f>
        <v>182902832.87</v>
      </c>
      <c r="F17" s="354">
        <f t="shared" si="0"/>
        <v>0</v>
      </c>
      <c r="G17" s="355">
        <f t="shared" si="0"/>
        <v>182902832.87</v>
      </c>
      <c r="I17" s="355">
        <f t="shared" si="0"/>
        <v>15472031.784460001</v>
      </c>
      <c r="J17" s="355">
        <f t="shared" si="0"/>
        <v>0</v>
      </c>
      <c r="K17" s="905">
        <f>SUM(K15:K16)</f>
        <v>-8729177.1755000353</v>
      </c>
      <c r="L17" s="355">
        <f t="shared" si="0"/>
        <v>0</v>
      </c>
      <c r="M17" s="355">
        <f t="shared" si="0"/>
        <v>0</v>
      </c>
      <c r="N17" s="355">
        <f t="shared" si="0"/>
        <v>0</v>
      </c>
      <c r="O17" s="355">
        <f t="shared" si="0"/>
        <v>0</v>
      </c>
      <c r="P17" s="355">
        <f t="shared" si="0"/>
        <v>0</v>
      </c>
      <c r="Q17" s="355">
        <f t="shared" ref="Q17" si="1">SUM(Q15:Q16)</f>
        <v>0</v>
      </c>
      <c r="R17" s="357">
        <f t="shared" si="0"/>
        <v>0</v>
      </c>
      <c r="S17" s="355">
        <f t="shared" si="0"/>
        <v>0</v>
      </c>
      <c r="T17" s="355">
        <f t="shared" si="0"/>
        <v>0</v>
      </c>
      <c r="U17" s="355">
        <f>SUM(U15:U16)</f>
        <v>3286574</v>
      </c>
      <c r="V17" s="355">
        <f>SUM(V15:V16)</f>
        <v>0</v>
      </c>
      <c r="W17" s="355">
        <f>SUM(W15:W16)</f>
        <v>0</v>
      </c>
      <c r="X17" s="355">
        <f>SUM(X15:X16)</f>
        <v>10029428.608959964</v>
      </c>
      <c r="Y17" s="355">
        <f>SUM(Y15:Y16)</f>
        <v>192932261.47895998</v>
      </c>
    </row>
    <row r="18" spans="1:25">
      <c r="A18" s="35">
        <v>11</v>
      </c>
      <c r="B18" s="358"/>
      <c r="C18" s="342"/>
      <c r="D18" s="347"/>
      <c r="E18" s="348"/>
      <c r="F18" s="359"/>
      <c r="G18" s="350"/>
      <c r="K18" s="904"/>
    </row>
    <row r="19" spans="1:25">
      <c r="A19" s="327">
        <v>12</v>
      </c>
      <c r="B19" s="341" t="s">
        <v>139</v>
      </c>
      <c r="C19" s="342"/>
      <c r="D19" s="347"/>
      <c r="E19" s="348"/>
      <c r="F19" s="359"/>
      <c r="G19" s="350"/>
    </row>
    <row r="20" spans="1:25">
      <c r="A20" s="35">
        <v>13</v>
      </c>
      <c r="B20" s="345" t="s">
        <v>140</v>
      </c>
      <c r="C20" s="346" t="s">
        <v>141</v>
      </c>
      <c r="D20" s="347"/>
      <c r="E20" s="348">
        <v>810183.02</v>
      </c>
      <c r="F20" s="359">
        <v>0.01</v>
      </c>
      <c r="G20" s="350">
        <f t="shared" ref="G20:G25" si="2">SUM(E20:F20)</f>
        <v>810183.03</v>
      </c>
      <c r="X20" s="351">
        <f t="shared" ref="X20:X25" si="3">SUM(I20:W20)</f>
        <v>0</v>
      </c>
      <c r="Y20" s="351">
        <f t="shared" ref="Y20:Y25" si="4">+G20+X20</f>
        <v>810183.03</v>
      </c>
    </row>
    <row r="21" spans="1:25">
      <c r="A21" s="327">
        <v>14</v>
      </c>
      <c r="B21" s="360" t="s">
        <v>142</v>
      </c>
      <c r="C21" s="346" t="s">
        <v>143</v>
      </c>
      <c r="D21" s="347"/>
      <c r="E21" s="361">
        <v>21216454.399999999</v>
      </c>
      <c r="F21" s="349">
        <v>0</v>
      </c>
      <c r="G21" s="362">
        <f t="shared" si="2"/>
        <v>21216454.399999999</v>
      </c>
      <c r="O21" s="91">
        <f>+'Pro Forma Plant Additions'!E14</f>
        <v>199943.9</v>
      </c>
      <c r="U21" s="901">
        <f>+'Revenue Adjustment'!G23</f>
        <v>1933517</v>
      </c>
      <c r="X21" s="351">
        <f t="shared" si="3"/>
        <v>2133460.9</v>
      </c>
      <c r="Y21" s="351">
        <f t="shared" si="4"/>
        <v>23349915.299999997</v>
      </c>
    </row>
    <row r="22" spans="1:25">
      <c r="A22" s="35">
        <v>15</v>
      </c>
      <c r="B22" s="360" t="s">
        <v>144</v>
      </c>
      <c r="C22" s="346" t="s">
        <v>145</v>
      </c>
      <c r="D22" s="347"/>
      <c r="E22" s="363">
        <v>100</v>
      </c>
      <c r="F22" s="359">
        <v>0</v>
      </c>
      <c r="G22" s="350">
        <f t="shared" si="2"/>
        <v>100</v>
      </c>
      <c r="X22" s="351">
        <f t="shared" si="3"/>
        <v>0</v>
      </c>
      <c r="Y22" s="351">
        <f t="shared" si="4"/>
        <v>100</v>
      </c>
    </row>
    <row r="23" spans="1:25">
      <c r="A23" s="327">
        <v>16</v>
      </c>
      <c r="B23" s="360" t="s">
        <v>146</v>
      </c>
      <c r="C23" s="346" t="s">
        <v>147</v>
      </c>
      <c r="D23" s="347"/>
      <c r="E23" s="363">
        <v>0</v>
      </c>
      <c r="F23" s="359">
        <v>91471.08</v>
      </c>
      <c r="G23" s="350">
        <f t="shared" si="2"/>
        <v>91471.08</v>
      </c>
      <c r="X23" s="351">
        <f t="shared" si="3"/>
        <v>0</v>
      </c>
      <c r="Y23" s="351">
        <f t="shared" si="4"/>
        <v>91471.08</v>
      </c>
    </row>
    <row r="24" spans="1:25">
      <c r="A24" s="35">
        <v>17</v>
      </c>
      <c r="B24" s="360" t="s">
        <v>148</v>
      </c>
      <c r="C24" s="346" t="s">
        <v>149</v>
      </c>
      <c r="D24" s="347"/>
      <c r="E24" s="348">
        <v>109620.85</v>
      </c>
      <c r="F24" s="359">
        <v>0</v>
      </c>
      <c r="G24" s="350">
        <f t="shared" si="2"/>
        <v>109620.85</v>
      </c>
      <c r="S24" s="91">
        <f>'Miscellaneous Charges'!M16</f>
        <v>-101645</v>
      </c>
      <c r="X24" s="351">
        <f t="shared" si="3"/>
        <v>-101645</v>
      </c>
      <c r="Y24" s="351">
        <f t="shared" si="4"/>
        <v>7975.8500000000058</v>
      </c>
    </row>
    <row r="25" spans="1:25">
      <c r="A25" s="327">
        <v>18</v>
      </c>
      <c r="B25" s="345" t="s">
        <v>150</v>
      </c>
      <c r="C25" s="346" t="s">
        <v>151</v>
      </c>
      <c r="D25" s="364"/>
      <c r="E25" s="363">
        <v>0</v>
      </c>
      <c r="F25" s="349">
        <v>0</v>
      </c>
      <c r="G25" s="365">
        <f t="shared" si="2"/>
        <v>0</v>
      </c>
      <c r="X25" s="351">
        <f t="shared" si="3"/>
        <v>0</v>
      </c>
      <c r="Y25" s="351">
        <f t="shared" si="4"/>
        <v>0</v>
      </c>
    </row>
    <row r="26" spans="1:25">
      <c r="A26" s="35">
        <v>19</v>
      </c>
      <c r="B26" s="341" t="s">
        <v>152</v>
      </c>
      <c r="C26" s="342"/>
      <c r="D26" s="352"/>
      <c r="E26" s="353">
        <f t="shared" ref="E26:G26" si="5">SUM(E20:E25)</f>
        <v>22136358.27</v>
      </c>
      <c r="F26" s="366">
        <f t="shared" si="5"/>
        <v>91471.09</v>
      </c>
      <c r="G26" s="355">
        <f t="shared" si="5"/>
        <v>22227829.359999999</v>
      </c>
      <c r="I26" s="355">
        <f t="shared" ref="I26:S26" si="6">SUM(I20:I25)</f>
        <v>0</v>
      </c>
      <c r="J26" s="355">
        <f t="shared" si="6"/>
        <v>0</v>
      </c>
      <c r="K26" s="356">
        <f>SUM(K20:K25)</f>
        <v>0</v>
      </c>
      <c r="L26" s="355">
        <f>SUM(L20:L25)</f>
        <v>0</v>
      </c>
      <c r="M26" s="355">
        <f t="shared" si="6"/>
        <v>0</v>
      </c>
      <c r="N26" s="355">
        <f t="shared" si="6"/>
        <v>0</v>
      </c>
      <c r="O26" s="355">
        <f t="shared" si="6"/>
        <v>199943.9</v>
      </c>
      <c r="P26" s="355">
        <f t="shared" si="6"/>
        <v>0</v>
      </c>
      <c r="Q26" s="355">
        <f t="shared" ref="Q26" si="7">SUM(Q20:Q25)</f>
        <v>0</v>
      </c>
      <c r="R26" s="357">
        <f>SUM(R20:R25)</f>
        <v>0</v>
      </c>
      <c r="S26" s="355">
        <f t="shared" si="6"/>
        <v>-101645</v>
      </c>
      <c r="T26" s="355">
        <f t="shared" ref="T26" si="8">SUM(T20:T25)</f>
        <v>0</v>
      </c>
      <c r="U26" s="355">
        <f>SUM(U20:U25)</f>
        <v>1933517</v>
      </c>
      <c r="V26" s="355">
        <f>SUM(V20:V25)</f>
        <v>0</v>
      </c>
      <c r="W26" s="355">
        <f>SUM(W20:W25)</f>
        <v>0</v>
      </c>
      <c r="X26" s="355">
        <f>SUM(X20:X25)</f>
        <v>2031815.9</v>
      </c>
      <c r="Y26" s="355">
        <f>SUM(Y20:Y25)</f>
        <v>24259645.259999998</v>
      </c>
    </row>
    <row r="27" spans="1:25" ht="16.5" thickBot="1">
      <c r="A27" s="327">
        <v>20</v>
      </c>
      <c r="B27" s="341" t="s">
        <v>153</v>
      </c>
      <c r="C27" s="342"/>
      <c r="D27" s="367"/>
      <c r="E27" s="368">
        <f t="shared" ref="E27:G27" si="9">E17+E26</f>
        <v>205039191.14000002</v>
      </c>
      <c r="F27" s="369">
        <f t="shared" si="9"/>
        <v>91471.09</v>
      </c>
      <c r="G27" s="370">
        <f t="shared" si="9"/>
        <v>205130662.23000002</v>
      </c>
      <c r="I27" s="370">
        <f t="shared" ref="I27:S27" si="10">I17+I26</f>
        <v>15472031.784460001</v>
      </c>
      <c r="J27" s="370">
        <f t="shared" si="10"/>
        <v>0</v>
      </c>
      <c r="K27" s="371">
        <f>K17+K26</f>
        <v>-8729177.1755000353</v>
      </c>
      <c r="L27" s="370">
        <f>L17+L26</f>
        <v>0</v>
      </c>
      <c r="M27" s="370">
        <f t="shared" si="10"/>
        <v>0</v>
      </c>
      <c r="N27" s="370">
        <f t="shared" si="10"/>
        <v>0</v>
      </c>
      <c r="O27" s="370">
        <f t="shared" si="10"/>
        <v>199943.9</v>
      </c>
      <c r="P27" s="370">
        <f t="shared" si="10"/>
        <v>0</v>
      </c>
      <c r="Q27" s="370">
        <f t="shared" ref="Q27" si="11">Q17+Q26</f>
        <v>0</v>
      </c>
      <c r="R27" s="372">
        <f>R17+R26</f>
        <v>0</v>
      </c>
      <c r="S27" s="370">
        <f t="shared" si="10"/>
        <v>-101645</v>
      </c>
      <c r="T27" s="370">
        <f t="shared" ref="T27" si="12">T17+T26</f>
        <v>0</v>
      </c>
      <c r="U27" s="370">
        <f>U17+U26</f>
        <v>5220091</v>
      </c>
      <c r="V27" s="370">
        <f>V17+V26</f>
        <v>0</v>
      </c>
      <c r="W27" s="370">
        <f>W17+W26</f>
        <v>0</v>
      </c>
      <c r="X27" s="370">
        <f>X17+X26</f>
        <v>12061244.508959964</v>
      </c>
      <c r="Y27" s="370">
        <f>Y17+Y26</f>
        <v>217191906.73895997</v>
      </c>
    </row>
    <row r="28" spans="1:25" ht="16.5" thickTop="1">
      <c r="A28" s="35">
        <v>21</v>
      </c>
      <c r="B28" s="373" t="s">
        <v>57</v>
      </c>
      <c r="C28" s="342" t="s">
        <v>57</v>
      </c>
      <c r="D28" s="347"/>
      <c r="E28" s="348"/>
      <c r="F28" s="359"/>
      <c r="G28" s="350"/>
    </row>
    <row r="29" spans="1:25">
      <c r="A29" s="327">
        <v>22</v>
      </c>
      <c r="B29" s="341" t="s">
        <v>154</v>
      </c>
      <c r="C29" s="342"/>
      <c r="D29" s="347"/>
      <c r="E29" s="348"/>
      <c r="F29" s="359"/>
      <c r="G29" s="350"/>
    </row>
    <row r="30" spans="1:25">
      <c r="A30" s="35">
        <v>23</v>
      </c>
      <c r="B30" s="345" t="s">
        <v>155</v>
      </c>
      <c r="C30" s="346" t="s">
        <v>156</v>
      </c>
      <c r="D30" s="347"/>
      <c r="E30" s="348">
        <v>109308158.06</v>
      </c>
      <c r="F30" s="349">
        <v>0</v>
      </c>
      <c r="G30" s="350">
        <f t="shared" ref="G30:G35" si="13">SUM(E30:F30)</f>
        <v>109308158.06</v>
      </c>
      <c r="I30" s="91">
        <f>+'Weather Normalization'!F37</f>
        <v>10051636.126770001</v>
      </c>
      <c r="K30" s="311">
        <f>'Restate Revenues'!M48</f>
        <v>-6033097.8530900329</v>
      </c>
      <c r="X30" s="351">
        <f t="shared" ref="X30:X35" si="14">SUM(I30:W30)</f>
        <v>4018538.273679968</v>
      </c>
      <c r="Y30" s="351">
        <f t="shared" ref="Y30:Y35" si="15">+G30+X30</f>
        <v>113326696.33367997</v>
      </c>
    </row>
    <row r="31" spans="1:25">
      <c r="A31" s="327">
        <v>24</v>
      </c>
      <c r="B31" s="345" t="s">
        <v>157</v>
      </c>
      <c r="C31" s="346" t="s">
        <v>158</v>
      </c>
      <c r="D31" s="364"/>
      <c r="E31" s="363">
        <v>0</v>
      </c>
      <c r="F31" s="349">
        <v>0</v>
      </c>
      <c r="G31" s="365">
        <f t="shared" si="13"/>
        <v>0</v>
      </c>
      <c r="X31" s="351">
        <f t="shared" si="14"/>
        <v>0</v>
      </c>
      <c r="Y31" s="351">
        <f t="shared" si="15"/>
        <v>0</v>
      </c>
    </row>
    <row r="32" spans="1:25">
      <c r="A32" s="35">
        <v>25</v>
      </c>
      <c r="B32" s="345" t="s">
        <v>159</v>
      </c>
      <c r="C32" s="346" t="s">
        <v>160</v>
      </c>
      <c r="D32" s="347"/>
      <c r="E32" s="348">
        <v>-5591759.0499999998</v>
      </c>
      <c r="F32" s="349">
        <v>0</v>
      </c>
      <c r="G32" s="350">
        <f t="shared" si="13"/>
        <v>-5591759.0499999998</v>
      </c>
      <c r="X32" s="351">
        <f t="shared" si="14"/>
        <v>0</v>
      </c>
      <c r="Y32" s="351">
        <f t="shared" si="15"/>
        <v>-5591759.0499999998</v>
      </c>
    </row>
    <row r="33" spans="1:25">
      <c r="A33" s="327">
        <v>26</v>
      </c>
      <c r="B33" s="345" t="s">
        <v>161</v>
      </c>
      <c r="C33" s="346" t="s">
        <v>162</v>
      </c>
      <c r="D33" s="347"/>
      <c r="E33" s="348">
        <v>4086793.55</v>
      </c>
      <c r="F33" s="349">
        <v>0</v>
      </c>
      <c r="G33" s="350">
        <f t="shared" si="13"/>
        <v>4086793.55</v>
      </c>
      <c r="X33" s="351">
        <f t="shared" si="14"/>
        <v>0</v>
      </c>
      <c r="Y33" s="351">
        <f t="shared" si="15"/>
        <v>4086793.55</v>
      </c>
    </row>
    <row r="34" spans="1:25">
      <c r="A34" s="35">
        <v>27</v>
      </c>
      <c r="B34" s="345" t="s">
        <v>163</v>
      </c>
      <c r="C34" s="346" t="s">
        <v>164</v>
      </c>
      <c r="D34" s="347"/>
      <c r="E34" s="348">
        <v>-4183654.74</v>
      </c>
      <c r="F34" s="349">
        <v>0</v>
      </c>
      <c r="G34" s="350">
        <f t="shared" si="13"/>
        <v>-4183654.74</v>
      </c>
      <c r="X34" s="351">
        <f t="shared" si="14"/>
        <v>0</v>
      </c>
      <c r="Y34" s="351">
        <f t="shared" si="15"/>
        <v>-4183654.74</v>
      </c>
    </row>
    <row r="35" spans="1:25">
      <c r="A35" s="327">
        <v>28</v>
      </c>
      <c r="B35" s="345" t="s">
        <v>165</v>
      </c>
      <c r="C35" s="346" t="s">
        <v>166</v>
      </c>
      <c r="D35" s="347"/>
      <c r="E35" s="348">
        <v>-25673.3</v>
      </c>
      <c r="F35" s="349">
        <v>0</v>
      </c>
      <c r="G35" s="350">
        <f t="shared" si="13"/>
        <v>-25673.3</v>
      </c>
      <c r="X35" s="351">
        <f t="shared" si="14"/>
        <v>0</v>
      </c>
      <c r="Y35" s="351">
        <f t="shared" si="15"/>
        <v>-25673.3</v>
      </c>
    </row>
    <row r="36" spans="1:25">
      <c r="A36" s="35">
        <v>29</v>
      </c>
      <c r="B36" s="341" t="s">
        <v>167</v>
      </c>
      <c r="C36" s="342"/>
      <c r="D36" s="352"/>
      <c r="E36" s="353">
        <f t="shared" ref="E36:T36" si="16">SUM(E30:E35)</f>
        <v>103593864.52000001</v>
      </c>
      <c r="F36" s="354">
        <f t="shared" si="16"/>
        <v>0</v>
      </c>
      <c r="G36" s="355">
        <f t="shared" si="16"/>
        <v>103593864.52000001</v>
      </c>
      <c r="I36" s="355">
        <f t="shared" si="16"/>
        <v>10051636.126770001</v>
      </c>
      <c r="J36" s="355">
        <f t="shared" si="16"/>
        <v>0</v>
      </c>
      <c r="K36" s="356">
        <f>SUM(K30:K35)</f>
        <v>-6033097.8530900329</v>
      </c>
      <c r="L36" s="355">
        <f t="shared" si="16"/>
        <v>0</v>
      </c>
      <c r="M36" s="355">
        <f t="shared" si="16"/>
        <v>0</v>
      </c>
      <c r="N36" s="355">
        <f t="shared" si="16"/>
        <v>0</v>
      </c>
      <c r="O36" s="355">
        <f t="shared" si="16"/>
        <v>0</v>
      </c>
      <c r="P36" s="355">
        <f t="shared" si="16"/>
        <v>0</v>
      </c>
      <c r="Q36" s="355">
        <f t="shared" ref="Q36" si="17">SUM(Q30:Q35)</f>
        <v>0</v>
      </c>
      <c r="R36" s="357">
        <f t="shared" si="16"/>
        <v>0</v>
      </c>
      <c r="S36" s="355">
        <f t="shared" si="16"/>
        <v>0</v>
      </c>
      <c r="T36" s="355">
        <f t="shared" si="16"/>
        <v>0</v>
      </c>
      <c r="U36" s="355">
        <f>SUM(U30:U35)</f>
        <v>0</v>
      </c>
      <c r="V36" s="355">
        <f>SUM(V30:V35)</f>
        <v>0</v>
      </c>
      <c r="W36" s="355">
        <f>SUM(W30:W35)</f>
        <v>0</v>
      </c>
      <c r="X36" s="355">
        <f>SUM(X30:X35)</f>
        <v>4018538.273679968</v>
      </c>
      <c r="Y36" s="355">
        <f>SUM(Y30:Y35)</f>
        <v>107612402.79367998</v>
      </c>
    </row>
    <row r="37" spans="1:25">
      <c r="A37" s="327">
        <v>30</v>
      </c>
      <c r="B37" s="373"/>
      <c r="C37" s="342"/>
      <c r="D37" s="347"/>
      <c r="E37" s="348"/>
      <c r="F37" s="359"/>
      <c r="G37" s="350"/>
    </row>
    <row r="38" spans="1:25">
      <c r="A38" s="35">
        <v>31</v>
      </c>
      <c r="B38" s="341" t="s">
        <v>168</v>
      </c>
      <c r="C38" s="342"/>
      <c r="D38" s="347"/>
      <c r="E38" s="348"/>
      <c r="F38" s="359"/>
      <c r="G38" s="350"/>
    </row>
    <row r="39" spans="1:25">
      <c r="A39" s="327">
        <v>32</v>
      </c>
      <c r="B39" s="345" t="s">
        <v>169</v>
      </c>
      <c r="C39" s="346" t="s">
        <v>170</v>
      </c>
      <c r="D39" s="364"/>
      <c r="E39" s="363">
        <v>0</v>
      </c>
      <c r="F39" s="349">
        <v>0</v>
      </c>
      <c r="G39" s="365">
        <v>0</v>
      </c>
      <c r="X39" s="351">
        <f t="shared" ref="X39:X49" si="18">SUM(I39:W39)</f>
        <v>0</v>
      </c>
      <c r="Y39" s="351">
        <f t="shared" ref="Y39:Y49" si="19">+G39+X39</f>
        <v>0</v>
      </c>
    </row>
    <row r="40" spans="1:25">
      <c r="A40" s="35">
        <v>33</v>
      </c>
      <c r="B40" s="345" t="s">
        <v>171</v>
      </c>
      <c r="C40" s="346" t="s">
        <v>172</v>
      </c>
      <c r="D40" s="364"/>
      <c r="E40" s="363">
        <v>0</v>
      </c>
      <c r="F40" s="349">
        <v>0</v>
      </c>
      <c r="G40" s="365">
        <v>0</v>
      </c>
      <c r="X40" s="351">
        <f t="shared" si="18"/>
        <v>0</v>
      </c>
      <c r="Y40" s="351">
        <f t="shared" si="19"/>
        <v>0</v>
      </c>
    </row>
    <row r="41" spans="1:25">
      <c r="A41" s="327">
        <v>34</v>
      </c>
      <c r="B41" s="345" t="s">
        <v>173</v>
      </c>
      <c r="C41" s="346" t="s">
        <v>174</v>
      </c>
      <c r="D41" s="364"/>
      <c r="E41" s="363">
        <v>0</v>
      </c>
      <c r="F41" s="349">
        <v>0</v>
      </c>
      <c r="G41" s="365">
        <v>0</v>
      </c>
      <c r="X41" s="351">
        <f t="shared" si="18"/>
        <v>0</v>
      </c>
      <c r="Y41" s="351">
        <f t="shared" si="19"/>
        <v>0</v>
      </c>
    </row>
    <row r="42" spans="1:25">
      <c r="A42" s="35">
        <v>35</v>
      </c>
      <c r="B42" s="345" t="s">
        <v>175</v>
      </c>
      <c r="C42" s="346" t="s">
        <v>176</v>
      </c>
      <c r="D42" s="364"/>
      <c r="E42" s="363">
        <v>0</v>
      </c>
      <c r="F42" s="349">
        <v>0</v>
      </c>
      <c r="G42" s="365">
        <v>0</v>
      </c>
      <c r="X42" s="351">
        <f t="shared" si="18"/>
        <v>0</v>
      </c>
      <c r="Y42" s="351">
        <f t="shared" si="19"/>
        <v>0</v>
      </c>
    </row>
    <row r="43" spans="1:25">
      <c r="A43" s="327">
        <v>36</v>
      </c>
      <c r="B43" s="345" t="s">
        <v>177</v>
      </c>
      <c r="C43" s="346" t="s">
        <v>178</v>
      </c>
      <c r="D43" s="364"/>
      <c r="E43" s="363">
        <v>0</v>
      </c>
      <c r="F43" s="349">
        <v>0</v>
      </c>
      <c r="G43" s="365">
        <v>0</v>
      </c>
      <c r="X43" s="351">
        <f t="shared" si="18"/>
        <v>0</v>
      </c>
      <c r="Y43" s="351">
        <f t="shared" si="19"/>
        <v>0</v>
      </c>
    </row>
    <row r="44" spans="1:25">
      <c r="A44" s="35">
        <v>37</v>
      </c>
      <c r="B44" s="345" t="s">
        <v>179</v>
      </c>
      <c r="C44" s="346" t="s">
        <v>180</v>
      </c>
      <c r="D44" s="364"/>
      <c r="E44" s="363">
        <v>0</v>
      </c>
      <c r="F44" s="349">
        <v>0</v>
      </c>
      <c r="G44" s="365">
        <v>0</v>
      </c>
      <c r="X44" s="351">
        <f t="shared" si="18"/>
        <v>0</v>
      </c>
      <c r="Y44" s="351">
        <f t="shared" si="19"/>
        <v>0</v>
      </c>
    </row>
    <row r="45" spans="1:25">
      <c r="A45" s="327">
        <v>38</v>
      </c>
      <c r="B45" s="345" t="s">
        <v>181</v>
      </c>
      <c r="C45" s="346" t="s">
        <v>182</v>
      </c>
      <c r="D45" s="364"/>
      <c r="E45" s="374">
        <v>0</v>
      </c>
      <c r="F45" s="349">
        <v>0</v>
      </c>
      <c r="G45" s="365">
        <v>0</v>
      </c>
      <c r="X45" s="351">
        <f t="shared" si="18"/>
        <v>0</v>
      </c>
      <c r="Y45" s="351">
        <f t="shared" si="19"/>
        <v>0</v>
      </c>
    </row>
    <row r="46" spans="1:25">
      <c r="A46" s="35">
        <v>39</v>
      </c>
      <c r="B46" s="345" t="s">
        <v>183</v>
      </c>
      <c r="C46" s="346" t="s">
        <v>184</v>
      </c>
      <c r="D46" s="364"/>
      <c r="E46" s="363">
        <v>0</v>
      </c>
      <c r="F46" s="349">
        <v>0</v>
      </c>
      <c r="G46" s="365">
        <v>0</v>
      </c>
      <c r="X46" s="351">
        <f t="shared" si="18"/>
        <v>0</v>
      </c>
      <c r="Y46" s="351">
        <f t="shared" si="19"/>
        <v>0</v>
      </c>
    </row>
    <row r="47" spans="1:25">
      <c r="A47" s="327">
        <v>40</v>
      </c>
      <c r="B47" s="345" t="s">
        <v>185</v>
      </c>
      <c r="C47" s="346" t="s">
        <v>186</v>
      </c>
      <c r="D47" s="364"/>
      <c r="E47" s="363">
        <v>0</v>
      </c>
      <c r="F47" s="349">
        <v>0</v>
      </c>
      <c r="G47" s="365">
        <v>0</v>
      </c>
      <c r="X47" s="351">
        <f t="shared" si="18"/>
        <v>0</v>
      </c>
      <c r="Y47" s="351">
        <f t="shared" si="19"/>
        <v>0</v>
      </c>
    </row>
    <row r="48" spans="1:25">
      <c r="A48" s="35">
        <v>41</v>
      </c>
      <c r="B48" s="345" t="s">
        <v>187</v>
      </c>
      <c r="C48" s="346" t="s">
        <v>188</v>
      </c>
      <c r="D48" s="364"/>
      <c r="E48" s="363">
        <v>0</v>
      </c>
      <c r="F48" s="349">
        <v>0</v>
      </c>
      <c r="G48" s="365">
        <v>0</v>
      </c>
      <c r="X48" s="351">
        <f t="shared" si="18"/>
        <v>0</v>
      </c>
      <c r="Y48" s="351">
        <f t="shared" si="19"/>
        <v>0</v>
      </c>
    </row>
    <row r="49" spans="1:25">
      <c r="A49" s="327">
        <v>42</v>
      </c>
      <c r="B49" s="345" t="s">
        <v>189</v>
      </c>
      <c r="C49" s="346" t="s">
        <v>190</v>
      </c>
      <c r="D49" s="364"/>
      <c r="E49" s="363">
        <v>0</v>
      </c>
      <c r="F49" s="349">
        <v>0</v>
      </c>
      <c r="G49" s="365">
        <v>0</v>
      </c>
      <c r="X49" s="351">
        <f t="shared" si="18"/>
        <v>0</v>
      </c>
      <c r="Y49" s="351">
        <f t="shared" si="19"/>
        <v>0</v>
      </c>
    </row>
    <row r="50" spans="1:25">
      <c r="A50" s="35">
        <v>43</v>
      </c>
      <c r="B50" s="341" t="s">
        <v>191</v>
      </c>
      <c r="C50" s="375"/>
      <c r="D50" s="376"/>
      <c r="E50" s="377">
        <f t="shared" ref="E50:G50" si="20">SUM(E39:E49)</f>
        <v>0</v>
      </c>
      <c r="F50" s="354">
        <f t="shared" si="20"/>
        <v>0</v>
      </c>
      <c r="G50" s="356">
        <f t="shared" si="20"/>
        <v>0</v>
      </c>
      <c r="I50" s="355">
        <f t="shared" ref="I50:S50" si="21">SUM(I39:I49)</f>
        <v>0</v>
      </c>
      <c r="J50" s="355">
        <f t="shared" si="21"/>
        <v>0</v>
      </c>
      <c r="K50" s="356">
        <f>SUM(K39:K49)</f>
        <v>0</v>
      </c>
      <c r="L50" s="355">
        <f t="shared" si="21"/>
        <v>0</v>
      </c>
      <c r="M50" s="355">
        <f t="shared" si="21"/>
        <v>0</v>
      </c>
      <c r="N50" s="355">
        <f t="shared" si="21"/>
        <v>0</v>
      </c>
      <c r="O50" s="355">
        <f t="shared" si="21"/>
        <v>0</v>
      </c>
      <c r="P50" s="355">
        <f t="shared" si="21"/>
        <v>0</v>
      </c>
      <c r="Q50" s="355">
        <f t="shared" ref="Q50" si="22">SUM(Q39:Q49)</f>
        <v>0</v>
      </c>
      <c r="R50" s="357">
        <f t="shared" si="21"/>
        <v>0</v>
      </c>
      <c r="S50" s="355">
        <f t="shared" si="21"/>
        <v>0</v>
      </c>
      <c r="T50" s="355">
        <f t="shared" ref="T50" si="23">SUM(T39:T49)</f>
        <v>0</v>
      </c>
      <c r="U50" s="355">
        <f>SUM(U39:U49)</f>
        <v>0</v>
      </c>
      <c r="V50" s="356">
        <f>SUM(V39:V49)</f>
        <v>0</v>
      </c>
      <c r="W50" s="356">
        <f>SUM(W39:W49)</f>
        <v>0</v>
      </c>
      <c r="X50" s="356">
        <f>SUM(X39:X49)</f>
        <v>0</v>
      </c>
      <c r="Y50" s="356">
        <f>SUM(Y39:Y49)</f>
        <v>0</v>
      </c>
    </row>
    <row r="51" spans="1:25">
      <c r="A51" s="327">
        <v>44</v>
      </c>
      <c r="B51" s="373"/>
      <c r="C51" s="342"/>
      <c r="D51" s="347"/>
      <c r="E51" s="348"/>
      <c r="F51" s="359"/>
      <c r="G51" s="350"/>
      <c r="I51" s="350"/>
      <c r="J51" s="350"/>
      <c r="K51" s="365"/>
      <c r="L51" s="350"/>
      <c r="M51" s="350"/>
      <c r="N51" s="350"/>
      <c r="O51" s="350"/>
      <c r="P51" s="350"/>
      <c r="Q51" s="350"/>
      <c r="R51" s="378"/>
      <c r="S51" s="350"/>
      <c r="T51" s="350"/>
      <c r="U51" s="350"/>
      <c r="V51" s="350"/>
      <c r="W51" s="350"/>
      <c r="X51" s="350"/>
      <c r="Y51" s="350"/>
    </row>
    <row r="52" spans="1:25">
      <c r="A52" s="35">
        <v>45</v>
      </c>
      <c r="B52" s="345" t="s">
        <v>192</v>
      </c>
      <c r="C52" s="346" t="s">
        <v>34</v>
      </c>
      <c r="D52" s="379"/>
      <c r="E52" s="380">
        <v>16946340.530000001</v>
      </c>
      <c r="F52" s="381">
        <v>0</v>
      </c>
      <c r="G52" s="382">
        <f>SUM(E52:F52)</f>
        <v>16946340.530000001</v>
      </c>
      <c r="I52" s="382">
        <f>+'Exh MPP-5 - Summary of Adj'!G23</f>
        <v>626926.7279063192</v>
      </c>
      <c r="J52" s="382"/>
      <c r="K52" s="383">
        <f>+'Exh MPP-5 - Summary of Adj'!I23</f>
        <v>-353706.25915126142</v>
      </c>
      <c r="L52" s="382">
        <f>+'Exh MPP-5 - Summary of Adj'!J23</f>
        <v>0</v>
      </c>
      <c r="M52" s="382">
        <f>+'Exh MPP-5 - Summary of Adj'!K23</f>
        <v>0</v>
      </c>
      <c r="N52" s="382">
        <f>+'Exh MPP-5 - Summary of Adj'!L23</f>
        <v>0</v>
      </c>
      <c r="O52" s="382">
        <f>+'Exh MPP-5 - Summary of Adj'!N23</f>
        <v>8101.7268279999998</v>
      </c>
      <c r="P52" s="382">
        <v>0</v>
      </c>
      <c r="Q52" s="382">
        <f>+'Exh MPP-5 - Summary of Adj'!O23</f>
        <v>0</v>
      </c>
      <c r="R52" s="384">
        <f>+'Exh MPP-5 - Summary of Adj'!O23</f>
        <v>0</v>
      </c>
      <c r="S52" s="382">
        <f>+'Exh MPP-5 - Summary of Adj'!R23</f>
        <v>-4118.6553999999996</v>
      </c>
      <c r="T52" s="382">
        <f>+'Exh MPP-5 - Summary of Adj'!S23</f>
        <v>0</v>
      </c>
      <c r="U52" s="382">
        <f>+'Exh MPP-5 - Summary of Adj'!T23</f>
        <v>211518.08731999999</v>
      </c>
      <c r="V52" s="382"/>
      <c r="W52" s="382"/>
      <c r="X52" s="351">
        <f>SUM(I52:W52)</f>
        <v>488721.62750305777</v>
      </c>
      <c r="Y52" s="351">
        <f>+G52+X52</f>
        <v>17435062.157503057</v>
      </c>
    </row>
    <row r="53" spans="1:25" ht="16.5" thickBot="1">
      <c r="A53" s="327">
        <v>46</v>
      </c>
      <c r="B53" s="341" t="s">
        <v>193</v>
      </c>
      <c r="C53" s="342"/>
      <c r="D53" s="367"/>
      <c r="E53" s="368">
        <f t="shared" ref="E53:G53" si="24">E27-E36-E52</f>
        <v>84498986.090000004</v>
      </c>
      <c r="F53" s="385">
        <f t="shared" si="24"/>
        <v>91471.09</v>
      </c>
      <c r="G53" s="370">
        <f t="shared" si="24"/>
        <v>84590457.180000007</v>
      </c>
      <c r="I53" s="370">
        <f t="shared" ref="I53:S53" si="25">I27-I36-I52</f>
        <v>4793468.9297836805</v>
      </c>
      <c r="J53" s="370">
        <f t="shared" si="25"/>
        <v>0</v>
      </c>
      <c r="K53" s="371">
        <f>K27-K36-K52</f>
        <v>-2342373.0632587411</v>
      </c>
      <c r="L53" s="370">
        <f>L27-L36-L52</f>
        <v>0</v>
      </c>
      <c r="M53" s="370">
        <f t="shared" si="25"/>
        <v>0</v>
      </c>
      <c r="N53" s="370">
        <f t="shared" si="25"/>
        <v>0</v>
      </c>
      <c r="O53" s="370">
        <f t="shared" si="25"/>
        <v>191842.17317199998</v>
      </c>
      <c r="P53" s="370">
        <f t="shared" si="25"/>
        <v>0</v>
      </c>
      <c r="Q53" s="370">
        <f t="shared" ref="Q53" si="26">Q27-Q36-Q52</f>
        <v>0</v>
      </c>
      <c r="R53" s="372">
        <f t="shared" si="25"/>
        <v>0</v>
      </c>
      <c r="S53" s="370">
        <f t="shared" si="25"/>
        <v>-97526.344599999997</v>
      </c>
      <c r="T53" s="370">
        <f t="shared" ref="T53" si="27">T27-T36-T52</f>
        <v>0</v>
      </c>
      <c r="U53" s="370">
        <f>U27-U36-U52</f>
        <v>5008572.9126800001</v>
      </c>
      <c r="V53" s="370">
        <f>V27-V36-V52</f>
        <v>0</v>
      </c>
      <c r="W53" s="370">
        <f>W27-W36-W52</f>
        <v>0</v>
      </c>
      <c r="X53" s="370">
        <f>X27-X36-X52</f>
        <v>7553984.607776938</v>
      </c>
      <c r="Y53" s="370">
        <f>Y27-Y36-Y52</f>
        <v>92144441.787776932</v>
      </c>
    </row>
    <row r="54" spans="1:25" ht="16.5" thickTop="1">
      <c r="A54" s="35">
        <v>47</v>
      </c>
      <c r="B54" s="373"/>
      <c r="C54" s="342"/>
      <c r="D54" s="347"/>
      <c r="E54" s="348"/>
      <c r="F54" s="359"/>
      <c r="G54" s="350"/>
    </row>
    <row r="55" spans="1:25">
      <c r="A55" s="327">
        <v>48</v>
      </c>
      <c r="B55" s="341" t="s">
        <v>194</v>
      </c>
      <c r="C55" s="342"/>
      <c r="D55" s="347"/>
      <c r="E55" s="348"/>
      <c r="F55" s="359"/>
      <c r="G55" s="350"/>
    </row>
    <row r="56" spans="1:25">
      <c r="A56" s="35">
        <v>49</v>
      </c>
      <c r="B56" s="386">
        <v>813</v>
      </c>
      <c r="C56" s="346" t="s">
        <v>195</v>
      </c>
      <c r="D56" s="347"/>
      <c r="E56" s="363">
        <v>698.22</v>
      </c>
      <c r="F56" s="349">
        <v>518290.52</v>
      </c>
      <c r="G56" s="350">
        <f>SUM(E56:F56)</f>
        <v>518988.74</v>
      </c>
      <c r="N56" s="91">
        <f>+'Pro Forma Wage Adjustment'!P20</f>
        <v>16165.959663484771</v>
      </c>
      <c r="X56" s="351">
        <f>SUM(I56:W56)</f>
        <v>16165.959663484771</v>
      </c>
      <c r="Y56" s="351">
        <f>+G56+X56</f>
        <v>535154.69966348482</v>
      </c>
    </row>
    <row r="57" spans="1:25">
      <c r="A57" s="327">
        <v>50</v>
      </c>
      <c r="B57" s="386"/>
      <c r="C57" s="346"/>
      <c r="D57" s="347"/>
      <c r="E57" s="363"/>
      <c r="F57" s="349"/>
      <c r="G57" s="350"/>
    </row>
    <row r="58" spans="1:25">
      <c r="A58" s="35">
        <v>51</v>
      </c>
      <c r="B58" s="341" t="s">
        <v>196</v>
      </c>
      <c r="C58" s="342"/>
      <c r="D58" s="347"/>
      <c r="E58" s="348"/>
      <c r="F58" s="359"/>
      <c r="G58" s="350"/>
    </row>
    <row r="59" spans="1:25">
      <c r="A59" s="327">
        <v>52</v>
      </c>
      <c r="B59" s="341" t="s">
        <v>197</v>
      </c>
      <c r="C59" s="342"/>
      <c r="D59" s="347"/>
      <c r="E59" s="348"/>
      <c r="F59" s="359"/>
      <c r="G59" s="350"/>
    </row>
    <row r="60" spans="1:25">
      <c r="A60" s="35">
        <v>53</v>
      </c>
      <c r="B60" s="345" t="s">
        <v>198</v>
      </c>
      <c r="C60" s="346" t="s">
        <v>199</v>
      </c>
      <c r="D60" s="347"/>
      <c r="E60" s="363">
        <v>1265905.44</v>
      </c>
      <c r="F60" s="349">
        <v>182305.89</v>
      </c>
      <c r="G60" s="350">
        <f t="shared" ref="G60:G70" si="28">SUM(E60:F60)</f>
        <v>1448211.33</v>
      </c>
      <c r="N60" s="91">
        <f>+'Pro Forma Wage Adjustment'!P21</f>
        <v>101267.6759241525</v>
      </c>
      <c r="Q60" s="91">
        <f>+'Pro Forma Compliance Department'!L15</f>
        <v>183761.99296</v>
      </c>
      <c r="R60" s="310">
        <f>'MAOP UG-160787 Deferral'!D13</f>
        <v>959086.83400000003</v>
      </c>
      <c r="X60" s="351">
        <f t="shared" ref="X60:X70" si="29">SUM(I60:W60)</f>
        <v>1244116.5028841526</v>
      </c>
      <c r="Y60" s="351">
        <f t="shared" ref="Y60:Y70" si="30">+G60+X60</f>
        <v>2692327.8328841524</v>
      </c>
    </row>
    <row r="61" spans="1:25">
      <c r="A61" s="327">
        <v>54</v>
      </c>
      <c r="B61" s="345" t="s">
        <v>200</v>
      </c>
      <c r="C61" s="346" t="s">
        <v>201</v>
      </c>
      <c r="D61" s="347"/>
      <c r="E61" s="363">
        <v>90246.86</v>
      </c>
      <c r="F61" s="349">
        <v>395274.34</v>
      </c>
      <c r="G61" s="350">
        <f t="shared" si="28"/>
        <v>485521.2</v>
      </c>
      <c r="N61" s="91">
        <f>+'Pro Forma Wage Adjustment'!P22+'Pro Forma Wage Adjustment'!P39</f>
        <v>33387.590368974023</v>
      </c>
      <c r="X61" s="351">
        <f t="shared" si="29"/>
        <v>33387.590368974023</v>
      </c>
      <c r="Y61" s="351">
        <f t="shared" si="30"/>
        <v>518908.79036897403</v>
      </c>
    </row>
    <row r="62" spans="1:25">
      <c r="A62" s="35">
        <v>55</v>
      </c>
      <c r="B62" s="360" t="s">
        <v>202</v>
      </c>
      <c r="C62" s="346" t="s">
        <v>203</v>
      </c>
      <c r="D62" s="364"/>
      <c r="E62" s="363">
        <v>111564.47</v>
      </c>
      <c r="F62" s="349">
        <v>0</v>
      </c>
      <c r="G62" s="350">
        <f t="shared" si="28"/>
        <v>111564.47</v>
      </c>
      <c r="N62" s="91">
        <f>+'Pro Forma Wage Adjustment'!P40</f>
        <v>5603.6840876295882</v>
      </c>
      <c r="X62" s="351">
        <f t="shared" si="29"/>
        <v>5603.6840876295882</v>
      </c>
      <c r="Y62" s="351">
        <f t="shared" si="30"/>
        <v>117168.15408762959</v>
      </c>
    </row>
    <row r="63" spans="1:25">
      <c r="A63" s="327">
        <v>56</v>
      </c>
      <c r="B63" s="360" t="s">
        <v>204</v>
      </c>
      <c r="C63" s="346" t="s">
        <v>205</v>
      </c>
      <c r="D63" s="347"/>
      <c r="E63" s="363">
        <v>2941525.26</v>
      </c>
      <c r="F63" s="349">
        <v>570246.49</v>
      </c>
      <c r="G63" s="350">
        <f t="shared" si="28"/>
        <v>3511771.75</v>
      </c>
      <c r="N63" s="91">
        <f>+'Pro Forma Wage Adjustment'!P23+'Pro Forma Wage Adjustment'!P41</f>
        <v>176019.52035305998</v>
      </c>
      <c r="V63" s="387"/>
      <c r="X63" s="351">
        <f t="shared" si="29"/>
        <v>176019.52035305998</v>
      </c>
      <c r="Y63" s="351">
        <f t="shared" si="30"/>
        <v>3687791.2703530602</v>
      </c>
    </row>
    <row r="64" spans="1:25">
      <c r="A64" s="35">
        <v>57</v>
      </c>
      <c r="B64" s="345" t="s">
        <v>206</v>
      </c>
      <c r="C64" s="346" t="s">
        <v>207</v>
      </c>
      <c r="D64" s="347"/>
      <c r="E64" s="363">
        <v>492860.69</v>
      </c>
      <c r="F64" s="349">
        <v>97091.34</v>
      </c>
      <c r="G64" s="350">
        <f t="shared" si="28"/>
        <v>589952.03</v>
      </c>
      <c r="N64" s="91">
        <f>+'Pro Forma Wage Adjustment'!P42</f>
        <v>21608.346320120472</v>
      </c>
      <c r="X64" s="351">
        <f t="shared" si="29"/>
        <v>21608.346320120472</v>
      </c>
      <c r="Y64" s="351">
        <f t="shared" si="30"/>
        <v>611560.37632012053</v>
      </c>
    </row>
    <row r="65" spans="1:25">
      <c r="A65" s="327">
        <v>58</v>
      </c>
      <c r="B65" s="345" t="s">
        <v>208</v>
      </c>
      <c r="C65" s="346" t="s">
        <v>209</v>
      </c>
      <c r="D65" s="347"/>
      <c r="E65" s="363">
        <v>111243.52</v>
      </c>
      <c r="F65" s="349">
        <v>40900.660000000003</v>
      </c>
      <c r="G65" s="350">
        <f t="shared" si="28"/>
        <v>152144.18</v>
      </c>
      <c r="N65" s="91">
        <f>+'Pro Forma Wage Adjustment'!P43</f>
        <v>5047.1929699232796</v>
      </c>
      <c r="X65" s="351">
        <f t="shared" si="29"/>
        <v>5047.1929699232796</v>
      </c>
      <c r="Y65" s="351">
        <f t="shared" si="30"/>
        <v>157191.37296992328</v>
      </c>
    </row>
    <row r="66" spans="1:25">
      <c r="A66" s="35">
        <v>59</v>
      </c>
      <c r="B66" s="345" t="s">
        <v>210</v>
      </c>
      <c r="C66" s="346" t="s">
        <v>211</v>
      </c>
      <c r="D66" s="347"/>
      <c r="E66" s="363">
        <v>1321461.1100000001</v>
      </c>
      <c r="F66" s="349">
        <v>0</v>
      </c>
      <c r="G66" s="350">
        <f t="shared" si="28"/>
        <v>1321461.1100000001</v>
      </c>
      <c r="N66" s="91">
        <f>+'Pro Forma Wage Adjustment'!P24+'Pro Forma Wage Adjustment'!P44</f>
        <v>82190.81516810185</v>
      </c>
      <c r="X66" s="351">
        <f t="shared" si="29"/>
        <v>82190.81516810185</v>
      </c>
      <c r="Y66" s="351">
        <f t="shared" si="30"/>
        <v>1403651.9251681019</v>
      </c>
    </row>
    <row r="67" spans="1:25">
      <c r="A67" s="327">
        <v>60</v>
      </c>
      <c r="B67" s="345" t="s">
        <v>212</v>
      </c>
      <c r="C67" s="346" t="s">
        <v>213</v>
      </c>
      <c r="D67" s="347"/>
      <c r="E67" s="363">
        <v>1049257.67</v>
      </c>
      <c r="F67" s="349">
        <v>0</v>
      </c>
      <c r="G67" s="350">
        <f t="shared" si="28"/>
        <v>1049257.67</v>
      </c>
      <c r="N67" s="91">
        <f>+'Pro Forma Wage Adjustment'!P45</f>
        <v>67991.528019673511</v>
      </c>
      <c r="X67" s="351">
        <f t="shared" si="29"/>
        <v>67991.528019673511</v>
      </c>
      <c r="Y67" s="351">
        <f t="shared" si="30"/>
        <v>1117249.1980196733</v>
      </c>
    </row>
    <row r="68" spans="1:25">
      <c r="A68" s="35">
        <v>61</v>
      </c>
      <c r="B68" s="345" t="s">
        <v>214</v>
      </c>
      <c r="C68" s="346" t="s">
        <v>215</v>
      </c>
      <c r="D68" s="347"/>
      <c r="E68" s="363">
        <v>2478406.37</v>
      </c>
      <c r="F68" s="349">
        <v>809791.83</v>
      </c>
      <c r="G68" s="350">
        <f t="shared" si="28"/>
        <v>3288198.2</v>
      </c>
      <c r="N68" s="91">
        <f>+'Pro Forma Wage Adjustment'!P25+'Pro Forma Wage Adjustment'!P46</f>
        <v>108190.8393745224</v>
      </c>
      <c r="X68" s="351">
        <f t="shared" si="29"/>
        <v>108190.8393745224</v>
      </c>
      <c r="Y68" s="351">
        <f t="shared" si="30"/>
        <v>3396389.0393745224</v>
      </c>
    </row>
    <row r="69" spans="1:25">
      <c r="A69" s="327">
        <v>62</v>
      </c>
      <c r="B69" s="345" t="s">
        <v>216</v>
      </c>
      <c r="C69" s="346" t="s">
        <v>217</v>
      </c>
      <c r="D69" s="347"/>
      <c r="E69" s="363">
        <v>148018.69</v>
      </c>
      <c r="F69" s="349">
        <v>1881.99</v>
      </c>
      <c r="G69" s="350">
        <f t="shared" si="28"/>
        <v>149900.68</v>
      </c>
      <c r="X69" s="351">
        <f t="shared" si="29"/>
        <v>0</v>
      </c>
      <c r="Y69" s="351">
        <f t="shared" si="30"/>
        <v>149900.68</v>
      </c>
    </row>
    <row r="70" spans="1:25">
      <c r="A70" s="35">
        <v>63</v>
      </c>
      <c r="B70" s="345" t="s">
        <v>218</v>
      </c>
      <c r="C70" s="346" t="s">
        <v>219</v>
      </c>
      <c r="D70" s="364"/>
      <c r="E70" s="363">
        <v>0</v>
      </c>
      <c r="F70" s="349">
        <v>0</v>
      </c>
      <c r="G70" s="350">
        <f t="shared" si="28"/>
        <v>0</v>
      </c>
      <c r="X70" s="351">
        <f t="shared" si="29"/>
        <v>0</v>
      </c>
      <c r="Y70" s="351">
        <f t="shared" si="30"/>
        <v>0</v>
      </c>
    </row>
    <row r="71" spans="1:25">
      <c r="A71" s="327">
        <v>64</v>
      </c>
      <c r="B71" s="373"/>
      <c r="C71" s="388" t="s">
        <v>220</v>
      </c>
      <c r="D71" s="352"/>
      <c r="E71" s="353">
        <f t="shared" ref="E71:S71" si="31">SUM(E60:E70)</f>
        <v>10010490.08</v>
      </c>
      <c r="F71" s="366">
        <f t="shared" si="31"/>
        <v>2097492.54</v>
      </c>
      <c r="G71" s="355">
        <f t="shared" si="31"/>
        <v>12107982.620000001</v>
      </c>
      <c r="I71" s="355">
        <f t="shared" si="31"/>
        <v>0</v>
      </c>
      <c r="J71" s="355">
        <f t="shared" si="31"/>
        <v>0</v>
      </c>
      <c r="K71" s="356">
        <f>SUM(K60:K70)</f>
        <v>0</v>
      </c>
      <c r="L71" s="355">
        <f t="shared" si="31"/>
        <v>0</v>
      </c>
      <c r="M71" s="355">
        <f t="shared" si="31"/>
        <v>0</v>
      </c>
      <c r="N71" s="355">
        <f t="shared" si="31"/>
        <v>601307.19258615759</v>
      </c>
      <c r="O71" s="355">
        <f t="shared" si="31"/>
        <v>0</v>
      </c>
      <c r="P71" s="355">
        <f t="shared" si="31"/>
        <v>0</v>
      </c>
      <c r="Q71" s="355">
        <f t="shared" ref="Q71" si="32">SUM(Q60:Q70)</f>
        <v>183761.99296</v>
      </c>
      <c r="R71" s="357">
        <f t="shared" si="31"/>
        <v>959086.83400000003</v>
      </c>
      <c r="S71" s="355">
        <f t="shared" si="31"/>
        <v>0</v>
      </c>
      <c r="T71" s="355">
        <f t="shared" ref="T71" si="33">SUM(T60:T70)</f>
        <v>0</v>
      </c>
      <c r="U71" s="355">
        <f>SUM(U60:U70)</f>
        <v>0</v>
      </c>
      <c r="V71" s="355">
        <f>SUM(V60:V70)</f>
        <v>0</v>
      </c>
      <c r="W71" s="355">
        <f>SUM(W60:W70)</f>
        <v>0</v>
      </c>
      <c r="X71" s="355">
        <f>SUM(X60:X70)</f>
        <v>1744156.0195461577</v>
      </c>
      <c r="Y71" s="355">
        <f>SUM(Y60:Y70)</f>
        <v>13852138.63954616</v>
      </c>
    </row>
    <row r="72" spans="1:25">
      <c r="A72" s="35">
        <v>65</v>
      </c>
      <c r="B72" s="373"/>
      <c r="C72" s="342"/>
      <c r="D72" s="347"/>
      <c r="E72" s="348"/>
      <c r="F72" s="359"/>
      <c r="G72" s="350"/>
    </row>
    <row r="73" spans="1:25">
      <c r="A73" s="327">
        <v>66</v>
      </c>
      <c r="B73" s="341" t="s">
        <v>221</v>
      </c>
      <c r="C73" s="342"/>
      <c r="D73" s="347"/>
      <c r="E73" s="348"/>
      <c r="F73" s="359"/>
      <c r="G73" s="350"/>
    </row>
    <row r="74" spans="1:25">
      <c r="A74" s="35">
        <v>67</v>
      </c>
      <c r="B74" s="345" t="s">
        <v>222</v>
      </c>
      <c r="C74" s="346" t="s">
        <v>223</v>
      </c>
      <c r="D74" s="364"/>
      <c r="E74" s="363">
        <v>113684.28</v>
      </c>
      <c r="F74" s="349">
        <v>20136.150000000001</v>
      </c>
      <c r="G74" s="365">
        <f t="shared" ref="G74:G82" si="34">SUM(E74:F74)</f>
        <v>133820.43</v>
      </c>
      <c r="N74" s="91">
        <f>+'Pro Forma Wage Adjustment'!P26</f>
        <v>9843.9646467216407</v>
      </c>
      <c r="X74" s="351">
        <f t="shared" ref="X74:X82" si="35">SUM(I74:W74)</f>
        <v>9843.9646467216407</v>
      </c>
      <c r="Y74" s="351">
        <f t="shared" ref="Y74:Y82" si="36">+G74+X74</f>
        <v>143664.39464672163</v>
      </c>
    </row>
    <row r="75" spans="1:25">
      <c r="A75" s="327">
        <v>68</v>
      </c>
      <c r="B75" s="345" t="s">
        <v>224</v>
      </c>
      <c r="C75" s="346" t="s">
        <v>225</v>
      </c>
      <c r="D75" s="347"/>
      <c r="E75" s="363">
        <v>15119.07</v>
      </c>
      <c r="F75" s="349">
        <v>715.76</v>
      </c>
      <c r="G75" s="362">
        <f t="shared" si="34"/>
        <v>15834.83</v>
      </c>
      <c r="N75" s="91">
        <f>+'Pro Forma Wage Adjustment'!P47</f>
        <v>4.6540771200000002</v>
      </c>
      <c r="X75" s="351">
        <f t="shared" si="35"/>
        <v>4.6540771200000002</v>
      </c>
      <c r="Y75" s="351">
        <f t="shared" si="36"/>
        <v>15839.48407712</v>
      </c>
    </row>
    <row r="76" spans="1:25">
      <c r="A76" s="35">
        <v>69</v>
      </c>
      <c r="B76" s="345" t="s">
        <v>226</v>
      </c>
      <c r="C76" s="346" t="s">
        <v>227</v>
      </c>
      <c r="D76" s="347"/>
      <c r="E76" s="363">
        <v>1231030.56</v>
      </c>
      <c r="F76" s="349">
        <v>23066.04</v>
      </c>
      <c r="G76" s="362">
        <f t="shared" si="34"/>
        <v>1254096.6000000001</v>
      </c>
      <c r="N76" s="91">
        <f>+'Pro Forma Wage Adjustment'!P27+'Pro Forma Wage Adjustment'!P48</f>
        <v>42988.415787117483</v>
      </c>
      <c r="X76" s="351">
        <f t="shared" si="35"/>
        <v>42988.415787117483</v>
      </c>
      <c r="Y76" s="351">
        <f t="shared" si="36"/>
        <v>1297085.0157871176</v>
      </c>
    </row>
    <row r="77" spans="1:25">
      <c r="A77" s="327">
        <v>70</v>
      </c>
      <c r="B77" s="360" t="s">
        <v>228</v>
      </c>
      <c r="C77" s="346" t="s">
        <v>203</v>
      </c>
      <c r="D77" s="364"/>
      <c r="E77" s="363">
        <v>39409.83</v>
      </c>
      <c r="F77" s="349">
        <v>3825.97</v>
      </c>
      <c r="G77" s="365">
        <f t="shared" si="34"/>
        <v>43235.8</v>
      </c>
      <c r="N77" s="91">
        <f>+'Pro Forma Wage Adjustment'!P49</f>
        <v>1280.0387279048994</v>
      </c>
      <c r="X77" s="351">
        <f t="shared" si="35"/>
        <v>1280.0387279048994</v>
      </c>
      <c r="Y77" s="351">
        <f t="shared" si="36"/>
        <v>44515.838727904906</v>
      </c>
    </row>
    <row r="78" spans="1:25">
      <c r="A78" s="35">
        <v>71</v>
      </c>
      <c r="B78" s="345" t="s">
        <v>229</v>
      </c>
      <c r="C78" s="346" t="s">
        <v>230</v>
      </c>
      <c r="D78" s="347"/>
      <c r="E78" s="363">
        <v>330076.05</v>
      </c>
      <c r="F78" s="389">
        <v>3175.64</v>
      </c>
      <c r="G78" s="362">
        <f t="shared" si="34"/>
        <v>333251.69</v>
      </c>
      <c r="N78" s="91">
        <f>+'Pro Forma Wage Adjustment'!P50</f>
        <v>15556.733922439462</v>
      </c>
      <c r="X78" s="351">
        <f t="shared" si="35"/>
        <v>15556.733922439462</v>
      </c>
      <c r="Y78" s="351">
        <f t="shared" si="36"/>
        <v>348808.42392243946</v>
      </c>
    </row>
    <row r="79" spans="1:25">
      <c r="A79" s="327">
        <v>72</v>
      </c>
      <c r="B79" s="345" t="s">
        <v>231</v>
      </c>
      <c r="C79" s="346" t="s">
        <v>232</v>
      </c>
      <c r="D79" s="347"/>
      <c r="E79" s="363">
        <v>21279.35</v>
      </c>
      <c r="F79" s="389" t="s">
        <v>987</v>
      </c>
      <c r="G79" s="362">
        <f t="shared" si="34"/>
        <v>21279.35</v>
      </c>
      <c r="N79" s="91">
        <f>+'Pro Forma Wage Adjustment'!P51</f>
        <v>738.35822737941965</v>
      </c>
      <c r="X79" s="351">
        <f t="shared" si="35"/>
        <v>738.35822737941965</v>
      </c>
      <c r="Y79" s="351">
        <f t="shared" si="36"/>
        <v>22017.708227379419</v>
      </c>
    </row>
    <row r="80" spans="1:25">
      <c r="A80" s="35">
        <v>73</v>
      </c>
      <c r="B80" s="345" t="s">
        <v>233</v>
      </c>
      <c r="C80" s="346" t="s">
        <v>113</v>
      </c>
      <c r="D80" s="347"/>
      <c r="E80" s="363">
        <v>1172841.0900000001</v>
      </c>
      <c r="F80" s="389">
        <v>4184.87</v>
      </c>
      <c r="G80" s="362">
        <f t="shared" si="34"/>
        <v>1177025.9600000002</v>
      </c>
      <c r="N80" s="91">
        <f>+'Pro Forma Wage Adjustment'!P28+'Pro Forma Wage Adjustment'!P52</f>
        <v>59966.527919198685</v>
      </c>
      <c r="X80" s="351">
        <f t="shared" si="35"/>
        <v>59966.527919198685</v>
      </c>
      <c r="Y80" s="351">
        <f t="shared" si="36"/>
        <v>1236992.4879191988</v>
      </c>
    </row>
    <row r="81" spans="1:25">
      <c r="A81" s="327">
        <v>74</v>
      </c>
      <c r="B81" s="345" t="s">
        <v>234</v>
      </c>
      <c r="C81" s="346" t="s">
        <v>235</v>
      </c>
      <c r="D81" s="347"/>
      <c r="E81" s="363">
        <v>888408.89</v>
      </c>
      <c r="F81" s="389">
        <v>204765.56</v>
      </c>
      <c r="G81" s="362">
        <f t="shared" si="34"/>
        <v>1093174.45</v>
      </c>
      <c r="N81" s="91">
        <f>+'Pro Forma Wage Adjustment'!P29+'Pro Forma Wage Adjustment'!P53</f>
        <v>64841.504368524307</v>
      </c>
      <c r="X81" s="351">
        <f t="shared" si="35"/>
        <v>64841.504368524307</v>
      </c>
      <c r="Y81" s="351">
        <f t="shared" si="36"/>
        <v>1158015.9543685243</v>
      </c>
    </row>
    <row r="82" spans="1:25">
      <c r="A82" s="35">
        <v>75</v>
      </c>
      <c r="B82" s="345" t="s">
        <v>236</v>
      </c>
      <c r="C82" s="346" t="s">
        <v>237</v>
      </c>
      <c r="D82" s="347"/>
      <c r="E82" s="363">
        <v>144620.75</v>
      </c>
      <c r="F82" s="389">
        <v>1954.91</v>
      </c>
      <c r="G82" s="362">
        <f t="shared" si="34"/>
        <v>146575.66</v>
      </c>
      <c r="N82" s="91">
        <f>+'Pro Forma Wage Adjustment'!P54</f>
        <v>4497.1481727372602</v>
      </c>
      <c r="X82" s="351">
        <f t="shared" si="35"/>
        <v>4497.1481727372602</v>
      </c>
      <c r="Y82" s="351">
        <f t="shared" si="36"/>
        <v>151072.80817273728</v>
      </c>
    </row>
    <row r="83" spans="1:25">
      <c r="A83" s="327">
        <v>76</v>
      </c>
      <c r="B83" s="373"/>
      <c r="C83" s="388" t="s">
        <v>238</v>
      </c>
      <c r="D83" s="352"/>
      <c r="E83" s="353">
        <f t="shared" ref="E83:G83" si="37">SUM(E74:E82)</f>
        <v>3956469.8700000006</v>
      </c>
      <c r="F83" s="366">
        <f t="shared" si="37"/>
        <v>261824.9</v>
      </c>
      <c r="G83" s="355">
        <f t="shared" si="37"/>
        <v>4218294.7700000005</v>
      </c>
      <c r="I83" s="355">
        <f t="shared" ref="I83:S83" si="38">SUM(I74:I82)</f>
        <v>0</v>
      </c>
      <c r="J83" s="355">
        <f t="shared" si="38"/>
        <v>0</v>
      </c>
      <c r="K83" s="356">
        <f>SUM(K74:K82)</f>
        <v>0</v>
      </c>
      <c r="L83" s="355">
        <f>SUM(L74:L82)</f>
        <v>0</v>
      </c>
      <c r="M83" s="355">
        <f t="shared" si="38"/>
        <v>0</v>
      </c>
      <c r="N83" s="355">
        <f t="shared" si="38"/>
        <v>199717.34584914317</v>
      </c>
      <c r="O83" s="355">
        <f t="shared" si="38"/>
        <v>0</v>
      </c>
      <c r="P83" s="355">
        <f t="shared" si="38"/>
        <v>0</v>
      </c>
      <c r="Q83" s="355">
        <f t="shared" ref="Q83" si="39">SUM(Q74:Q82)</f>
        <v>0</v>
      </c>
      <c r="R83" s="357">
        <f>SUM(R74:R82)</f>
        <v>0</v>
      </c>
      <c r="S83" s="355">
        <f t="shared" si="38"/>
        <v>0</v>
      </c>
      <c r="T83" s="355">
        <f t="shared" ref="T83" si="40">SUM(T74:T82)</f>
        <v>0</v>
      </c>
      <c r="U83" s="355">
        <f>SUM(U74:U82)</f>
        <v>0</v>
      </c>
      <c r="V83" s="355">
        <f>SUM(V74:V82)</f>
        <v>0</v>
      </c>
      <c r="W83" s="355">
        <f>SUM(W74:W82)</f>
        <v>0</v>
      </c>
      <c r="X83" s="355">
        <f>SUM(X74:X82)</f>
        <v>199717.34584914317</v>
      </c>
      <c r="Y83" s="355">
        <f>SUM(Y74:Y82)</f>
        <v>4418012.1158491438</v>
      </c>
    </row>
    <row r="84" spans="1:25">
      <c r="A84" s="35">
        <v>77</v>
      </c>
      <c r="B84" s="341" t="s">
        <v>239</v>
      </c>
      <c r="C84" s="342"/>
      <c r="D84" s="379"/>
      <c r="E84" s="380">
        <f t="shared" ref="E84:G84" si="41">E71+E83</f>
        <v>13966959.950000001</v>
      </c>
      <c r="F84" s="390">
        <f t="shared" si="41"/>
        <v>2359317.44</v>
      </c>
      <c r="G84" s="382">
        <f t="shared" si="41"/>
        <v>16326277.390000001</v>
      </c>
      <c r="I84" s="382">
        <f t="shared" ref="I84:S84" si="42">I71+I83</f>
        <v>0</v>
      </c>
      <c r="J84" s="382">
        <f t="shared" si="42"/>
        <v>0</v>
      </c>
      <c r="K84" s="383">
        <f>K71+K83</f>
        <v>0</v>
      </c>
      <c r="L84" s="382">
        <f>L71+L83</f>
        <v>0</v>
      </c>
      <c r="M84" s="382">
        <f t="shared" si="42"/>
        <v>0</v>
      </c>
      <c r="N84" s="382">
        <f t="shared" si="42"/>
        <v>801024.53843530081</v>
      </c>
      <c r="O84" s="382">
        <f t="shared" si="42"/>
        <v>0</v>
      </c>
      <c r="P84" s="382">
        <f t="shared" si="42"/>
        <v>0</v>
      </c>
      <c r="Q84" s="382">
        <f t="shared" ref="Q84" si="43">Q71+Q83</f>
        <v>183761.99296</v>
      </c>
      <c r="R84" s="384">
        <f>R71+R83</f>
        <v>959086.83400000003</v>
      </c>
      <c r="S84" s="382">
        <f t="shared" si="42"/>
        <v>0</v>
      </c>
      <c r="T84" s="382">
        <f t="shared" ref="T84" si="44">T71+T83</f>
        <v>0</v>
      </c>
      <c r="U84" s="382">
        <f>U71+U83</f>
        <v>0</v>
      </c>
      <c r="V84" s="382">
        <f>V71+V83</f>
        <v>0</v>
      </c>
      <c r="W84" s="382">
        <f>W71+W83</f>
        <v>0</v>
      </c>
      <c r="X84" s="382">
        <f>X71+X83</f>
        <v>1943873.3653953008</v>
      </c>
      <c r="Y84" s="382">
        <f>Y71+Y83</f>
        <v>18270150.755395304</v>
      </c>
    </row>
    <row r="85" spans="1:25">
      <c r="A85" s="327">
        <v>78</v>
      </c>
      <c r="B85" s="373"/>
      <c r="C85" s="342"/>
      <c r="D85" s="347"/>
      <c r="E85" s="348"/>
      <c r="F85" s="359"/>
      <c r="G85" s="350"/>
    </row>
    <row r="86" spans="1:25">
      <c r="A86" s="35">
        <v>79</v>
      </c>
      <c r="B86" s="341" t="s">
        <v>240</v>
      </c>
      <c r="C86" s="342"/>
      <c r="D86" s="347"/>
      <c r="E86" s="348"/>
      <c r="F86" s="359"/>
      <c r="G86" s="350"/>
    </row>
    <row r="87" spans="1:25">
      <c r="A87" s="327">
        <v>80</v>
      </c>
      <c r="B87" s="345" t="s">
        <v>241</v>
      </c>
      <c r="C87" s="346" t="s">
        <v>242</v>
      </c>
      <c r="D87" s="347"/>
      <c r="E87" s="363">
        <v>-2718</v>
      </c>
      <c r="F87" s="389">
        <v>-9.7899999999999991</v>
      </c>
      <c r="G87" s="362">
        <f>SUM(E87:F87)</f>
        <v>-2727.79</v>
      </c>
      <c r="X87" s="351">
        <f>SUM(I87:W87)</f>
        <v>0</v>
      </c>
      <c r="Y87" s="351">
        <f>+G87+X87</f>
        <v>-2727.79</v>
      </c>
    </row>
    <row r="88" spans="1:25">
      <c r="A88" s="35">
        <v>81</v>
      </c>
      <c r="B88" s="345" t="s">
        <v>243</v>
      </c>
      <c r="C88" s="346" t="s">
        <v>244</v>
      </c>
      <c r="D88" s="347"/>
      <c r="E88" s="363">
        <v>424648.59</v>
      </c>
      <c r="F88" s="389">
        <v>98249.5</v>
      </c>
      <c r="G88" s="362">
        <f>SUM(E88:F88)</f>
        <v>522898.09</v>
      </c>
      <c r="N88" s="91">
        <f>+'Pro Forma Wage Adjustment'!P55</f>
        <v>26016.440478029759</v>
      </c>
      <c r="X88" s="351">
        <f>SUM(I88:W88)</f>
        <v>26016.440478029759</v>
      </c>
      <c r="Y88" s="351">
        <f>+G88+X88</f>
        <v>548914.53047802974</v>
      </c>
    </row>
    <row r="89" spans="1:25">
      <c r="A89" s="327">
        <v>82</v>
      </c>
      <c r="B89" s="345" t="s">
        <v>245</v>
      </c>
      <c r="C89" s="346" t="s">
        <v>246</v>
      </c>
      <c r="D89" s="347"/>
      <c r="E89" s="363">
        <v>523112.58</v>
      </c>
      <c r="F89" s="389">
        <v>4560961.6900000004</v>
      </c>
      <c r="G89" s="362">
        <f>SUM(E89:F89)</f>
        <v>5084074.2700000005</v>
      </c>
      <c r="N89" s="91">
        <f>+'Pro Forma Wage Adjustment'!P30+'Pro Forma Wage Adjustment'!P56+'Pro Forma Wage Adjustment'!P31</f>
        <v>61048.327435994201</v>
      </c>
      <c r="X89" s="351">
        <f>SUM(I89:W89)</f>
        <v>61048.327435994201</v>
      </c>
      <c r="Y89" s="351">
        <f>+G89+X89</f>
        <v>5145122.597435995</v>
      </c>
    </row>
    <row r="90" spans="1:25">
      <c r="A90" s="35">
        <v>83</v>
      </c>
      <c r="B90" s="345" t="s">
        <v>247</v>
      </c>
      <c r="C90" s="346" t="s">
        <v>23</v>
      </c>
      <c r="D90" s="347"/>
      <c r="E90" s="363">
        <v>765092.15</v>
      </c>
      <c r="F90" s="389">
        <v>12975.59</v>
      </c>
      <c r="G90" s="362">
        <f>SUM(E90:F90)</f>
        <v>778067.74</v>
      </c>
      <c r="I90" s="91">
        <f>+'Exh MPP-5 - Summary of Adj'!G26</f>
        <v>58685.9549560913</v>
      </c>
      <c r="K90" s="311">
        <f>+'Exh MPP-5 - Summary of Adj'!I26</f>
        <v>-33110.072785635421</v>
      </c>
      <c r="O90" s="116">
        <f>+'Exh MPP-5 - Summary of Adj'!N26</f>
        <v>758.39417037203009</v>
      </c>
      <c r="S90" s="91">
        <f>'Exh MPP-5 - Summary of Adj'!R26</f>
        <v>-385.54302205501142</v>
      </c>
      <c r="U90" s="91">
        <f>+'Exh MPP-5 - Summary of Adj'!T26</f>
        <v>19799.986812358373</v>
      </c>
      <c r="X90" s="351">
        <f>SUM(I90:W90)</f>
        <v>45748.720131131267</v>
      </c>
      <c r="Y90" s="351">
        <f>+G90+X90</f>
        <v>823816.46013113123</v>
      </c>
    </row>
    <row r="91" spans="1:25">
      <c r="A91" s="327">
        <v>84</v>
      </c>
      <c r="B91" s="345" t="s">
        <v>248</v>
      </c>
      <c r="C91" s="346" t="s">
        <v>249</v>
      </c>
      <c r="D91" s="347"/>
      <c r="E91" s="363">
        <v>0</v>
      </c>
      <c r="F91" s="389">
        <v>795.98</v>
      </c>
      <c r="G91" s="362">
        <f>SUM(E91:F91)</f>
        <v>795.98</v>
      </c>
      <c r="X91" s="351">
        <f>SUM(I91:W91)</f>
        <v>0</v>
      </c>
      <c r="Y91" s="351">
        <f>+G91+X91</f>
        <v>795.98</v>
      </c>
    </row>
    <row r="92" spans="1:25">
      <c r="A92" s="35">
        <v>85</v>
      </c>
      <c r="B92" s="341" t="s">
        <v>250</v>
      </c>
      <c r="C92" s="342"/>
      <c r="D92" s="352"/>
      <c r="E92" s="353">
        <f t="shared" ref="E92:S92" si="45">SUM(E87:E91)</f>
        <v>1710135.32</v>
      </c>
      <c r="F92" s="366">
        <f t="shared" si="45"/>
        <v>4672972.9700000007</v>
      </c>
      <c r="G92" s="355">
        <f t="shared" si="45"/>
        <v>6383108.290000001</v>
      </c>
      <c r="I92" s="355">
        <f t="shared" si="45"/>
        <v>58685.9549560913</v>
      </c>
      <c r="J92" s="355">
        <f t="shared" si="45"/>
        <v>0</v>
      </c>
      <c r="K92" s="356">
        <f>SUM(K87:K91)</f>
        <v>-33110.072785635421</v>
      </c>
      <c r="L92" s="355">
        <f t="shared" si="45"/>
        <v>0</v>
      </c>
      <c r="M92" s="355">
        <f t="shared" si="45"/>
        <v>0</v>
      </c>
      <c r="N92" s="355">
        <f t="shared" si="45"/>
        <v>87064.767914023963</v>
      </c>
      <c r="O92" s="355">
        <f t="shared" si="45"/>
        <v>758.39417037203009</v>
      </c>
      <c r="P92" s="355">
        <f t="shared" si="45"/>
        <v>0</v>
      </c>
      <c r="Q92" s="355">
        <f t="shared" ref="Q92" si="46">SUM(Q87:Q91)</f>
        <v>0</v>
      </c>
      <c r="R92" s="357">
        <f t="shared" si="45"/>
        <v>0</v>
      </c>
      <c r="S92" s="355">
        <f t="shared" si="45"/>
        <v>-385.54302205501142</v>
      </c>
      <c r="T92" s="355">
        <f t="shared" ref="T92" si="47">SUM(T87:T91)</f>
        <v>0</v>
      </c>
      <c r="U92" s="355">
        <f>SUM(U87:U91)</f>
        <v>19799.986812358373</v>
      </c>
      <c r="V92" s="355">
        <f>SUM(V87:V91)</f>
        <v>0</v>
      </c>
      <c r="W92" s="355">
        <f>SUM(W87:W91)</f>
        <v>0</v>
      </c>
      <c r="X92" s="355">
        <f>SUM(X87:X91)</f>
        <v>132813.48804515525</v>
      </c>
      <c r="Y92" s="355">
        <f>SUM(Y87:Y91)</f>
        <v>6515921.778045156</v>
      </c>
    </row>
    <row r="93" spans="1:25">
      <c r="A93" s="327">
        <v>86</v>
      </c>
      <c r="B93" s="373"/>
      <c r="C93" s="342"/>
      <c r="D93" s="347"/>
      <c r="E93" s="348"/>
      <c r="F93" s="359"/>
      <c r="G93" s="350"/>
    </row>
    <row r="94" spans="1:25">
      <c r="A94" s="35">
        <v>87</v>
      </c>
      <c r="B94" s="341" t="s">
        <v>251</v>
      </c>
      <c r="C94" s="342"/>
      <c r="D94" s="347"/>
      <c r="E94" s="348"/>
      <c r="F94" s="359"/>
      <c r="G94" s="350"/>
    </row>
    <row r="95" spans="1:25">
      <c r="A95" s="327">
        <v>88</v>
      </c>
      <c r="B95" s="345" t="s">
        <v>252</v>
      </c>
      <c r="C95" s="346" t="s">
        <v>242</v>
      </c>
      <c r="D95" s="347"/>
      <c r="E95" s="363">
        <v>0</v>
      </c>
      <c r="F95" s="389" t="s">
        <v>987</v>
      </c>
      <c r="G95" s="362">
        <f>SUM(E95:F95)</f>
        <v>0</v>
      </c>
      <c r="X95" s="351">
        <f>SUM(I95:W95)</f>
        <v>0</v>
      </c>
      <c r="Y95" s="351">
        <f>+G95+X95</f>
        <v>0</v>
      </c>
    </row>
    <row r="96" spans="1:25">
      <c r="A96" s="35">
        <v>89</v>
      </c>
      <c r="B96" s="345" t="s">
        <v>253</v>
      </c>
      <c r="C96" s="346" t="s">
        <v>254</v>
      </c>
      <c r="D96" s="347"/>
      <c r="E96" s="363">
        <v>533408.34</v>
      </c>
      <c r="F96" s="389">
        <v>250785.94</v>
      </c>
      <c r="G96" s="362">
        <f>SUM(E96:F96)</f>
        <v>784194.28</v>
      </c>
      <c r="L96" s="391">
        <f>-'Low-Income Bill Assistance'!F20</f>
        <v>-533333.36</v>
      </c>
      <c r="X96" s="351">
        <f>SUM(I96:W96)</f>
        <v>-533333.36</v>
      </c>
      <c r="Y96" s="351">
        <f>+G96+X96</f>
        <v>250860.92000000004</v>
      </c>
    </row>
    <row r="97" spans="1:25">
      <c r="A97" s="327">
        <v>90</v>
      </c>
      <c r="B97" s="345" t="s">
        <v>255</v>
      </c>
      <c r="C97" s="346" t="s">
        <v>256</v>
      </c>
      <c r="D97" s="347"/>
      <c r="E97" s="363">
        <v>9245.2199999999993</v>
      </c>
      <c r="F97" s="389">
        <v>30656.14</v>
      </c>
      <c r="G97" s="362">
        <f>SUM(E97:F97)</f>
        <v>39901.360000000001</v>
      </c>
      <c r="Y97" s="351">
        <f>+G97+X97</f>
        <v>39901.360000000001</v>
      </c>
    </row>
    <row r="98" spans="1:25">
      <c r="A98" s="35">
        <v>91</v>
      </c>
      <c r="B98" s="392" t="s">
        <v>257</v>
      </c>
      <c r="C98" s="346" t="s">
        <v>258</v>
      </c>
      <c r="D98" s="364"/>
      <c r="E98" s="363">
        <v>0</v>
      </c>
      <c r="F98" s="389" t="s">
        <v>987</v>
      </c>
      <c r="G98" s="365">
        <f>SUM(E98:F98)</f>
        <v>0</v>
      </c>
      <c r="Y98" s="351">
        <f>+G98+X98</f>
        <v>0</v>
      </c>
    </row>
    <row r="99" spans="1:25">
      <c r="A99" s="327">
        <v>92</v>
      </c>
      <c r="B99" s="358" t="s">
        <v>259</v>
      </c>
      <c r="C99" s="342"/>
      <c r="D99" s="352"/>
      <c r="E99" s="353">
        <f t="shared" ref="E99:S99" si="48">SUM(E95:E98)</f>
        <v>542653.55999999994</v>
      </c>
      <c r="F99" s="366">
        <f t="shared" si="48"/>
        <v>281442.08</v>
      </c>
      <c r="G99" s="355">
        <f t="shared" si="48"/>
        <v>824095.64</v>
      </c>
      <c r="I99" s="355">
        <f t="shared" si="48"/>
        <v>0</v>
      </c>
      <c r="J99" s="355">
        <f t="shared" si="48"/>
        <v>0</v>
      </c>
      <c r="K99" s="356">
        <f>SUM(K95:K98)</f>
        <v>0</v>
      </c>
      <c r="L99" s="355">
        <f t="shared" si="48"/>
        <v>-533333.36</v>
      </c>
      <c r="M99" s="355">
        <f t="shared" si="48"/>
        <v>0</v>
      </c>
      <c r="N99" s="355">
        <f t="shared" si="48"/>
        <v>0</v>
      </c>
      <c r="O99" s="355">
        <f t="shared" si="48"/>
        <v>0</v>
      </c>
      <c r="P99" s="355">
        <f t="shared" si="48"/>
        <v>0</v>
      </c>
      <c r="Q99" s="355">
        <f t="shared" ref="Q99" si="49">SUM(Q95:Q98)</f>
        <v>0</v>
      </c>
      <c r="R99" s="357">
        <f t="shared" si="48"/>
        <v>0</v>
      </c>
      <c r="S99" s="355">
        <f t="shared" si="48"/>
        <v>0</v>
      </c>
      <c r="T99" s="355">
        <f t="shared" ref="T99" si="50">SUM(T95:T98)</f>
        <v>0</v>
      </c>
      <c r="U99" s="355">
        <f>SUM(U95:U98)</f>
        <v>0</v>
      </c>
      <c r="V99" s="355">
        <f>SUM(V95:V98)</f>
        <v>0</v>
      </c>
      <c r="W99" s="355">
        <f>SUM(W95:W98)</f>
        <v>0</v>
      </c>
      <c r="X99" s="355">
        <f>SUM(X95:X98)</f>
        <v>-533333.36</v>
      </c>
      <c r="Y99" s="355">
        <f>SUM(Y95:Y98)</f>
        <v>290762.28000000003</v>
      </c>
    </row>
    <row r="100" spans="1:25">
      <c r="A100" s="35">
        <v>93</v>
      </c>
      <c r="B100" s="373"/>
      <c r="C100" s="342"/>
      <c r="D100" s="347"/>
      <c r="E100" s="348"/>
      <c r="F100" s="359"/>
      <c r="G100" s="350"/>
    </row>
    <row r="101" spans="1:25">
      <c r="A101" s="327">
        <v>94</v>
      </c>
      <c r="B101" s="341" t="s">
        <v>260</v>
      </c>
      <c r="C101" s="342"/>
      <c r="D101" s="347"/>
      <c r="E101" s="348"/>
      <c r="F101" s="359"/>
      <c r="G101" s="350"/>
    </row>
    <row r="102" spans="1:25">
      <c r="A102" s="35">
        <v>95</v>
      </c>
      <c r="B102" s="345" t="s">
        <v>261</v>
      </c>
      <c r="C102" s="346" t="s">
        <v>242</v>
      </c>
      <c r="D102" s="364"/>
      <c r="E102" s="363">
        <v>0</v>
      </c>
      <c r="F102" s="349">
        <v>0</v>
      </c>
      <c r="G102" s="365">
        <f>SUM(E102:F102)</f>
        <v>0</v>
      </c>
      <c r="X102" s="351">
        <f>SUM(I102:W102)</f>
        <v>0</v>
      </c>
      <c r="Y102" s="351">
        <f>+G102+X102</f>
        <v>0</v>
      </c>
    </row>
    <row r="103" spans="1:25">
      <c r="A103" s="327">
        <v>96</v>
      </c>
      <c r="B103" s="345" t="s">
        <v>262</v>
      </c>
      <c r="C103" s="346" t="s">
        <v>263</v>
      </c>
      <c r="D103" s="364"/>
      <c r="E103" s="363">
        <v>0</v>
      </c>
      <c r="F103" s="349">
        <v>0</v>
      </c>
      <c r="G103" s="365">
        <f>SUM(E103:F103)</f>
        <v>0</v>
      </c>
      <c r="X103" s="351">
        <f>SUM(I103:W103)</f>
        <v>0</v>
      </c>
      <c r="Y103" s="351">
        <f>+G103+X103</f>
        <v>0</v>
      </c>
    </row>
    <row r="104" spans="1:25">
      <c r="A104" s="35">
        <v>97</v>
      </c>
      <c r="B104" s="345" t="s">
        <v>264</v>
      </c>
      <c r="C104" s="346" t="s">
        <v>58</v>
      </c>
      <c r="D104" s="364"/>
      <c r="E104" s="363">
        <v>20.25</v>
      </c>
      <c r="F104" s="349">
        <v>4896.34</v>
      </c>
      <c r="G104" s="365">
        <f>SUM(E104:F104)</f>
        <v>4916.59</v>
      </c>
      <c r="J104" s="91">
        <f>-'Advertising Adj'!F29</f>
        <v>-4916.5899999999992</v>
      </c>
      <c r="X104" s="351">
        <f>SUM(I104:W104)</f>
        <v>-4916.5899999999992</v>
      </c>
      <c r="Y104" s="351">
        <f>+G104+X104</f>
        <v>0</v>
      </c>
    </row>
    <row r="105" spans="1:25">
      <c r="A105" s="327">
        <v>98</v>
      </c>
      <c r="B105" s="345" t="s">
        <v>265</v>
      </c>
      <c r="C105" s="346" t="s">
        <v>266</v>
      </c>
      <c r="D105" s="364"/>
      <c r="E105" s="363">
        <v>0</v>
      </c>
      <c r="F105" s="349">
        <v>0</v>
      </c>
      <c r="G105" s="365">
        <f>SUM(E105:F105)</f>
        <v>0</v>
      </c>
      <c r="X105" s="351">
        <f>SUM(I105:W105)</f>
        <v>0</v>
      </c>
      <c r="Y105" s="351">
        <f>+G105+X105</f>
        <v>0</v>
      </c>
    </row>
    <row r="106" spans="1:25">
      <c r="A106" s="35">
        <v>99</v>
      </c>
      <c r="B106" s="341" t="s">
        <v>267</v>
      </c>
      <c r="C106" s="342"/>
      <c r="D106" s="376"/>
      <c r="E106" s="377">
        <f t="shared" ref="E106:S106" si="51">SUM(E102:E105)</f>
        <v>20.25</v>
      </c>
      <c r="F106" s="354">
        <f t="shared" si="51"/>
        <v>4896.34</v>
      </c>
      <c r="G106" s="356">
        <f t="shared" si="51"/>
        <v>4916.59</v>
      </c>
      <c r="I106" s="355">
        <f t="shared" si="51"/>
        <v>0</v>
      </c>
      <c r="J106" s="355">
        <f t="shared" si="51"/>
        <v>-4916.5899999999992</v>
      </c>
      <c r="K106" s="356">
        <f>SUM(K102:K105)</f>
        <v>0</v>
      </c>
      <c r="L106" s="355">
        <f t="shared" si="51"/>
        <v>0</v>
      </c>
      <c r="M106" s="355">
        <f t="shared" si="51"/>
        <v>0</v>
      </c>
      <c r="N106" s="355">
        <f t="shared" si="51"/>
        <v>0</v>
      </c>
      <c r="O106" s="355">
        <f t="shared" si="51"/>
        <v>0</v>
      </c>
      <c r="P106" s="355">
        <f t="shared" si="51"/>
        <v>0</v>
      </c>
      <c r="Q106" s="355">
        <f t="shared" ref="Q106" si="52">SUM(Q102:Q105)</f>
        <v>0</v>
      </c>
      <c r="R106" s="357">
        <f t="shared" si="51"/>
        <v>0</v>
      </c>
      <c r="S106" s="355">
        <f t="shared" si="51"/>
        <v>0</v>
      </c>
      <c r="T106" s="355">
        <f t="shared" ref="T106" si="53">SUM(T102:T105)</f>
        <v>0</v>
      </c>
      <c r="U106" s="355">
        <f>SUM(U102:U105)</f>
        <v>0</v>
      </c>
      <c r="V106" s="356">
        <f>SUM(V102:V105)</f>
        <v>0</v>
      </c>
      <c r="W106" s="356">
        <f>SUM(W102:W105)</f>
        <v>0</v>
      </c>
      <c r="X106" s="356">
        <f>SUM(X102:X105)</f>
        <v>-4916.5899999999992</v>
      </c>
      <c r="Y106" s="356">
        <f>SUM(Y102:Y105)</f>
        <v>0</v>
      </c>
    </row>
    <row r="107" spans="1:25">
      <c r="A107" s="327">
        <v>100</v>
      </c>
      <c r="B107" s="373"/>
      <c r="C107" s="342"/>
      <c r="D107" s="347"/>
      <c r="E107" s="348"/>
      <c r="F107" s="359"/>
      <c r="G107" s="350"/>
    </row>
    <row r="108" spans="1:25">
      <c r="A108" s="35">
        <v>101</v>
      </c>
      <c r="B108" s="341" t="s">
        <v>268</v>
      </c>
      <c r="C108" s="342"/>
      <c r="D108" s="347"/>
      <c r="E108" s="348"/>
      <c r="F108" s="359"/>
      <c r="G108" s="350"/>
    </row>
    <row r="109" spans="1:25">
      <c r="A109" s="327">
        <v>102</v>
      </c>
      <c r="B109" s="345" t="s">
        <v>269</v>
      </c>
      <c r="C109" s="346" t="s">
        <v>270</v>
      </c>
      <c r="D109" s="347"/>
      <c r="E109" s="361" t="s">
        <v>988</v>
      </c>
      <c r="F109" s="389">
        <v>5584155.7800000003</v>
      </c>
      <c r="G109" s="362">
        <f t="shared" ref="G109:G119" si="54">SUM(E109:F109)</f>
        <v>5584155.7800000003</v>
      </c>
      <c r="N109" s="387">
        <f>+'Pro Forma Wage Adjustment'!P32+'Pro Forma Wage Adjustment'!P57+'Pro Forma Wage Adjustment'!P33+'Pro Forma Wage Adjustment'!P85</f>
        <v>447508.06402518111</v>
      </c>
      <c r="X109" s="351">
        <f t="shared" ref="X109:X119" si="55">SUM(I109:W109)</f>
        <v>447508.06402518111</v>
      </c>
      <c r="Y109" s="351">
        <f t="shared" ref="Y109:Y119" si="56">+G109+X109</f>
        <v>6031663.8440251816</v>
      </c>
    </row>
    <row r="110" spans="1:25">
      <c r="A110" s="35">
        <v>103</v>
      </c>
      <c r="B110" s="345" t="s">
        <v>271</v>
      </c>
      <c r="C110" s="346" t="s">
        <v>272</v>
      </c>
      <c r="D110" s="347"/>
      <c r="E110" s="361">
        <v>24131.68</v>
      </c>
      <c r="F110" s="389">
        <v>2433731.15</v>
      </c>
      <c r="G110" s="362">
        <f t="shared" si="54"/>
        <v>2457862.83</v>
      </c>
      <c r="N110" s="91">
        <f>+'Pro Forma Wage Adjustment'!P58</f>
        <v>24.404337890712004</v>
      </c>
      <c r="X110" s="351">
        <f t="shared" si="55"/>
        <v>24.404337890712004</v>
      </c>
      <c r="Y110" s="351">
        <f t="shared" si="56"/>
        <v>2457887.234337891</v>
      </c>
    </row>
    <row r="111" spans="1:25">
      <c r="A111" s="327">
        <v>104</v>
      </c>
      <c r="B111" s="345" t="s">
        <v>273</v>
      </c>
      <c r="C111" s="346" t="s">
        <v>274</v>
      </c>
      <c r="D111" s="347"/>
      <c r="E111" s="361">
        <v>162799.32999999999</v>
      </c>
      <c r="F111" s="389">
        <v>834905.63</v>
      </c>
      <c r="G111" s="362">
        <f t="shared" si="54"/>
        <v>997704.96</v>
      </c>
      <c r="P111" s="91">
        <f>+'Rate Case Costs'!G15</f>
        <v>298511.64</v>
      </c>
      <c r="X111" s="351">
        <f t="shared" si="55"/>
        <v>298511.64</v>
      </c>
      <c r="Y111" s="351">
        <f t="shared" si="56"/>
        <v>1296216.6000000001</v>
      </c>
    </row>
    <row r="112" spans="1:25">
      <c r="A112" s="35">
        <v>105</v>
      </c>
      <c r="B112" s="345" t="s">
        <v>275</v>
      </c>
      <c r="C112" s="346" t="s">
        <v>276</v>
      </c>
      <c r="D112" s="347"/>
      <c r="E112" s="363">
        <v>0</v>
      </c>
      <c r="F112" s="389">
        <v>60387.9</v>
      </c>
      <c r="G112" s="362">
        <f t="shared" si="54"/>
        <v>60387.9</v>
      </c>
      <c r="X112" s="351">
        <f t="shared" si="55"/>
        <v>0</v>
      </c>
      <c r="Y112" s="351">
        <f t="shared" si="56"/>
        <v>60387.9</v>
      </c>
    </row>
    <row r="113" spans="1:25">
      <c r="A113" s="327">
        <v>106</v>
      </c>
      <c r="B113" s="345" t="s">
        <v>277</v>
      </c>
      <c r="C113" s="346" t="s">
        <v>278</v>
      </c>
      <c r="D113" s="347"/>
      <c r="E113" s="361">
        <v>59991.79</v>
      </c>
      <c r="F113" s="389">
        <v>1013781.81</v>
      </c>
      <c r="G113" s="362">
        <f t="shared" si="54"/>
        <v>1073773.6000000001</v>
      </c>
      <c r="X113" s="351">
        <f t="shared" si="55"/>
        <v>0</v>
      </c>
      <c r="Y113" s="351">
        <f t="shared" si="56"/>
        <v>1073773.6000000001</v>
      </c>
    </row>
    <row r="114" spans="1:25">
      <c r="A114" s="35">
        <v>107</v>
      </c>
      <c r="B114" s="345" t="s">
        <v>279</v>
      </c>
      <c r="C114" s="346" t="s">
        <v>280</v>
      </c>
      <c r="D114" s="347"/>
      <c r="E114" s="361">
        <v>2462662.3199999998</v>
      </c>
      <c r="F114" s="389">
        <v>2012160.5</v>
      </c>
      <c r="G114" s="362">
        <f t="shared" si="54"/>
        <v>4474822.82</v>
      </c>
      <c r="N114" s="91">
        <f>+'Pro Forma Wage Adjustment'!P59+'Pro Forma Wage Adjustment'!P34</f>
        <v>2878.8452481600621</v>
      </c>
      <c r="Q114" s="91">
        <f>+'Pro Forma Compliance Department'!L16</f>
        <v>82692.896831999999</v>
      </c>
      <c r="X114" s="351">
        <f t="shared" si="55"/>
        <v>85571.742080160067</v>
      </c>
      <c r="Y114" s="351">
        <f t="shared" si="56"/>
        <v>4560394.5620801607</v>
      </c>
    </row>
    <row r="115" spans="1:25">
      <c r="A115" s="327">
        <v>108</v>
      </c>
      <c r="B115" s="345" t="s">
        <v>281</v>
      </c>
      <c r="C115" s="346" t="s">
        <v>282</v>
      </c>
      <c r="D115" s="364"/>
      <c r="E115" s="363">
        <v>0</v>
      </c>
      <c r="F115" s="389">
        <v>0</v>
      </c>
      <c r="G115" s="365">
        <f t="shared" si="54"/>
        <v>0</v>
      </c>
      <c r="X115" s="351">
        <f t="shared" si="55"/>
        <v>0</v>
      </c>
      <c r="Y115" s="351">
        <f t="shared" si="56"/>
        <v>0</v>
      </c>
    </row>
    <row r="116" spans="1:25">
      <c r="A116" s="35">
        <v>109</v>
      </c>
      <c r="B116" s="345" t="s">
        <v>283</v>
      </c>
      <c r="C116" s="346" t="s">
        <v>284</v>
      </c>
      <c r="D116" s="364"/>
      <c r="E116" s="361">
        <v>8395</v>
      </c>
      <c r="F116" s="389">
        <v>41405.449999999997</v>
      </c>
      <c r="G116" s="365">
        <f t="shared" si="54"/>
        <v>49800.45</v>
      </c>
      <c r="J116" s="91">
        <f>-'Advertising Adj'!F75</f>
        <v>-49800.45</v>
      </c>
      <c r="X116" s="351">
        <f t="shared" si="55"/>
        <v>-49800.45</v>
      </c>
      <c r="Y116" s="351">
        <f t="shared" si="56"/>
        <v>0</v>
      </c>
    </row>
    <row r="117" spans="1:25">
      <c r="A117" s="327">
        <v>110</v>
      </c>
      <c r="B117" s="345" t="s">
        <v>285</v>
      </c>
      <c r="C117" s="346" t="s">
        <v>286</v>
      </c>
      <c r="D117" s="347"/>
      <c r="E117" s="363">
        <v>11518.5</v>
      </c>
      <c r="F117" s="389">
        <v>763380.09</v>
      </c>
      <c r="G117" s="362">
        <f t="shared" si="54"/>
        <v>774898.59</v>
      </c>
      <c r="X117" s="351">
        <f t="shared" si="55"/>
        <v>0</v>
      </c>
      <c r="Y117" s="351">
        <f t="shared" si="56"/>
        <v>774898.59</v>
      </c>
    </row>
    <row r="118" spans="1:25">
      <c r="A118" s="35">
        <v>111</v>
      </c>
      <c r="B118" s="345" t="s">
        <v>287</v>
      </c>
      <c r="C118" s="346" t="s">
        <v>217</v>
      </c>
      <c r="D118" s="347"/>
      <c r="E118" s="361">
        <v>494.56</v>
      </c>
      <c r="F118" s="389">
        <v>1238178.95</v>
      </c>
      <c r="G118" s="362">
        <f t="shared" si="54"/>
        <v>1238673.51</v>
      </c>
      <c r="X118" s="351">
        <f t="shared" si="55"/>
        <v>0</v>
      </c>
      <c r="Y118" s="351">
        <f t="shared" si="56"/>
        <v>1238673.51</v>
      </c>
    </row>
    <row r="119" spans="1:25">
      <c r="A119" s="327">
        <v>112</v>
      </c>
      <c r="B119" s="345" t="s">
        <v>288</v>
      </c>
      <c r="C119" s="346" t="s">
        <v>289</v>
      </c>
      <c r="D119" s="379"/>
      <c r="E119" s="393">
        <v>23669.53</v>
      </c>
      <c r="F119" s="394">
        <v>9173.67</v>
      </c>
      <c r="G119" s="395">
        <f t="shared" si="54"/>
        <v>32843.199999999997</v>
      </c>
      <c r="N119" s="91">
        <f>+'Pro Forma Wage Adjustment'!P60</f>
        <v>246.57569978300998</v>
      </c>
      <c r="X119" s="351">
        <f t="shared" si="55"/>
        <v>246.57569978300998</v>
      </c>
      <c r="Y119" s="351">
        <f t="shared" si="56"/>
        <v>33089.775699783007</v>
      </c>
    </row>
    <row r="120" spans="1:25">
      <c r="A120" s="35">
        <v>113</v>
      </c>
      <c r="B120" s="373"/>
      <c r="C120" s="342"/>
      <c r="D120" s="347"/>
      <c r="E120" s="348">
        <f t="shared" ref="E120:S120" si="57">SUM(E109:E119)</f>
        <v>2753662.7099999995</v>
      </c>
      <c r="F120" s="359">
        <f t="shared" si="57"/>
        <v>13991260.93</v>
      </c>
      <c r="G120" s="350">
        <f t="shared" si="57"/>
        <v>16744923.639999999</v>
      </c>
      <c r="I120" s="350">
        <f t="shared" si="57"/>
        <v>0</v>
      </c>
      <c r="J120" s="350">
        <f t="shared" si="57"/>
        <v>-49800.45</v>
      </c>
      <c r="K120" s="365">
        <f>SUM(K109:K119)</f>
        <v>0</v>
      </c>
      <c r="L120" s="350">
        <f t="shared" si="57"/>
        <v>0</v>
      </c>
      <c r="M120" s="350">
        <f t="shared" si="57"/>
        <v>0</v>
      </c>
      <c r="N120" s="350">
        <f t="shared" si="57"/>
        <v>450657.88931101491</v>
      </c>
      <c r="O120" s="350">
        <f t="shared" si="57"/>
        <v>0</v>
      </c>
      <c r="P120" s="350">
        <f t="shared" si="57"/>
        <v>298511.64</v>
      </c>
      <c r="Q120" s="350">
        <f t="shared" ref="Q120" si="58">SUM(Q109:Q119)</f>
        <v>82692.896831999999</v>
      </c>
      <c r="R120" s="378"/>
      <c r="S120" s="350">
        <f t="shared" si="57"/>
        <v>0</v>
      </c>
      <c r="T120" s="350">
        <f t="shared" ref="T120" si="59">SUM(T109:T119)</f>
        <v>0</v>
      </c>
      <c r="U120" s="350">
        <f>SUM(U109:U119)</f>
        <v>0</v>
      </c>
      <c r="V120" s="350">
        <f>SUM(V109:V119)</f>
        <v>0</v>
      </c>
      <c r="W120" s="350">
        <f>SUM(W109:W119)</f>
        <v>0</v>
      </c>
      <c r="X120" s="350">
        <f>SUM(X109:X119)</f>
        <v>782061.97614301508</v>
      </c>
      <c r="Y120" s="350">
        <f>SUM(Y109:Y119)</f>
        <v>17526985.616143018</v>
      </c>
    </row>
    <row r="121" spans="1:25">
      <c r="A121" s="327">
        <v>114</v>
      </c>
      <c r="B121" s="345" t="s">
        <v>290</v>
      </c>
      <c r="C121" s="346" t="s">
        <v>291</v>
      </c>
      <c r="D121" s="347"/>
      <c r="E121" s="361">
        <v>-89655.76</v>
      </c>
      <c r="F121" s="389">
        <v>-195309.92</v>
      </c>
      <c r="G121" s="362">
        <f>SUM(E121:F121)</f>
        <v>-284965.68</v>
      </c>
      <c r="X121" s="351">
        <f>SUM(I121:W121)</f>
        <v>0</v>
      </c>
      <c r="Y121" s="351">
        <f>+G121+X121</f>
        <v>-284965.68</v>
      </c>
    </row>
    <row r="122" spans="1:25">
      <c r="A122" s="35">
        <v>115</v>
      </c>
      <c r="B122" s="341" t="s">
        <v>292</v>
      </c>
      <c r="C122" s="342"/>
      <c r="D122" s="352"/>
      <c r="E122" s="353">
        <f t="shared" ref="E122:S122" si="60">E120+E121</f>
        <v>2664006.9499999997</v>
      </c>
      <c r="F122" s="366">
        <f t="shared" si="60"/>
        <v>13795951.01</v>
      </c>
      <c r="G122" s="355">
        <f t="shared" si="60"/>
        <v>16459957.959999999</v>
      </c>
      <c r="I122" s="355">
        <f t="shared" si="60"/>
        <v>0</v>
      </c>
      <c r="J122" s="355">
        <f t="shared" si="60"/>
        <v>-49800.45</v>
      </c>
      <c r="K122" s="356">
        <f>K120+K121</f>
        <v>0</v>
      </c>
      <c r="L122" s="355">
        <f t="shared" si="60"/>
        <v>0</v>
      </c>
      <c r="M122" s="355">
        <f t="shared" si="60"/>
        <v>0</v>
      </c>
      <c r="N122" s="355">
        <f t="shared" si="60"/>
        <v>450657.88931101491</v>
      </c>
      <c r="O122" s="355">
        <f t="shared" si="60"/>
        <v>0</v>
      </c>
      <c r="P122" s="355">
        <f t="shared" si="60"/>
        <v>298511.64</v>
      </c>
      <c r="Q122" s="355">
        <f t="shared" ref="Q122" si="61">Q120+Q121</f>
        <v>82692.896831999999</v>
      </c>
      <c r="R122" s="357"/>
      <c r="S122" s="355">
        <f t="shared" si="60"/>
        <v>0</v>
      </c>
      <c r="T122" s="355">
        <f t="shared" ref="T122" si="62">T120+T121</f>
        <v>0</v>
      </c>
      <c r="U122" s="355">
        <f>U120+U121</f>
        <v>0</v>
      </c>
      <c r="V122" s="355">
        <f>V120+V121</f>
        <v>0</v>
      </c>
      <c r="W122" s="355">
        <f>W120+W121</f>
        <v>0</v>
      </c>
      <c r="X122" s="355">
        <f>X120+X121</f>
        <v>782061.97614301508</v>
      </c>
      <c r="Y122" s="355">
        <f>Y120+Y121</f>
        <v>17242019.936143018</v>
      </c>
    </row>
    <row r="123" spans="1:25">
      <c r="A123" s="327">
        <v>116</v>
      </c>
      <c r="B123" s="373"/>
      <c r="C123" s="342"/>
      <c r="D123" s="347"/>
      <c r="E123" s="348"/>
      <c r="F123" s="359"/>
      <c r="G123" s="350"/>
    </row>
    <row r="124" spans="1:25" ht="16.5" thickBot="1">
      <c r="A124" s="35">
        <v>117</v>
      </c>
      <c r="B124" s="1035" t="s">
        <v>293</v>
      </c>
      <c r="C124" s="1036"/>
      <c r="D124" s="367">
        <f t="shared" ref="D124:G124" si="63">D84+D92+D99+D106+D122+D56</f>
        <v>0</v>
      </c>
      <c r="E124" s="368">
        <f t="shared" si="63"/>
        <v>18884474.25</v>
      </c>
      <c r="F124" s="369">
        <f t="shared" si="63"/>
        <v>21632870.359999999</v>
      </c>
      <c r="G124" s="370">
        <f t="shared" si="63"/>
        <v>40517344.609999999</v>
      </c>
    </row>
    <row r="125" spans="1:25" ht="16.5" thickTop="1">
      <c r="A125" s="327">
        <v>118</v>
      </c>
      <c r="B125" s="396"/>
      <c r="C125" s="397"/>
      <c r="D125" s="347"/>
      <c r="E125" s="361"/>
      <c r="F125" s="359"/>
      <c r="G125" s="350"/>
    </row>
    <row r="126" spans="1:25">
      <c r="A126" s="35">
        <v>119</v>
      </c>
      <c r="B126" s="341" t="s">
        <v>294</v>
      </c>
      <c r="C126" s="342"/>
      <c r="D126" s="347"/>
      <c r="E126" s="348"/>
      <c r="F126" s="359"/>
      <c r="G126" s="350"/>
    </row>
    <row r="127" spans="1:25">
      <c r="A127" s="327">
        <v>120</v>
      </c>
      <c r="B127" s="345" t="s">
        <v>295</v>
      </c>
      <c r="C127" s="346" t="s">
        <v>296</v>
      </c>
      <c r="D127" s="347"/>
      <c r="E127" s="361">
        <v>0</v>
      </c>
      <c r="F127" s="389">
        <v>19218442.350000001</v>
      </c>
      <c r="G127" s="362">
        <f t="shared" ref="G127:G133" si="64">SUM(E127:F127)</f>
        <v>19218442.350000001</v>
      </c>
      <c r="O127" s="91">
        <f>+'Pro Forma Plant Additions'!E18</f>
        <v>410853.14640118089</v>
      </c>
      <c r="T127" s="91">
        <f>+'CRM Adjustment (a)'!E16</f>
        <v>78010.890174750049</v>
      </c>
      <c r="X127" s="351">
        <f t="shared" ref="X127:X133" si="65">SUM(I127:W127)</f>
        <v>488864.03657593095</v>
      </c>
      <c r="Y127" s="351">
        <f t="shared" ref="Y127:Y133" si="66">+G127+X127</f>
        <v>19707306.386575934</v>
      </c>
    </row>
    <row r="128" spans="1:25">
      <c r="A128" s="35">
        <v>121</v>
      </c>
      <c r="B128" s="373"/>
      <c r="C128" s="346" t="s">
        <v>297</v>
      </c>
      <c r="D128" s="364"/>
      <c r="E128" s="361">
        <v>0</v>
      </c>
      <c r="F128" s="389">
        <v>0</v>
      </c>
      <c r="G128" s="398">
        <f t="shared" si="64"/>
        <v>0</v>
      </c>
      <c r="X128" s="351">
        <f t="shared" si="65"/>
        <v>0</v>
      </c>
      <c r="Y128" s="351">
        <f t="shared" si="66"/>
        <v>0</v>
      </c>
    </row>
    <row r="129" spans="1:25">
      <c r="A129" s="327">
        <v>122</v>
      </c>
      <c r="B129" s="373"/>
      <c r="C129" s="346" t="s">
        <v>298</v>
      </c>
      <c r="D129" s="364"/>
      <c r="E129" s="361">
        <v>0</v>
      </c>
      <c r="F129" s="389">
        <v>0</v>
      </c>
      <c r="G129" s="398">
        <f t="shared" si="64"/>
        <v>0</v>
      </c>
      <c r="X129" s="351">
        <f t="shared" si="65"/>
        <v>0</v>
      </c>
      <c r="Y129" s="351">
        <f t="shared" si="66"/>
        <v>0</v>
      </c>
    </row>
    <row r="130" spans="1:25">
      <c r="A130" s="35">
        <v>123</v>
      </c>
      <c r="B130" s="373"/>
      <c r="C130" s="346" t="s">
        <v>299</v>
      </c>
      <c r="D130" s="347"/>
      <c r="E130" s="399">
        <v>0</v>
      </c>
      <c r="F130" s="389">
        <v>0</v>
      </c>
      <c r="G130" s="362">
        <f t="shared" si="64"/>
        <v>0</v>
      </c>
      <c r="X130" s="351">
        <f t="shared" si="65"/>
        <v>0</v>
      </c>
      <c r="Y130" s="351">
        <f t="shared" si="66"/>
        <v>0</v>
      </c>
    </row>
    <row r="131" spans="1:25">
      <c r="A131" s="327">
        <v>124</v>
      </c>
      <c r="B131" s="373"/>
      <c r="C131" s="346" t="s">
        <v>300</v>
      </c>
      <c r="D131" s="364"/>
      <c r="E131" s="361">
        <v>0</v>
      </c>
      <c r="F131" s="389">
        <v>0</v>
      </c>
      <c r="G131" s="398">
        <f t="shared" si="64"/>
        <v>0</v>
      </c>
      <c r="X131" s="351">
        <f t="shared" si="65"/>
        <v>0</v>
      </c>
      <c r="Y131" s="351">
        <f t="shared" si="66"/>
        <v>0</v>
      </c>
    </row>
    <row r="132" spans="1:25">
      <c r="A132" s="35">
        <v>125</v>
      </c>
      <c r="B132" s="373"/>
      <c r="C132" s="346" t="s">
        <v>301</v>
      </c>
      <c r="D132" s="364"/>
      <c r="E132" s="361">
        <v>0</v>
      </c>
      <c r="F132" s="389">
        <v>0</v>
      </c>
      <c r="G132" s="398">
        <f t="shared" si="64"/>
        <v>0</v>
      </c>
      <c r="X132" s="351">
        <f t="shared" si="65"/>
        <v>0</v>
      </c>
      <c r="Y132" s="351">
        <f t="shared" si="66"/>
        <v>0</v>
      </c>
    </row>
    <row r="133" spans="1:25">
      <c r="A133" s="327">
        <v>126</v>
      </c>
      <c r="B133" s="345" t="s">
        <v>302</v>
      </c>
      <c r="C133" s="346" t="s">
        <v>303</v>
      </c>
      <c r="D133" s="364"/>
      <c r="E133" s="361">
        <v>0</v>
      </c>
      <c r="F133" s="389">
        <v>0</v>
      </c>
      <c r="G133" s="398">
        <f t="shared" si="64"/>
        <v>0</v>
      </c>
      <c r="X133" s="351">
        <f t="shared" si="65"/>
        <v>0</v>
      </c>
      <c r="Y133" s="351">
        <f t="shared" si="66"/>
        <v>0</v>
      </c>
    </row>
    <row r="134" spans="1:25">
      <c r="A134" s="35">
        <v>127</v>
      </c>
      <c r="B134" s="341" t="s">
        <v>304</v>
      </c>
      <c r="C134" s="342"/>
      <c r="D134" s="352"/>
      <c r="E134" s="353">
        <f t="shared" ref="E134:T134" si="67">SUM(E127:E133)</f>
        <v>0</v>
      </c>
      <c r="F134" s="366">
        <f t="shared" si="67"/>
        <v>19218442.350000001</v>
      </c>
      <c r="G134" s="355">
        <f t="shared" si="67"/>
        <v>19218442.350000001</v>
      </c>
      <c r="I134" s="355">
        <f t="shared" si="67"/>
        <v>0</v>
      </c>
      <c r="J134" s="355">
        <f t="shared" si="67"/>
        <v>0</v>
      </c>
      <c r="K134" s="356">
        <f>SUM(K127:K133)</f>
        <v>0</v>
      </c>
      <c r="L134" s="355">
        <f t="shared" si="67"/>
        <v>0</v>
      </c>
      <c r="M134" s="355">
        <f t="shared" si="67"/>
        <v>0</v>
      </c>
      <c r="N134" s="355">
        <f t="shared" si="67"/>
        <v>0</v>
      </c>
      <c r="O134" s="355">
        <f t="shared" si="67"/>
        <v>410853.14640118089</v>
      </c>
      <c r="P134" s="355">
        <f t="shared" si="67"/>
        <v>0</v>
      </c>
      <c r="Q134" s="355"/>
      <c r="R134" s="357">
        <f t="shared" si="67"/>
        <v>0</v>
      </c>
      <c r="S134" s="355">
        <f t="shared" si="67"/>
        <v>0</v>
      </c>
      <c r="T134" s="355">
        <f t="shared" si="67"/>
        <v>78010.890174750049</v>
      </c>
      <c r="U134" s="355">
        <f>SUM(U127:U133)</f>
        <v>0</v>
      </c>
      <c r="V134" s="355">
        <f>SUM(V127:V133)</f>
        <v>0</v>
      </c>
      <c r="W134" s="355">
        <f>SUM(W127:W133)</f>
        <v>0</v>
      </c>
      <c r="X134" s="355">
        <f>SUM(X127:X133)</f>
        <v>488864.03657593095</v>
      </c>
      <c r="Y134" s="355">
        <f>SUM(Y127:Y133)</f>
        <v>19707306.386575934</v>
      </c>
    </row>
    <row r="135" spans="1:25">
      <c r="A135" s="327">
        <v>128</v>
      </c>
      <c r="B135" s="373"/>
      <c r="C135" s="342"/>
      <c r="D135" s="347"/>
      <c r="E135" s="348"/>
      <c r="F135" s="359"/>
      <c r="G135" s="350"/>
    </row>
    <row r="136" spans="1:25">
      <c r="A136" s="35">
        <v>129</v>
      </c>
      <c r="B136" s="360" t="s">
        <v>305</v>
      </c>
      <c r="C136" s="342" t="s">
        <v>38</v>
      </c>
      <c r="D136" s="364"/>
      <c r="E136" s="363">
        <v>0</v>
      </c>
      <c r="F136" s="349">
        <v>0</v>
      </c>
      <c r="G136" s="365">
        <f>SUM(E136:F136)</f>
        <v>0</v>
      </c>
    </row>
    <row r="137" spans="1:25">
      <c r="A137" s="327">
        <v>130</v>
      </c>
      <c r="B137" s="373"/>
      <c r="C137" s="342"/>
      <c r="D137" s="347"/>
      <c r="E137" s="348"/>
      <c r="F137" s="359"/>
      <c r="G137" s="350"/>
      <c r="X137" s="351">
        <f>SUM(I137:W137)</f>
        <v>0</v>
      </c>
      <c r="Y137" s="351">
        <f>+G137+X137</f>
        <v>0</v>
      </c>
    </row>
    <row r="138" spans="1:25">
      <c r="A138" s="35">
        <v>131</v>
      </c>
      <c r="B138" s="341" t="s">
        <v>306</v>
      </c>
      <c r="C138" s="342"/>
      <c r="D138" s="347"/>
      <c r="E138" s="348"/>
      <c r="F138" s="359"/>
      <c r="G138" s="350"/>
    </row>
    <row r="139" spans="1:25">
      <c r="A139" s="327">
        <v>132</v>
      </c>
      <c r="B139" s="345" t="s">
        <v>307</v>
      </c>
      <c r="C139" s="346" t="s">
        <v>308</v>
      </c>
      <c r="D139" s="379"/>
      <c r="E139" s="380">
        <v>3209664.98</v>
      </c>
      <c r="F139" s="390">
        <v>885968.83</v>
      </c>
      <c r="G139" s="382">
        <f>SUM(E139:F139)</f>
        <v>4095633.81</v>
      </c>
      <c r="N139" s="91">
        <f>+'Pro Forma Wage Adjustment'!P17</f>
        <v>82922.448313984569</v>
      </c>
      <c r="O139" s="91">
        <f>+'Pro Forma Plant Additions'!E12</f>
        <v>211115.02764378799</v>
      </c>
      <c r="Q139" s="91">
        <f>+'Pro Forma Compliance Department'!L17</f>
        <v>13138.982496639999</v>
      </c>
      <c r="X139" s="351">
        <f>SUM(I139:W139)</f>
        <v>307176.45845441258</v>
      </c>
      <c r="Y139" s="351">
        <f>+G139+X139</f>
        <v>4402810.2684544129</v>
      </c>
    </row>
    <row r="140" spans="1:25">
      <c r="A140" s="35">
        <v>133</v>
      </c>
      <c r="B140" s="373"/>
      <c r="C140" s="342"/>
      <c r="D140" s="347"/>
      <c r="E140" s="348"/>
      <c r="F140" s="359"/>
      <c r="G140" s="350"/>
    </row>
    <row r="141" spans="1:25">
      <c r="A141" s="327">
        <v>134</v>
      </c>
      <c r="B141" s="341" t="s">
        <v>309</v>
      </c>
      <c r="C141" s="342"/>
      <c r="D141" s="347"/>
      <c r="E141" s="348"/>
      <c r="F141" s="359"/>
      <c r="G141" s="350"/>
    </row>
    <row r="142" spans="1:25">
      <c r="A142" s="35">
        <v>135</v>
      </c>
      <c r="B142" s="400" t="s">
        <v>310</v>
      </c>
      <c r="C142" s="401" t="s">
        <v>311</v>
      </c>
      <c r="D142" s="364"/>
      <c r="E142" s="363">
        <v>3159842.45</v>
      </c>
      <c r="F142" s="349">
        <v>0</v>
      </c>
      <c r="G142" s="365">
        <f t="shared" ref="G142:G147" si="68">SUM(E142:F142)</f>
        <v>3159842.45</v>
      </c>
      <c r="I142" s="91">
        <f>+'Exh MPP-5 - Summary of Adj'!G33</f>
        <v>1657174.0411896561</v>
      </c>
      <c r="J142" s="91">
        <f>+'Exh MPP-5 - Summary of Adj'!H33</f>
        <v>19151.463999999996</v>
      </c>
      <c r="K142" s="311">
        <f>+'Exh MPP-5 - Summary of Adj'!I33</f>
        <v>-808242.04666558688</v>
      </c>
      <c r="L142" s="91">
        <f>+'Exh MPP-5 - Summary of Adj'!J33</f>
        <v>186666.67599999998</v>
      </c>
      <c r="M142" s="91">
        <f>+'Exh MPP-5 - Summary of Adj'!L33</f>
        <v>274826.90323425876</v>
      </c>
      <c r="N142" s="91">
        <f>+'Exh MPP-5 - Summary of Adj'!M33</f>
        <v>-503242.46127323312</v>
      </c>
      <c r="O142" s="91">
        <f>+'Exh MPP-5 - Summary of Adj'!N33</f>
        <v>-150809.53826516928</v>
      </c>
      <c r="P142" s="91">
        <f>+'Exh MPP-5 - Summary of Adj'!O33</f>
        <v>-104479.07399999999</v>
      </c>
      <c r="Q142" s="91">
        <f>+'Exh MPP-5 - Summary of Adj'!P33</f>
        <v>-97857.855301023999</v>
      </c>
      <c r="R142" s="310">
        <f>+'Exh MPP-5 - Summary of Adj'!Q33</f>
        <v>-335680.39189999999</v>
      </c>
      <c r="S142" s="91">
        <f>+'Exh MPP-5 - Summary of Adj'!R33</f>
        <v>-33999.280552280747</v>
      </c>
      <c r="T142" s="91">
        <f>+'Exh MPP-5 - Summary of Adj'!S33</f>
        <v>-27303.811561162514</v>
      </c>
      <c r="U142" s="91">
        <f>+'Exh MPP-5 - Summary of Adj'!T33</f>
        <v>1746070.5240536744</v>
      </c>
      <c r="V142" s="152"/>
      <c r="X142" s="351">
        <f t="shared" ref="X142:X147" si="69">SUM(I142:W142)</f>
        <v>1822275.1489591328</v>
      </c>
      <c r="Y142" s="351">
        <f t="shared" ref="Y142:Y147" si="70">+G142+X142</f>
        <v>4982117.598959133</v>
      </c>
    </row>
    <row r="143" spans="1:25">
      <c r="A143" s="327">
        <v>136</v>
      </c>
      <c r="B143" s="400" t="s">
        <v>310</v>
      </c>
      <c r="C143" s="401" t="s">
        <v>312</v>
      </c>
      <c r="D143" s="364"/>
      <c r="E143" s="363">
        <v>0</v>
      </c>
      <c r="F143" s="349">
        <v>0</v>
      </c>
      <c r="G143" s="365">
        <f t="shared" si="68"/>
        <v>0</v>
      </c>
      <c r="X143" s="351">
        <f t="shared" si="69"/>
        <v>0</v>
      </c>
      <c r="Y143" s="351">
        <f t="shared" si="70"/>
        <v>0</v>
      </c>
    </row>
    <row r="144" spans="1:25">
      <c r="A144" s="35">
        <v>137</v>
      </c>
      <c r="B144" s="400" t="s">
        <v>313</v>
      </c>
      <c r="C144" s="401" t="s">
        <v>314</v>
      </c>
      <c r="D144" s="364"/>
      <c r="E144" s="363">
        <v>1031914.19</v>
      </c>
      <c r="F144" s="349">
        <v>0</v>
      </c>
      <c r="G144" s="365">
        <f t="shared" si="68"/>
        <v>1031914.19</v>
      </c>
      <c r="X144" s="351">
        <f t="shared" si="69"/>
        <v>0</v>
      </c>
      <c r="Y144" s="351">
        <f t="shared" si="70"/>
        <v>1031914.19</v>
      </c>
    </row>
    <row r="145" spans="1:25">
      <c r="A145" s="327">
        <v>138</v>
      </c>
      <c r="B145" s="400" t="s">
        <v>313</v>
      </c>
      <c r="C145" s="401" t="s">
        <v>315</v>
      </c>
      <c r="D145" s="364"/>
      <c r="E145" s="363">
        <v>0</v>
      </c>
      <c r="F145" s="349">
        <v>0</v>
      </c>
      <c r="G145" s="365">
        <f t="shared" si="68"/>
        <v>0</v>
      </c>
      <c r="X145" s="351">
        <f t="shared" si="69"/>
        <v>0</v>
      </c>
      <c r="Y145" s="351">
        <f t="shared" si="70"/>
        <v>0</v>
      </c>
    </row>
    <row r="146" spans="1:25">
      <c r="A146" s="35">
        <v>139</v>
      </c>
      <c r="B146" s="400" t="s">
        <v>316</v>
      </c>
      <c r="C146" s="401" t="s">
        <v>317</v>
      </c>
      <c r="D146" s="364"/>
      <c r="E146" s="363">
        <v>0</v>
      </c>
      <c r="F146" s="349">
        <v>0</v>
      </c>
      <c r="G146" s="365">
        <f t="shared" si="68"/>
        <v>0</v>
      </c>
      <c r="X146" s="351">
        <f t="shared" si="69"/>
        <v>0</v>
      </c>
      <c r="Y146" s="351">
        <f t="shared" si="70"/>
        <v>0</v>
      </c>
    </row>
    <row r="147" spans="1:25">
      <c r="A147" s="327">
        <v>140</v>
      </c>
      <c r="B147" s="400" t="s">
        <v>318</v>
      </c>
      <c r="C147" s="401" t="s">
        <v>319</v>
      </c>
      <c r="D147" s="347"/>
      <c r="E147" s="363">
        <v>0</v>
      </c>
      <c r="F147" s="349">
        <v>-37382.410000000003</v>
      </c>
      <c r="G147" s="362">
        <f t="shared" si="68"/>
        <v>-37382.410000000003</v>
      </c>
      <c r="X147" s="351">
        <f t="shared" si="69"/>
        <v>0</v>
      </c>
      <c r="Y147" s="351">
        <f t="shared" si="70"/>
        <v>-37382.410000000003</v>
      </c>
    </row>
    <row r="148" spans="1:25">
      <c r="A148" s="35">
        <v>141</v>
      </c>
      <c r="B148" s="341" t="s">
        <v>320</v>
      </c>
      <c r="C148" s="342"/>
      <c r="D148" s="352"/>
      <c r="E148" s="353">
        <f t="shared" ref="E148:G148" si="71">SUM(E142:E147)</f>
        <v>4191756.64</v>
      </c>
      <c r="F148" s="366">
        <f t="shared" si="71"/>
        <v>-37382.410000000003</v>
      </c>
      <c r="G148" s="355">
        <f t="shared" si="71"/>
        <v>4154374.23</v>
      </c>
      <c r="I148" s="355">
        <f t="shared" ref="I148:P148" si="72">SUM(I142:I147)</f>
        <v>1657174.0411896561</v>
      </c>
      <c r="J148" s="355">
        <f t="shared" si="72"/>
        <v>19151.463999999996</v>
      </c>
      <c r="K148" s="356">
        <f>SUM(K142:K147)</f>
        <v>-808242.04666558688</v>
      </c>
      <c r="L148" s="355">
        <f>SUM(L142:L147)</f>
        <v>186666.67599999998</v>
      </c>
      <c r="M148" s="355">
        <f t="shared" si="72"/>
        <v>274826.90323425876</v>
      </c>
      <c r="N148" s="355">
        <f t="shared" si="72"/>
        <v>-503242.46127323312</v>
      </c>
      <c r="O148" s="355">
        <f t="shared" si="72"/>
        <v>-150809.53826516928</v>
      </c>
      <c r="P148" s="355">
        <f t="shared" si="72"/>
        <v>-104479.07399999999</v>
      </c>
      <c r="Q148" s="355">
        <f t="shared" ref="Q148" si="73">SUM(Q142:Q147)</f>
        <v>-97857.855301023999</v>
      </c>
      <c r="R148" s="357">
        <f t="shared" ref="R148:Y148" si="74">SUM(R142:R147)</f>
        <v>-335680.39189999999</v>
      </c>
      <c r="S148" s="355">
        <f t="shared" si="74"/>
        <v>-33999.280552280747</v>
      </c>
      <c r="T148" s="355">
        <f t="shared" ref="T148" si="75">SUM(T142:T147)</f>
        <v>-27303.811561162514</v>
      </c>
      <c r="U148" s="355">
        <f t="shared" si="74"/>
        <v>1746070.5240536744</v>
      </c>
      <c r="V148" s="355">
        <f t="shared" si="74"/>
        <v>0</v>
      </c>
      <c r="W148" s="355">
        <f t="shared" si="74"/>
        <v>0</v>
      </c>
      <c r="X148" s="355">
        <f t="shared" si="74"/>
        <v>1822275.1489591328</v>
      </c>
      <c r="Y148" s="355">
        <f t="shared" si="74"/>
        <v>5976649.3789591324</v>
      </c>
    </row>
    <row r="149" spans="1:25">
      <c r="A149" s="327">
        <v>142</v>
      </c>
      <c r="B149" s="341" t="s">
        <v>321</v>
      </c>
      <c r="C149" s="342"/>
      <c r="D149" s="347"/>
      <c r="E149" s="348">
        <f t="shared" ref="E149:G149" si="76">E84+E92+E99+E106+E122+E134+E136+E139+E148+E56</f>
        <v>26285895.870000001</v>
      </c>
      <c r="F149" s="359">
        <f t="shared" si="76"/>
        <v>41699899.130000003</v>
      </c>
      <c r="G149" s="350">
        <f t="shared" si="76"/>
        <v>67985795</v>
      </c>
      <c r="I149" s="350">
        <f t="shared" ref="I149:P149" si="77">I84+I92+I99+I106+I122+I134+I136+I139+I148+I56</f>
        <v>1715859.9961457474</v>
      </c>
      <c r="J149" s="350">
        <f t="shared" si="77"/>
        <v>-35565.576000000001</v>
      </c>
      <c r="K149" s="365">
        <f>K84+K92+K99+K106+K122+K134+K136+K139+K148+K56</f>
        <v>-841352.11945122224</v>
      </c>
      <c r="L149" s="350">
        <f>L84+L92+L99+L106+L122+L134+L136+L139+L148+L56</f>
        <v>-346666.68400000001</v>
      </c>
      <c r="M149" s="350">
        <f t="shared" si="77"/>
        <v>274826.90323425876</v>
      </c>
      <c r="N149" s="350">
        <f t="shared" si="77"/>
        <v>934593.14236457588</v>
      </c>
      <c r="O149" s="350">
        <f t="shared" si="77"/>
        <v>471917.02995017171</v>
      </c>
      <c r="P149" s="350">
        <f t="shared" si="77"/>
        <v>194032.56600000002</v>
      </c>
      <c r="Q149" s="350">
        <f t="shared" ref="Q149" si="78">Q84+Q92+Q99+Q106+Q122+Q134+Q136+Q139+Q148+Q56</f>
        <v>181736.01698761602</v>
      </c>
      <c r="R149" s="378">
        <f t="shared" ref="R149:Y149" si="79">R84+R92+R99+R106+R122+R134+R136+R139+R148+R56</f>
        <v>623406.4421000001</v>
      </c>
      <c r="S149" s="350">
        <f t="shared" si="79"/>
        <v>-34384.823574335758</v>
      </c>
      <c r="T149" s="350">
        <f t="shared" ref="T149" si="80">T84+T92+T99+T106+T122+T134+T136+T139+T148+T56</f>
        <v>50707.078613587539</v>
      </c>
      <c r="U149" s="350">
        <f t="shared" si="79"/>
        <v>1765870.5108660329</v>
      </c>
      <c r="V149" s="350">
        <f t="shared" si="79"/>
        <v>0</v>
      </c>
      <c r="W149" s="350">
        <f t="shared" si="79"/>
        <v>0</v>
      </c>
      <c r="X149" s="350">
        <f t="shared" si="79"/>
        <v>4954980.483236433</v>
      </c>
      <c r="Y149" s="350">
        <f t="shared" si="79"/>
        <v>72940775.483236447</v>
      </c>
    </row>
    <row r="150" spans="1:25" ht="16.5" thickBot="1">
      <c r="A150" s="35">
        <v>143</v>
      </c>
      <c r="B150" s="341" t="s">
        <v>322</v>
      </c>
      <c r="C150" s="342"/>
      <c r="D150" s="402">
        <f t="shared" ref="D150:G150" si="81">D53-D149</f>
        <v>0</v>
      </c>
      <c r="E150" s="403">
        <f t="shared" si="81"/>
        <v>58213090.219999999</v>
      </c>
      <c r="F150" s="404">
        <f t="shared" si="81"/>
        <v>-41608428.039999999</v>
      </c>
      <c r="G150" s="405">
        <f t="shared" si="81"/>
        <v>16604662.180000007</v>
      </c>
      <c r="I150" s="405">
        <f t="shared" ref="I150:P150" si="82">I53-I149</f>
        <v>3077608.9336379329</v>
      </c>
      <c r="J150" s="405">
        <f t="shared" si="82"/>
        <v>35565.576000000001</v>
      </c>
      <c r="K150" s="406">
        <f>K53-K149</f>
        <v>-1501020.9438075188</v>
      </c>
      <c r="L150" s="405">
        <f>L53-L149</f>
        <v>346666.68400000001</v>
      </c>
      <c r="M150" s="405">
        <f t="shared" si="82"/>
        <v>-274826.90323425876</v>
      </c>
      <c r="N150" s="405">
        <f t="shared" si="82"/>
        <v>-934593.14236457588</v>
      </c>
      <c r="O150" s="405">
        <f t="shared" si="82"/>
        <v>-280074.85677817173</v>
      </c>
      <c r="P150" s="405">
        <f t="shared" si="82"/>
        <v>-194032.56600000002</v>
      </c>
      <c r="Q150" s="405">
        <f t="shared" ref="Q150" si="83">Q53-Q149</f>
        <v>-181736.01698761602</v>
      </c>
      <c r="R150" s="407">
        <f t="shared" ref="R150:Y150" si="84">R53-R149</f>
        <v>-623406.4421000001</v>
      </c>
      <c r="S150" s="405">
        <f t="shared" si="84"/>
        <v>-63141.521025664239</v>
      </c>
      <c r="T150" s="405">
        <f t="shared" ref="T150" si="85">T53-T149</f>
        <v>-50707.078613587539</v>
      </c>
      <c r="U150" s="405">
        <f t="shared" si="84"/>
        <v>3242702.4018139672</v>
      </c>
      <c r="V150" s="405">
        <f t="shared" si="84"/>
        <v>0</v>
      </c>
      <c r="W150" s="405">
        <f t="shared" si="84"/>
        <v>0</v>
      </c>
      <c r="X150" s="405">
        <f t="shared" si="84"/>
        <v>2599004.124540505</v>
      </c>
      <c r="Y150" s="405">
        <f t="shared" si="84"/>
        <v>19203666.304540485</v>
      </c>
    </row>
    <row r="151" spans="1:25" ht="16.5" thickTop="1">
      <c r="A151" s="327">
        <v>144</v>
      </c>
      <c r="B151" s="373"/>
      <c r="C151" s="342"/>
      <c r="D151" s="347"/>
      <c r="E151" s="348"/>
      <c r="F151" s="359"/>
      <c r="G151" s="350"/>
      <c r="Y151" s="408"/>
    </row>
    <row r="152" spans="1:25">
      <c r="A152" s="35">
        <v>145</v>
      </c>
      <c r="B152" s="341" t="s">
        <v>323</v>
      </c>
      <c r="C152" s="342"/>
      <c r="D152" s="347"/>
      <c r="E152" s="348"/>
      <c r="F152" s="359"/>
      <c r="G152" s="350"/>
    </row>
    <row r="153" spans="1:25">
      <c r="A153" s="327">
        <v>146</v>
      </c>
      <c r="B153" s="345" t="s">
        <v>88</v>
      </c>
      <c r="C153" s="346" t="s">
        <v>324</v>
      </c>
      <c r="D153" s="347"/>
      <c r="E153" s="399">
        <v>0</v>
      </c>
      <c r="F153" s="389">
        <v>8531170.2699999996</v>
      </c>
      <c r="G153" s="362">
        <f t="shared" ref="G153:G158" si="86">SUM(E153:F153)</f>
        <v>8531170.2699999996</v>
      </c>
    </row>
    <row r="154" spans="1:25">
      <c r="A154" s="35">
        <v>147</v>
      </c>
      <c r="B154" s="345" t="s">
        <v>89</v>
      </c>
      <c r="C154" s="346" t="s">
        <v>90</v>
      </c>
      <c r="D154" s="347"/>
      <c r="E154" s="399">
        <v>0</v>
      </c>
      <c r="F154" s="389">
        <v>131614.6</v>
      </c>
      <c r="G154" s="362">
        <f t="shared" si="86"/>
        <v>131614.6</v>
      </c>
    </row>
    <row r="155" spans="1:25">
      <c r="A155" s="327">
        <v>148</v>
      </c>
      <c r="B155" s="345" t="s">
        <v>91</v>
      </c>
      <c r="C155" s="346" t="s">
        <v>92</v>
      </c>
      <c r="D155" s="347"/>
      <c r="E155" s="399">
        <v>0</v>
      </c>
      <c r="F155" s="389">
        <v>31363.08</v>
      </c>
      <c r="G155" s="362">
        <f t="shared" si="86"/>
        <v>31363.08</v>
      </c>
    </row>
    <row r="156" spans="1:25">
      <c r="A156" s="35">
        <v>149</v>
      </c>
      <c r="B156" s="345" t="s">
        <v>325</v>
      </c>
      <c r="C156" s="346" t="s">
        <v>326</v>
      </c>
      <c r="D156" s="347"/>
      <c r="E156" s="361">
        <v>228343.44</v>
      </c>
      <c r="F156" s="409">
        <v>0</v>
      </c>
      <c r="G156" s="362">
        <f t="shared" si="86"/>
        <v>228343.44</v>
      </c>
    </row>
    <row r="157" spans="1:25">
      <c r="A157" s="327">
        <v>150</v>
      </c>
      <c r="B157" s="345" t="s">
        <v>327</v>
      </c>
      <c r="C157" s="346" t="s">
        <v>328</v>
      </c>
      <c r="D157" s="347"/>
      <c r="E157" s="399">
        <v>0</v>
      </c>
      <c r="F157" s="389">
        <v>48641.16</v>
      </c>
      <c r="G157" s="362">
        <f t="shared" si="86"/>
        <v>48641.16</v>
      </c>
    </row>
    <row r="158" spans="1:25">
      <c r="A158" s="35">
        <v>151</v>
      </c>
      <c r="B158" s="345" t="s">
        <v>329</v>
      </c>
      <c r="C158" s="346" t="s">
        <v>330</v>
      </c>
      <c r="D158" s="347"/>
      <c r="E158" s="361">
        <v>-170469.52</v>
      </c>
      <c r="F158" s="409">
        <v>-48651.29</v>
      </c>
      <c r="G158" s="362">
        <f t="shared" si="86"/>
        <v>-219120.81</v>
      </c>
    </row>
    <row r="159" spans="1:25">
      <c r="A159" s="327">
        <v>152</v>
      </c>
      <c r="B159" s="341" t="s">
        <v>331</v>
      </c>
      <c r="C159" s="342"/>
      <c r="D159" s="352"/>
      <c r="E159" s="353">
        <f t="shared" ref="E159:G159" si="87">SUM(E153:E158)</f>
        <v>57873.920000000013</v>
      </c>
      <c r="F159" s="366">
        <f t="shared" si="87"/>
        <v>8694137.8200000003</v>
      </c>
      <c r="G159" s="355">
        <f t="shared" si="87"/>
        <v>8752011.7399999984</v>
      </c>
    </row>
    <row r="160" spans="1:25">
      <c r="A160" s="35">
        <v>153</v>
      </c>
      <c r="B160" s="373"/>
      <c r="C160" s="342"/>
      <c r="D160" s="347"/>
      <c r="E160" s="348"/>
      <c r="F160" s="359"/>
      <c r="G160" s="350"/>
    </row>
    <row r="161" spans="1:7">
      <c r="A161" s="327">
        <v>154</v>
      </c>
      <c r="B161" s="341" t="s">
        <v>332</v>
      </c>
      <c r="C161" s="342"/>
      <c r="D161" s="347"/>
      <c r="E161" s="348"/>
      <c r="F161" s="359"/>
      <c r="G161" s="350"/>
    </row>
    <row r="162" spans="1:7">
      <c r="A162" s="35">
        <v>155</v>
      </c>
      <c r="B162" s="345" t="s">
        <v>333</v>
      </c>
      <c r="C162" s="346" t="s">
        <v>334</v>
      </c>
      <c r="D162" s="364"/>
      <c r="E162" s="363">
        <v>0</v>
      </c>
      <c r="F162" s="349">
        <v>0</v>
      </c>
      <c r="G162" s="365">
        <f t="shared" ref="G162:G171" si="88">SUM(E162:F162)</f>
        <v>0</v>
      </c>
    </row>
    <row r="163" spans="1:7">
      <c r="A163" s="327">
        <v>156</v>
      </c>
      <c r="B163" s="345" t="s">
        <v>335</v>
      </c>
      <c r="C163" s="346" t="s">
        <v>336</v>
      </c>
      <c r="D163" s="364"/>
      <c r="E163" s="363">
        <v>0</v>
      </c>
      <c r="F163" s="349">
        <v>0</v>
      </c>
      <c r="G163" s="365">
        <f t="shared" si="88"/>
        <v>0</v>
      </c>
    </row>
    <row r="164" spans="1:7">
      <c r="A164" s="35">
        <v>157</v>
      </c>
      <c r="B164" s="345" t="s">
        <v>337</v>
      </c>
      <c r="C164" s="346" t="s">
        <v>338</v>
      </c>
      <c r="D164" s="347"/>
      <c r="E164" s="363">
        <v>0</v>
      </c>
      <c r="F164" s="349">
        <v>4723.75</v>
      </c>
      <c r="G164" s="362">
        <f t="shared" si="88"/>
        <v>4723.75</v>
      </c>
    </row>
    <row r="165" spans="1:7">
      <c r="A165" s="327">
        <v>158</v>
      </c>
      <c r="B165" s="345" t="s">
        <v>339</v>
      </c>
      <c r="C165" s="346" t="s">
        <v>340</v>
      </c>
      <c r="D165" s="364"/>
      <c r="E165" s="363">
        <v>0</v>
      </c>
      <c r="F165" s="349">
        <v>0</v>
      </c>
      <c r="G165" s="398">
        <f t="shared" si="88"/>
        <v>0</v>
      </c>
    </row>
    <row r="166" spans="1:7">
      <c r="A166" s="35">
        <v>159</v>
      </c>
      <c r="B166" s="345" t="s">
        <v>341</v>
      </c>
      <c r="C166" s="346" t="s">
        <v>342</v>
      </c>
      <c r="D166" s="364"/>
      <c r="E166" s="363">
        <v>0</v>
      </c>
      <c r="F166" s="349">
        <v>0</v>
      </c>
      <c r="G166" s="398">
        <f t="shared" si="88"/>
        <v>0</v>
      </c>
    </row>
    <row r="167" spans="1:7">
      <c r="A167" s="327">
        <v>160</v>
      </c>
      <c r="B167" s="345" t="s">
        <v>343</v>
      </c>
      <c r="C167" s="346" t="s">
        <v>344</v>
      </c>
      <c r="D167" s="347"/>
      <c r="E167" s="363">
        <v>410490.43</v>
      </c>
      <c r="F167" s="349">
        <v>64724.44</v>
      </c>
      <c r="G167" s="362">
        <f t="shared" si="88"/>
        <v>475214.87</v>
      </c>
    </row>
    <row r="168" spans="1:7">
      <c r="A168" s="35">
        <v>161</v>
      </c>
      <c r="B168" s="345" t="s">
        <v>345</v>
      </c>
      <c r="C168" s="346" t="s">
        <v>346</v>
      </c>
      <c r="D168" s="364"/>
      <c r="E168" s="363">
        <v>215722.3</v>
      </c>
      <c r="F168" s="349">
        <v>61602.75</v>
      </c>
      <c r="G168" s="398">
        <f t="shared" si="88"/>
        <v>277325.05</v>
      </c>
    </row>
    <row r="169" spans="1:7">
      <c r="A169" s="327">
        <v>162</v>
      </c>
      <c r="B169" s="410">
        <v>408.2</v>
      </c>
      <c r="C169" s="346" t="s">
        <v>347</v>
      </c>
      <c r="D169" s="364"/>
      <c r="E169" s="363">
        <v>-3164.36</v>
      </c>
      <c r="F169" s="349">
        <v>0</v>
      </c>
      <c r="G169" s="398">
        <f t="shared" si="88"/>
        <v>-3164.36</v>
      </c>
    </row>
    <row r="170" spans="1:7">
      <c r="A170" s="35">
        <v>163</v>
      </c>
      <c r="B170" s="345" t="s">
        <v>348</v>
      </c>
      <c r="C170" s="346" t="s">
        <v>349</v>
      </c>
      <c r="D170" s="347"/>
      <c r="E170" s="363">
        <v>0</v>
      </c>
      <c r="F170" s="349">
        <v>13297.52</v>
      </c>
      <c r="G170" s="362">
        <f t="shared" si="88"/>
        <v>13297.52</v>
      </c>
    </row>
    <row r="171" spans="1:7">
      <c r="A171" s="327">
        <v>164</v>
      </c>
      <c r="B171" s="345" t="s">
        <v>350</v>
      </c>
      <c r="C171" s="346" t="s">
        <v>655</v>
      </c>
      <c r="D171" s="347"/>
      <c r="E171" s="363">
        <v>0</v>
      </c>
      <c r="F171" s="349">
        <v>0</v>
      </c>
      <c r="G171" s="362">
        <f t="shared" si="88"/>
        <v>0</v>
      </c>
    </row>
    <row r="172" spans="1:7">
      <c r="A172" s="35">
        <v>165</v>
      </c>
      <c r="B172" s="341" t="s">
        <v>351</v>
      </c>
      <c r="C172" s="342"/>
      <c r="D172" s="352"/>
      <c r="E172" s="353">
        <f t="shared" ref="E172:G172" si="89">SUM(E162:E171)</f>
        <v>623048.37</v>
      </c>
      <c r="F172" s="366">
        <f t="shared" si="89"/>
        <v>144348.46</v>
      </c>
      <c r="G172" s="355">
        <f t="shared" si="89"/>
        <v>767396.83</v>
      </c>
    </row>
    <row r="173" spans="1:7">
      <c r="A173" s="327">
        <v>166</v>
      </c>
      <c r="B173" s="373"/>
      <c r="C173" s="342"/>
      <c r="D173" s="347"/>
      <c r="E173" s="348"/>
      <c r="F173" s="359"/>
      <c r="G173" s="350"/>
    </row>
    <row r="174" spans="1:7">
      <c r="A174" s="35">
        <v>167</v>
      </c>
      <c r="B174" s="411" t="s">
        <v>352</v>
      </c>
      <c r="C174" s="397"/>
      <c r="D174" s="347"/>
      <c r="E174" s="348"/>
      <c r="F174" s="359"/>
      <c r="G174" s="350"/>
    </row>
    <row r="175" spans="1:7">
      <c r="A175" s="327">
        <v>168</v>
      </c>
      <c r="B175" s="412" t="s">
        <v>353</v>
      </c>
      <c r="C175" s="413" t="s">
        <v>354</v>
      </c>
      <c r="D175" s="347"/>
      <c r="E175" s="361">
        <v>0</v>
      </c>
      <c r="F175" s="389">
        <v>-142375.35</v>
      </c>
      <c r="G175" s="362">
        <f t="shared" ref="G175:G184" si="90">SUM(E175:F175)</f>
        <v>-142375.35</v>
      </c>
    </row>
    <row r="176" spans="1:7">
      <c r="A176" s="35">
        <v>169</v>
      </c>
      <c r="B176" s="412" t="s">
        <v>353</v>
      </c>
      <c r="C176" s="413" t="s">
        <v>355</v>
      </c>
      <c r="D176" s="364"/>
      <c r="E176" s="363">
        <v>0</v>
      </c>
      <c r="F176" s="389">
        <v>0</v>
      </c>
      <c r="G176" s="365">
        <f t="shared" si="90"/>
        <v>0</v>
      </c>
    </row>
    <row r="177" spans="1:7">
      <c r="A177" s="327">
        <v>170</v>
      </c>
      <c r="B177" s="412" t="s">
        <v>356</v>
      </c>
      <c r="C177" s="413" t="s">
        <v>357</v>
      </c>
      <c r="D177" s="364"/>
      <c r="E177" s="363">
        <v>0</v>
      </c>
      <c r="F177" s="389">
        <v>0</v>
      </c>
      <c r="G177" s="365">
        <f t="shared" si="90"/>
        <v>0</v>
      </c>
    </row>
    <row r="178" spans="1:7">
      <c r="A178" s="35">
        <v>171</v>
      </c>
      <c r="B178" s="412" t="s">
        <v>358</v>
      </c>
      <c r="C178" s="413" t="s">
        <v>359</v>
      </c>
      <c r="D178" s="364"/>
      <c r="E178" s="363">
        <v>0</v>
      </c>
      <c r="F178" s="389">
        <v>0</v>
      </c>
      <c r="G178" s="365">
        <f t="shared" si="90"/>
        <v>0</v>
      </c>
    </row>
    <row r="179" spans="1:7">
      <c r="A179" s="327">
        <v>172</v>
      </c>
      <c r="B179" s="345" t="s">
        <v>360</v>
      </c>
      <c r="C179" s="346" t="s">
        <v>361</v>
      </c>
      <c r="D179" s="364"/>
      <c r="E179" s="363">
        <v>0</v>
      </c>
      <c r="F179" s="389">
        <v>0</v>
      </c>
      <c r="G179" s="365">
        <f t="shared" si="90"/>
        <v>0</v>
      </c>
    </row>
    <row r="180" spans="1:7">
      <c r="A180" s="35">
        <v>173</v>
      </c>
      <c r="B180" s="345" t="s">
        <v>362</v>
      </c>
      <c r="C180" s="346" t="s">
        <v>363</v>
      </c>
      <c r="D180" s="347"/>
      <c r="E180" s="361">
        <v>20309.150000000001</v>
      </c>
      <c r="F180" s="389">
        <v>146508.03</v>
      </c>
      <c r="G180" s="362">
        <f t="shared" si="90"/>
        <v>166817.18</v>
      </c>
    </row>
    <row r="181" spans="1:7">
      <c r="A181" s="327">
        <v>174</v>
      </c>
      <c r="B181" s="345" t="s">
        <v>364</v>
      </c>
      <c r="C181" s="346" t="s">
        <v>365</v>
      </c>
      <c r="D181" s="364"/>
      <c r="E181" s="363">
        <v>0</v>
      </c>
      <c r="F181" s="389">
        <v>0</v>
      </c>
      <c r="G181" s="365">
        <f t="shared" si="90"/>
        <v>0</v>
      </c>
    </row>
    <row r="182" spans="1:7">
      <c r="A182" s="35">
        <v>175</v>
      </c>
      <c r="B182" s="345" t="s">
        <v>366</v>
      </c>
      <c r="C182" s="346" t="s">
        <v>367</v>
      </c>
      <c r="D182" s="364"/>
      <c r="E182" s="363">
        <v>1000000</v>
      </c>
      <c r="F182" s="389">
        <v>891.05</v>
      </c>
      <c r="G182" s="365">
        <f t="shared" si="90"/>
        <v>1000891.05</v>
      </c>
    </row>
    <row r="183" spans="1:7">
      <c r="A183" s="327">
        <v>176</v>
      </c>
      <c r="B183" s="345" t="s">
        <v>368</v>
      </c>
      <c r="C183" s="346" t="s">
        <v>369</v>
      </c>
      <c r="D183" s="347"/>
      <c r="E183" s="361">
        <v>0</v>
      </c>
      <c r="F183" s="389">
        <v>96498.880000000005</v>
      </c>
      <c r="G183" s="362">
        <f t="shared" si="90"/>
        <v>96498.880000000005</v>
      </c>
    </row>
    <row r="184" spans="1:7">
      <c r="A184" s="35">
        <v>177</v>
      </c>
      <c r="B184" s="345" t="s">
        <v>370</v>
      </c>
      <c r="C184" s="346" t="s">
        <v>371</v>
      </c>
      <c r="D184" s="364"/>
      <c r="E184" s="363">
        <v>805</v>
      </c>
      <c r="F184" s="389">
        <v>475.5</v>
      </c>
      <c r="G184" s="365">
        <f t="shared" si="90"/>
        <v>1280.5</v>
      </c>
    </row>
    <row r="185" spans="1:7">
      <c r="A185" s="327">
        <v>178</v>
      </c>
      <c r="B185" s="341" t="s">
        <v>372</v>
      </c>
      <c r="C185" s="342"/>
      <c r="D185" s="352"/>
      <c r="E185" s="353">
        <f t="shared" ref="E185:G185" si="91">SUM(E175:E184)</f>
        <v>1021114.15</v>
      </c>
      <c r="F185" s="366">
        <f t="shared" si="91"/>
        <v>101998.11</v>
      </c>
      <c r="G185" s="355">
        <f t="shared" si="91"/>
        <v>1123112.26</v>
      </c>
    </row>
    <row r="186" spans="1:7" ht="16.5" thickBot="1">
      <c r="A186" s="35">
        <v>179</v>
      </c>
      <c r="B186" s="414" t="s">
        <v>373</v>
      </c>
      <c r="C186" s="415"/>
      <c r="D186" s="402">
        <f>D150-D159-D172-D185</f>
        <v>0</v>
      </c>
      <c r="E186" s="403">
        <f>E150-E159+E172-E185</f>
        <v>57757150.519999996</v>
      </c>
      <c r="F186" s="404">
        <f t="shared" ref="F186:G186" si="92">F150-F159+F172-F185</f>
        <v>-50260215.509999998</v>
      </c>
      <c r="G186" s="405">
        <f t="shared" si="92"/>
        <v>7496935.0100000091</v>
      </c>
    </row>
    <row r="187" spans="1:7" ht="16.5" thickTop="1"/>
  </sheetData>
  <mergeCells count="20">
    <mergeCell ref="S1:W1"/>
    <mergeCell ref="S2:W2"/>
    <mergeCell ref="S3:W3"/>
    <mergeCell ref="S4:W4"/>
    <mergeCell ref="S5:W5"/>
    <mergeCell ref="K1:O1"/>
    <mergeCell ref="K2:O2"/>
    <mergeCell ref="K3:O3"/>
    <mergeCell ref="K4:O4"/>
    <mergeCell ref="K5:O5"/>
    <mergeCell ref="C1:G1"/>
    <mergeCell ref="C2:G2"/>
    <mergeCell ref="C3:G3"/>
    <mergeCell ref="C4:G4"/>
    <mergeCell ref="C5:G5"/>
    <mergeCell ref="B13:C13"/>
    <mergeCell ref="B124:C124"/>
    <mergeCell ref="B11:C12"/>
    <mergeCell ref="E11:G11"/>
    <mergeCell ref="E12:G12"/>
  </mergeCells>
  <printOptions horizontalCentered="1"/>
  <pageMargins left="0.7" right="0.7" top="0.75" bottom="0.75" header="0.3" footer="0.3"/>
  <pageSetup scale="76" fitToHeight="0" orientation="landscape" r:id="rId1"/>
  <headerFooter scaleWithDoc="0" alignWithMargins="0">
    <oddHeader>&amp;RPage &amp;P of &amp;N</oddHeader>
    <oddFooter>&amp;LElectronic Tab Name:&amp;A</oddFooter>
  </headerFooter>
  <rowBreaks count="1" manualBreakCount="1">
    <brk id="157"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9"/>
  <sheetViews>
    <sheetView workbookViewId="0">
      <selection activeCell="A3" sqref="A3:H3"/>
    </sheetView>
  </sheetViews>
  <sheetFormatPr defaultRowHeight="15.75"/>
  <cols>
    <col min="1" max="1" width="8.42578125" style="6" bestFit="1" customWidth="1"/>
    <col min="2" max="2" width="37.5703125" style="6" bestFit="1" customWidth="1"/>
    <col min="3" max="3" width="3.85546875" style="6" customWidth="1"/>
    <col min="4" max="4" width="17.7109375" style="6" bestFit="1" customWidth="1"/>
    <col min="5" max="6" width="9.140625" style="6"/>
    <col min="7" max="7" width="15.42578125" style="6" customWidth="1"/>
    <col min="8" max="16384" width="9.140625" style="6"/>
  </cols>
  <sheetData>
    <row r="1" spans="1:6">
      <c r="B1" s="1025" t="s">
        <v>61</v>
      </c>
      <c r="C1" s="1025"/>
      <c r="D1" s="1025"/>
      <c r="E1" s="1025"/>
      <c r="F1" s="1025"/>
    </row>
    <row r="2" spans="1:6">
      <c r="B2" s="1025" t="s">
        <v>1690</v>
      </c>
      <c r="C2" s="1025"/>
      <c r="D2" s="1025"/>
      <c r="E2" s="1025"/>
      <c r="F2" s="1025"/>
    </row>
    <row r="3" spans="1:6">
      <c r="B3" s="1025" t="s">
        <v>1697</v>
      </c>
      <c r="C3" s="1025"/>
      <c r="D3" s="1025"/>
      <c r="E3" s="1025"/>
      <c r="F3" s="1025"/>
    </row>
    <row r="4" spans="1:6">
      <c r="B4" s="1025" t="s">
        <v>42</v>
      </c>
      <c r="C4" s="1025"/>
      <c r="D4" s="1025"/>
      <c r="E4" s="1025"/>
      <c r="F4" s="1025"/>
    </row>
    <row r="5" spans="1:6">
      <c r="B5" s="1025" t="s">
        <v>985</v>
      </c>
      <c r="C5" s="1025"/>
      <c r="D5" s="1025"/>
      <c r="E5" s="1025"/>
      <c r="F5" s="1025"/>
    </row>
    <row r="9" spans="1:6">
      <c r="A9" s="15" t="s">
        <v>1727</v>
      </c>
      <c r="B9" s="8" t="s">
        <v>1731</v>
      </c>
      <c r="C9" s="8"/>
      <c r="D9" s="8" t="s">
        <v>1729</v>
      </c>
    </row>
    <row r="10" spans="1:6">
      <c r="A10" s="8">
        <v>1</v>
      </c>
      <c r="D10" s="8" t="s">
        <v>377</v>
      </c>
    </row>
    <row r="11" spans="1:6">
      <c r="A11" s="8">
        <v>2</v>
      </c>
      <c r="D11" s="8" t="s">
        <v>378</v>
      </c>
    </row>
    <row r="12" spans="1:6">
      <c r="A12" s="8">
        <v>3</v>
      </c>
      <c r="D12" s="8" t="s">
        <v>989</v>
      </c>
    </row>
    <row r="13" spans="1:6">
      <c r="A13" s="8">
        <v>4</v>
      </c>
      <c r="B13" s="6" t="s">
        <v>1926</v>
      </c>
      <c r="D13" s="91">
        <f>+'Plant in Serv &amp; Accum Depr'!AF147</f>
        <v>677314165.18981874</v>
      </c>
      <c r="E13" s="6" t="s">
        <v>1978</v>
      </c>
    </row>
    <row r="14" spans="1:6">
      <c r="A14" s="8">
        <v>5</v>
      </c>
      <c r="B14" s="6" t="s">
        <v>1927</v>
      </c>
      <c r="D14" s="416">
        <f>-'Plant in Serv &amp; Accum Depr'!AF153</f>
        <v>-345424354.83661753</v>
      </c>
      <c r="E14" s="6" t="s">
        <v>1978</v>
      </c>
    </row>
    <row r="15" spans="1:6">
      <c r="A15" s="8">
        <v>6</v>
      </c>
      <c r="B15" s="6" t="s">
        <v>374</v>
      </c>
      <c r="D15" s="247">
        <f>+D13+D14</f>
        <v>331889810.35320121</v>
      </c>
    </row>
    <row r="16" spans="1:6">
      <c r="A16" s="8">
        <v>7</v>
      </c>
      <c r="B16" s="6" t="s">
        <v>1928</v>
      </c>
      <c r="D16" s="247">
        <f>+'Adv for Const. &amp; Def Tax'!AX23</f>
        <v>-3771590.387083333</v>
      </c>
      <c r="E16" s="6" t="s">
        <v>1979</v>
      </c>
    </row>
    <row r="17" spans="1:8">
      <c r="A17" s="8">
        <v>8</v>
      </c>
      <c r="B17" s="6" t="s">
        <v>1929</v>
      </c>
      <c r="D17" s="417">
        <f>+'Adv for Const. &amp; Def Tax'!AX30</f>
        <v>-73667038.139583334</v>
      </c>
      <c r="E17" s="6" t="s">
        <v>1979</v>
      </c>
    </row>
    <row r="18" spans="1:8">
      <c r="A18" s="8">
        <v>9</v>
      </c>
      <c r="B18" s="6" t="s">
        <v>1930</v>
      </c>
      <c r="D18" s="418">
        <f>+'Working Capital'!E44</f>
        <v>25610869.595646363</v>
      </c>
      <c r="E18" s="6" t="s">
        <v>1980</v>
      </c>
    </row>
    <row r="19" spans="1:8">
      <c r="A19" s="8">
        <v>10</v>
      </c>
      <c r="B19" s="6" t="s">
        <v>1931</v>
      </c>
      <c r="D19" s="419">
        <f>+D15+D16+D17+D18</f>
        <v>280062051.42218089</v>
      </c>
      <c r="H19" s="19"/>
    </row>
  </sheetData>
  <mergeCells count="5">
    <mergeCell ref="B5:F5"/>
    <mergeCell ref="B1:F1"/>
    <mergeCell ref="B2:F2"/>
    <mergeCell ref="B3:F3"/>
    <mergeCell ref="B4:F4"/>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153"/>
  <sheetViews>
    <sheetView view="pageBreakPreview" zoomScale="70" zoomScaleNormal="100" zoomScaleSheetLayoutView="70" workbookViewId="0">
      <selection activeCell="A3" sqref="A3:H3"/>
    </sheetView>
  </sheetViews>
  <sheetFormatPr defaultRowHeight="15.75"/>
  <cols>
    <col min="1" max="1" width="9.28515625" style="35" bestFit="1" customWidth="1"/>
    <col min="2" max="2" width="17.7109375" style="6" customWidth="1"/>
    <col min="3" max="3" width="36.7109375" style="6" bestFit="1" customWidth="1"/>
    <col min="4" max="4" width="19.28515625" style="6" customWidth="1"/>
    <col min="5" max="5" width="27" style="6" bestFit="1" customWidth="1"/>
    <col min="6" max="6" width="20.140625" style="6" bestFit="1" customWidth="1"/>
    <col min="7" max="7" width="27.7109375" style="6" bestFit="1" customWidth="1"/>
    <col min="8" max="11" width="28.28515625" style="6" bestFit="1" customWidth="1"/>
    <col min="12" max="12" width="27" style="6" bestFit="1" customWidth="1"/>
    <col min="13" max="13" width="27.7109375" style="6" bestFit="1" customWidth="1"/>
    <col min="14" max="15" width="28.28515625" style="6" bestFit="1" customWidth="1"/>
    <col min="16" max="16" width="27.7109375" style="6" bestFit="1" customWidth="1"/>
    <col min="17" max="18" width="28.28515625" style="6" bestFit="1" customWidth="1"/>
    <col min="19" max="20" width="27.7109375" style="6" bestFit="1" customWidth="1"/>
    <col min="21" max="21" width="28.28515625" style="6" bestFit="1" customWidth="1"/>
    <col min="22" max="22" width="27.7109375" style="6" bestFit="1" customWidth="1"/>
    <col min="23" max="25" width="28.28515625" style="6" bestFit="1" customWidth="1"/>
    <col min="26" max="26" width="27" style="6" bestFit="1" customWidth="1"/>
    <col min="27" max="28" width="28.28515625" style="6" bestFit="1" customWidth="1"/>
    <col min="29" max="29" width="27.7109375" style="6" bestFit="1" customWidth="1"/>
    <col min="30" max="30" width="28.28515625" style="6" bestFit="1" customWidth="1"/>
    <col min="31" max="31" width="28.85546875" style="6" bestFit="1" customWidth="1"/>
    <col min="32" max="32" width="35.85546875" style="6" bestFit="1" customWidth="1"/>
    <col min="33" max="16384" width="9.140625" style="6"/>
  </cols>
  <sheetData>
    <row r="1" spans="1:35">
      <c r="A1" s="1025" t="s">
        <v>61</v>
      </c>
      <c r="B1" s="1025"/>
      <c r="C1" s="1025"/>
      <c r="D1" s="1025"/>
      <c r="E1" s="1025"/>
      <c r="F1" s="1025"/>
      <c r="G1" s="1025"/>
      <c r="J1" s="1025" t="s">
        <v>61</v>
      </c>
      <c r="K1" s="1025"/>
      <c r="L1" s="1025"/>
      <c r="M1" s="5"/>
      <c r="N1" s="5"/>
      <c r="O1" s="5"/>
      <c r="R1" s="1025" t="s">
        <v>61</v>
      </c>
      <c r="S1" s="1025"/>
      <c r="T1" s="5"/>
      <c r="U1" s="5"/>
      <c r="V1" s="5"/>
      <c r="W1" s="5"/>
      <c r="Y1" s="1025" t="s">
        <v>61</v>
      </c>
      <c r="Z1" s="1025"/>
      <c r="AA1" s="1025"/>
      <c r="AB1" s="5"/>
      <c r="AC1" s="5"/>
      <c r="AD1" s="5"/>
      <c r="AE1" s="38" t="s">
        <v>61</v>
      </c>
      <c r="AF1" s="5"/>
      <c r="AG1" s="5"/>
      <c r="AH1" s="5"/>
      <c r="AI1" s="5"/>
    </row>
    <row r="2" spans="1:35">
      <c r="A2" s="1025" t="s">
        <v>1690</v>
      </c>
      <c r="B2" s="1025"/>
      <c r="C2" s="1025"/>
      <c r="D2" s="1025"/>
      <c r="E2" s="1025"/>
      <c r="F2" s="1025"/>
      <c r="G2" s="1025"/>
      <c r="J2" s="1025" t="s">
        <v>1690</v>
      </c>
      <c r="K2" s="1025"/>
      <c r="L2" s="1025"/>
      <c r="M2" s="5"/>
      <c r="N2" s="5"/>
      <c r="O2" s="5"/>
      <c r="R2" s="1025" t="s">
        <v>1690</v>
      </c>
      <c r="S2" s="1025"/>
      <c r="T2" s="5"/>
      <c r="U2" s="5"/>
      <c r="V2" s="5"/>
      <c r="W2" s="5"/>
      <c r="X2" s="8"/>
      <c r="Y2" s="1025" t="s">
        <v>1690</v>
      </c>
      <c r="Z2" s="1025"/>
      <c r="AA2" s="1025"/>
      <c r="AB2" s="5"/>
      <c r="AC2" s="5"/>
      <c r="AD2" s="8"/>
      <c r="AE2" s="38" t="s">
        <v>1690</v>
      </c>
      <c r="AF2" s="5"/>
      <c r="AG2" s="5"/>
      <c r="AH2" s="5"/>
      <c r="AI2" s="5"/>
    </row>
    <row r="3" spans="1:35">
      <c r="A3" s="1025" t="s">
        <v>1698</v>
      </c>
      <c r="B3" s="1025"/>
      <c r="C3" s="1025"/>
      <c r="D3" s="1025"/>
      <c r="E3" s="1025"/>
      <c r="F3" s="1025"/>
      <c r="G3" s="1025"/>
      <c r="J3" s="1025" t="s">
        <v>1698</v>
      </c>
      <c r="K3" s="1025"/>
      <c r="L3" s="1025"/>
      <c r="M3" s="5"/>
      <c r="N3" s="5"/>
      <c r="O3" s="5"/>
      <c r="R3" s="1025" t="s">
        <v>1698</v>
      </c>
      <c r="S3" s="1025"/>
      <c r="T3" s="5"/>
      <c r="U3" s="5"/>
      <c r="V3" s="5"/>
      <c r="W3" s="5"/>
      <c r="X3" s="8"/>
      <c r="Y3" s="1025" t="s">
        <v>1698</v>
      </c>
      <c r="Z3" s="1025"/>
      <c r="AA3" s="1025"/>
      <c r="AB3" s="5"/>
      <c r="AC3" s="5"/>
      <c r="AD3" s="8"/>
      <c r="AE3" s="38" t="s">
        <v>1698</v>
      </c>
      <c r="AF3" s="5"/>
      <c r="AG3" s="5"/>
      <c r="AH3" s="5"/>
      <c r="AI3" s="5"/>
    </row>
    <row r="4" spans="1:35">
      <c r="A4" s="1025" t="s">
        <v>2041</v>
      </c>
      <c r="B4" s="1025"/>
      <c r="C4" s="1025"/>
      <c r="D4" s="1025"/>
      <c r="E4" s="1025"/>
      <c r="F4" s="1025"/>
      <c r="G4" s="1025"/>
      <c r="J4" s="1025" t="s">
        <v>2041</v>
      </c>
      <c r="K4" s="1025"/>
      <c r="L4" s="1025"/>
      <c r="M4" s="5"/>
      <c r="N4" s="5"/>
      <c r="O4" s="5"/>
      <c r="R4" s="1025" t="s">
        <v>2041</v>
      </c>
      <c r="S4" s="1025"/>
      <c r="T4" s="5"/>
      <c r="U4" s="5"/>
      <c r="V4" s="5"/>
      <c r="W4" s="5"/>
      <c r="Y4" s="1025" t="s">
        <v>2041</v>
      </c>
      <c r="Z4" s="1025"/>
      <c r="AA4" s="1025"/>
      <c r="AB4" s="5"/>
      <c r="AC4" s="5"/>
      <c r="AD4" s="5"/>
      <c r="AE4" s="38" t="s">
        <v>2041</v>
      </c>
      <c r="AF4" s="5"/>
      <c r="AG4" s="5"/>
      <c r="AH4" s="5"/>
      <c r="AI4" s="5"/>
    </row>
    <row r="5" spans="1:35">
      <c r="A5" s="1025" t="s">
        <v>985</v>
      </c>
      <c r="B5" s="1025"/>
      <c r="C5" s="1025"/>
      <c r="D5" s="1025"/>
      <c r="E5" s="1025"/>
      <c r="F5" s="1025"/>
      <c r="G5" s="1025"/>
      <c r="J5" s="1025" t="s">
        <v>985</v>
      </c>
      <c r="K5" s="1025"/>
      <c r="L5" s="1025"/>
      <c r="M5" s="5"/>
      <c r="N5" s="5"/>
      <c r="O5" s="5"/>
      <c r="R5" s="1025" t="s">
        <v>985</v>
      </c>
      <c r="S5" s="1025"/>
      <c r="T5" s="5"/>
      <c r="U5" s="5"/>
      <c r="V5" s="5"/>
      <c r="W5" s="5"/>
      <c r="Y5" s="1025" t="s">
        <v>985</v>
      </c>
      <c r="Z5" s="1025"/>
      <c r="AA5" s="1025"/>
      <c r="AB5" s="5"/>
      <c r="AC5" s="5"/>
      <c r="AE5" s="38" t="s">
        <v>985</v>
      </c>
      <c r="AF5" s="5"/>
      <c r="AG5" s="5"/>
      <c r="AH5" s="5"/>
      <c r="AI5" s="5"/>
    </row>
    <row r="7" spans="1:35" s="35" customFormat="1">
      <c r="B7" s="35" t="s">
        <v>1731</v>
      </c>
      <c r="C7" s="35" t="s">
        <v>1729</v>
      </c>
      <c r="D7" s="35" t="s">
        <v>1730</v>
      </c>
      <c r="E7" s="35" t="s">
        <v>1733</v>
      </c>
      <c r="F7" s="35" t="s">
        <v>1734</v>
      </c>
      <c r="G7" s="35" t="s">
        <v>1743</v>
      </c>
      <c r="H7" s="35" t="s">
        <v>1744</v>
      </c>
      <c r="I7" s="35" t="s">
        <v>1745</v>
      </c>
      <c r="J7" s="35" t="s">
        <v>1746</v>
      </c>
      <c r="K7" s="35" t="s">
        <v>1747</v>
      </c>
      <c r="L7" s="35" t="s">
        <v>1748</v>
      </c>
      <c r="M7" s="35" t="s">
        <v>1749</v>
      </c>
      <c r="N7" s="35" t="s">
        <v>1750</v>
      </c>
      <c r="O7" s="35" t="s">
        <v>1751</v>
      </c>
      <c r="P7" s="35" t="s">
        <v>1752</v>
      </c>
      <c r="Q7" s="35" t="s">
        <v>2026</v>
      </c>
      <c r="R7" s="35" t="s">
        <v>2027</v>
      </c>
      <c r="S7" s="35" t="s">
        <v>2028</v>
      </c>
      <c r="T7" s="35" t="s">
        <v>2029</v>
      </c>
      <c r="U7" s="35" t="s">
        <v>2030</v>
      </c>
      <c r="V7" s="35" t="s">
        <v>2031</v>
      </c>
      <c r="W7" s="35" t="s">
        <v>2032</v>
      </c>
      <c r="X7" s="35" t="s">
        <v>2033</v>
      </c>
      <c r="Y7" s="35" t="s">
        <v>2034</v>
      </c>
      <c r="Z7" s="35" t="s">
        <v>2035</v>
      </c>
      <c r="AA7" s="35" t="s">
        <v>2036</v>
      </c>
      <c r="AB7" s="35" t="s">
        <v>1181</v>
      </c>
      <c r="AC7" s="35" t="s">
        <v>2037</v>
      </c>
      <c r="AD7" s="35" t="s">
        <v>2038</v>
      </c>
      <c r="AE7" s="35" t="s">
        <v>2039</v>
      </c>
      <c r="AF7" s="35" t="s">
        <v>2040</v>
      </c>
    </row>
    <row r="8" spans="1:35">
      <c r="A8" s="35" t="s">
        <v>891</v>
      </c>
      <c r="B8" s="420" t="s">
        <v>1762</v>
      </c>
      <c r="C8" s="420" t="s">
        <v>1763</v>
      </c>
      <c r="D8" s="420" t="s">
        <v>80</v>
      </c>
      <c r="E8" s="420" t="s">
        <v>1764</v>
      </c>
      <c r="F8" s="420" t="s">
        <v>1765</v>
      </c>
      <c r="G8" s="420" t="s">
        <v>1766</v>
      </c>
      <c r="H8" s="420" t="s">
        <v>1767</v>
      </c>
      <c r="I8" s="420" t="s">
        <v>1768</v>
      </c>
      <c r="J8" s="420" t="s">
        <v>1769</v>
      </c>
      <c r="K8" s="420" t="s">
        <v>1770</v>
      </c>
      <c r="L8" s="420" t="s">
        <v>1771</v>
      </c>
      <c r="M8" s="420" t="s">
        <v>1772</v>
      </c>
      <c r="N8" s="420" t="s">
        <v>1773</v>
      </c>
      <c r="O8" s="420" t="s">
        <v>1774</v>
      </c>
      <c r="P8" s="420" t="s">
        <v>1775</v>
      </c>
      <c r="Q8" s="420" t="s">
        <v>1776</v>
      </c>
      <c r="R8" s="420" t="s">
        <v>1777</v>
      </c>
      <c r="S8" s="420" t="s">
        <v>1778</v>
      </c>
      <c r="T8" s="420" t="s">
        <v>1779</v>
      </c>
      <c r="U8" s="420" t="s">
        <v>1780</v>
      </c>
      <c r="V8" s="420" t="s">
        <v>1781</v>
      </c>
      <c r="W8" s="420" t="s">
        <v>1782</v>
      </c>
      <c r="X8" s="420" t="s">
        <v>1783</v>
      </c>
      <c r="Y8" s="420" t="s">
        <v>1784</v>
      </c>
      <c r="Z8" s="420" t="s">
        <v>1785</v>
      </c>
      <c r="AA8" s="420" t="s">
        <v>1786</v>
      </c>
      <c r="AB8" s="420" t="s">
        <v>1787</v>
      </c>
      <c r="AC8" s="420" t="s">
        <v>1788</v>
      </c>
      <c r="AD8" s="420" t="s">
        <v>1789</v>
      </c>
      <c r="AE8" s="420" t="s">
        <v>1790</v>
      </c>
      <c r="AF8" s="420" t="s">
        <v>1791</v>
      </c>
    </row>
    <row r="9" spans="1:35">
      <c r="A9" s="35">
        <v>1</v>
      </c>
      <c r="B9" s="421" t="s">
        <v>86</v>
      </c>
      <c r="C9" s="421" t="s">
        <v>1018</v>
      </c>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row>
    <row r="10" spans="1:35">
      <c r="A10" s="35">
        <v>2</v>
      </c>
      <c r="C10" s="6" t="s">
        <v>1792</v>
      </c>
      <c r="D10" s="6" t="str">
        <f>RIGHT(C10,5)</f>
        <v>00038</v>
      </c>
      <c r="E10" s="423">
        <v>73666.720000000001</v>
      </c>
      <c r="F10" s="423">
        <v>73666.820000000007</v>
      </c>
      <c r="G10" s="423">
        <v>73666.720000000001</v>
      </c>
      <c r="H10" s="423">
        <v>73666.820000000007</v>
      </c>
      <c r="I10" s="423">
        <v>73666.720000000001</v>
      </c>
      <c r="J10" s="423">
        <v>73666.820000000007</v>
      </c>
      <c r="K10" s="423">
        <v>73666.720000000001</v>
      </c>
      <c r="L10" s="423">
        <v>73666.820000000007</v>
      </c>
      <c r="M10" s="423">
        <v>73666.720000000001</v>
      </c>
      <c r="N10" s="423">
        <v>73666.820000000007</v>
      </c>
      <c r="O10" s="423">
        <v>73666.720000000001</v>
      </c>
      <c r="P10" s="423">
        <v>73666.820000000007</v>
      </c>
      <c r="Q10" s="423">
        <v>73666.720000000001</v>
      </c>
      <c r="R10" s="423">
        <v>73666.820000000007</v>
      </c>
      <c r="S10" s="423">
        <v>73666.720000000001</v>
      </c>
      <c r="T10" s="423">
        <v>73666.820000000007</v>
      </c>
      <c r="U10" s="423">
        <v>73666.720000000001</v>
      </c>
      <c r="V10" s="423">
        <v>73666.820000000007</v>
      </c>
      <c r="W10" s="423">
        <v>73666.720000000001</v>
      </c>
      <c r="X10" s="423">
        <v>73666.820000000007</v>
      </c>
      <c r="Y10" s="423">
        <v>73666.720000000001</v>
      </c>
      <c r="Z10" s="423">
        <v>73666.820000000007</v>
      </c>
      <c r="AA10" s="423">
        <v>73666.720000000001</v>
      </c>
      <c r="AB10" s="423">
        <v>73666.820000000007</v>
      </c>
      <c r="AC10" s="423">
        <v>73666.720000000001</v>
      </c>
      <c r="AD10" s="423">
        <v>73666.820000000007</v>
      </c>
      <c r="AE10" s="423">
        <f>+(E10+AC10+(+G10+I10+K10+M10+O10+Q10+S10+U10+W10+Y10+AA10)*2)/24</f>
        <v>73666.719999999987</v>
      </c>
      <c r="AF10" s="423">
        <f>+(F10+AD10+(+H10+J10+L10+N10+P10+R10+T10+V10+X10+Z10+AB10)*2)/24</f>
        <v>73666.820000000022</v>
      </c>
    </row>
    <row r="11" spans="1:35">
      <c r="A11" s="35">
        <v>3</v>
      </c>
      <c r="C11" s="6" t="s">
        <v>1793</v>
      </c>
      <c r="D11" s="424" t="s">
        <v>1794</v>
      </c>
      <c r="E11" s="423">
        <v>0</v>
      </c>
      <c r="F11" s="423">
        <v>0</v>
      </c>
      <c r="G11" s="423">
        <v>0</v>
      </c>
      <c r="H11" s="423">
        <v>0</v>
      </c>
      <c r="I11" s="423">
        <v>0</v>
      </c>
      <c r="J11" s="423">
        <v>0</v>
      </c>
      <c r="K11" s="423">
        <v>0</v>
      </c>
      <c r="L11" s="423">
        <v>0</v>
      </c>
      <c r="M11" s="423">
        <v>0</v>
      </c>
      <c r="N11" s="423">
        <v>0</v>
      </c>
      <c r="O11" s="423">
        <v>0</v>
      </c>
      <c r="P11" s="423">
        <v>0</v>
      </c>
      <c r="Q11" s="423">
        <v>0</v>
      </c>
      <c r="R11" s="423">
        <v>0</v>
      </c>
      <c r="S11" s="423">
        <v>113374.44</v>
      </c>
      <c r="T11" s="423">
        <v>6007.91</v>
      </c>
      <c r="U11" s="423">
        <v>113374.44</v>
      </c>
      <c r="V11" s="423">
        <v>6244.1100000000006</v>
      </c>
      <c r="W11" s="423">
        <v>113374.44</v>
      </c>
      <c r="X11" s="423">
        <v>6480.31</v>
      </c>
      <c r="Y11" s="423">
        <v>113374.44</v>
      </c>
      <c r="Z11" s="423">
        <v>6716.51</v>
      </c>
      <c r="AA11" s="423">
        <v>113374.44</v>
      </c>
      <c r="AB11" s="423">
        <v>6952.71</v>
      </c>
      <c r="AC11" s="423">
        <v>113374.44</v>
      </c>
      <c r="AD11" s="423">
        <v>7188.91</v>
      </c>
      <c r="AE11" s="423">
        <f>+(E11+AC11+(+G11+I11+K11+M11+O11+Q11+S11+U11+W11+Y11+AA11)*2)/24</f>
        <v>51963.284999999996</v>
      </c>
      <c r="AF11" s="423">
        <f t="shared" ref="AF11:AF45" si="0">+(F11+AD11+(+H11+J11+L11+N11+P11+R11+T11+V11+X11+Z11+AB11)*2)/24</f>
        <v>2999.6670833333337</v>
      </c>
    </row>
    <row r="12" spans="1:35">
      <c r="A12" s="35">
        <v>4</v>
      </c>
      <c r="C12" s="6" t="s">
        <v>1795</v>
      </c>
      <c r="D12" s="6" t="str">
        <f t="shared" ref="D12:D45" si="1">RIGHT(C12,5)</f>
        <v>00038</v>
      </c>
      <c r="E12" s="423">
        <v>113374.44</v>
      </c>
      <c r="F12" s="423">
        <v>4371.25</v>
      </c>
      <c r="G12" s="423">
        <v>113374.44</v>
      </c>
      <c r="H12" s="423">
        <v>4604.66</v>
      </c>
      <c r="I12" s="423">
        <v>113374.44</v>
      </c>
      <c r="J12" s="423">
        <v>4838.07</v>
      </c>
      <c r="K12" s="423">
        <v>113374.44</v>
      </c>
      <c r="L12" s="423">
        <v>5071.4800000000005</v>
      </c>
      <c r="M12" s="423">
        <v>113374.44</v>
      </c>
      <c r="N12" s="423">
        <v>5304.89</v>
      </c>
      <c r="O12" s="423">
        <v>113374.44</v>
      </c>
      <c r="P12" s="423">
        <v>5538.3</v>
      </c>
      <c r="Q12" s="423">
        <v>113374.44</v>
      </c>
      <c r="R12" s="423">
        <v>5771.71</v>
      </c>
      <c r="S12" s="423">
        <v>0</v>
      </c>
      <c r="T12" s="423">
        <v>0</v>
      </c>
      <c r="U12" s="423">
        <v>0</v>
      </c>
      <c r="V12" s="423">
        <v>0</v>
      </c>
      <c r="W12" s="423">
        <v>0</v>
      </c>
      <c r="X12" s="423">
        <v>0</v>
      </c>
      <c r="Y12" s="423">
        <v>0</v>
      </c>
      <c r="Z12" s="423">
        <v>0</v>
      </c>
      <c r="AA12" s="423">
        <v>0</v>
      </c>
      <c r="AB12" s="423">
        <v>0</v>
      </c>
      <c r="AC12" s="423">
        <v>0</v>
      </c>
      <c r="AD12" s="423">
        <v>0</v>
      </c>
      <c r="AE12" s="423">
        <f t="shared" ref="AE12:AE45" si="2">+(E12+AC12+(+G12+I12+K12+M12+O12+Q12+S12+U12+W12+Y12+AA12)*2)/24</f>
        <v>61411.154999999992</v>
      </c>
      <c r="AF12" s="423">
        <f t="shared" si="0"/>
        <v>2776.2279166666667</v>
      </c>
    </row>
    <row r="13" spans="1:35">
      <c r="A13" s="35">
        <v>5</v>
      </c>
      <c r="C13" s="6" t="s">
        <v>1796</v>
      </c>
      <c r="D13" s="6" t="str">
        <f t="shared" si="1"/>
        <v>00038</v>
      </c>
      <c r="E13" s="423">
        <v>13130.54</v>
      </c>
      <c r="F13" s="423">
        <v>0</v>
      </c>
      <c r="G13" s="423">
        <v>13130.54</v>
      </c>
      <c r="H13" s="423">
        <v>0</v>
      </c>
      <c r="I13" s="423">
        <v>13130.54</v>
      </c>
      <c r="J13" s="423">
        <v>0</v>
      </c>
      <c r="K13" s="423">
        <v>13130.54</v>
      </c>
      <c r="L13" s="423">
        <v>0</v>
      </c>
      <c r="M13" s="423">
        <v>13130.54</v>
      </c>
      <c r="N13" s="423">
        <v>0</v>
      </c>
      <c r="O13" s="423">
        <v>13130.54</v>
      </c>
      <c r="P13" s="423">
        <v>0</v>
      </c>
      <c r="Q13" s="423">
        <v>13130.54</v>
      </c>
      <c r="R13" s="423">
        <v>0</v>
      </c>
      <c r="S13" s="423">
        <v>13130.54</v>
      </c>
      <c r="T13" s="423">
        <v>0</v>
      </c>
      <c r="U13" s="423">
        <v>13130.54</v>
      </c>
      <c r="V13" s="423">
        <v>0</v>
      </c>
      <c r="W13" s="423">
        <v>13130.54</v>
      </c>
      <c r="X13" s="423">
        <v>0</v>
      </c>
      <c r="Y13" s="423">
        <v>13130.54</v>
      </c>
      <c r="Z13" s="423">
        <v>0</v>
      </c>
      <c r="AA13" s="423">
        <v>13130.54</v>
      </c>
      <c r="AB13" s="423">
        <v>0</v>
      </c>
      <c r="AC13" s="423">
        <v>13130.54</v>
      </c>
      <c r="AD13" s="423">
        <v>0</v>
      </c>
      <c r="AE13" s="423">
        <f t="shared" si="2"/>
        <v>13130.540000000006</v>
      </c>
      <c r="AF13" s="423">
        <f t="shared" si="0"/>
        <v>0</v>
      </c>
    </row>
    <row r="14" spans="1:35">
      <c r="A14" s="35">
        <v>6</v>
      </c>
      <c r="C14" s="6" t="s">
        <v>1797</v>
      </c>
      <c r="D14" s="6" t="str">
        <f t="shared" si="1"/>
        <v>00038</v>
      </c>
      <c r="E14" s="423">
        <v>7692.66</v>
      </c>
      <c r="F14" s="423">
        <v>6205.68</v>
      </c>
      <c r="G14" s="423">
        <v>7692.66</v>
      </c>
      <c r="H14" s="423">
        <v>6215.81</v>
      </c>
      <c r="I14" s="423">
        <v>7692.66</v>
      </c>
      <c r="J14" s="423">
        <v>6225.9400000000005</v>
      </c>
      <c r="K14" s="423">
        <v>7692.66</v>
      </c>
      <c r="L14" s="423">
        <v>6236.07</v>
      </c>
      <c r="M14" s="423">
        <v>7692.66</v>
      </c>
      <c r="N14" s="423">
        <v>6246.2</v>
      </c>
      <c r="O14" s="423">
        <v>7692.66</v>
      </c>
      <c r="P14" s="423">
        <v>6256.33</v>
      </c>
      <c r="Q14" s="423">
        <v>7692.66</v>
      </c>
      <c r="R14" s="423">
        <v>6266.46</v>
      </c>
      <c r="S14" s="423">
        <v>7692.66</v>
      </c>
      <c r="T14" s="423">
        <v>6276.59</v>
      </c>
      <c r="U14" s="423">
        <v>7692.66</v>
      </c>
      <c r="V14" s="423">
        <v>6286.72</v>
      </c>
      <c r="W14" s="423">
        <v>7692.66</v>
      </c>
      <c r="X14" s="423">
        <v>6296.85</v>
      </c>
      <c r="Y14" s="423">
        <v>7692.66</v>
      </c>
      <c r="Z14" s="423">
        <v>6306.9800000000005</v>
      </c>
      <c r="AA14" s="423">
        <v>7692.66</v>
      </c>
      <c r="AB14" s="423">
        <v>6317.1100000000006</v>
      </c>
      <c r="AC14" s="423">
        <v>7692.66</v>
      </c>
      <c r="AD14" s="423">
        <v>6327.24</v>
      </c>
      <c r="AE14" s="423">
        <f t="shared" si="2"/>
        <v>7692.6600000000026</v>
      </c>
      <c r="AF14" s="423">
        <f t="shared" si="0"/>
        <v>6266.46</v>
      </c>
    </row>
    <row r="15" spans="1:35">
      <c r="A15" s="35">
        <v>7</v>
      </c>
      <c r="C15" s="6" t="s">
        <v>1798</v>
      </c>
      <c r="D15" s="6" t="str">
        <f t="shared" si="1"/>
        <v>00038</v>
      </c>
      <c r="E15" s="423">
        <v>6203474.7999999998</v>
      </c>
      <c r="F15" s="423">
        <v>3278641.73</v>
      </c>
      <c r="G15" s="423">
        <v>6203474.7999999998</v>
      </c>
      <c r="H15" s="423">
        <v>3288050.33</v>
      </c>
      <c r="I15" s="423">
        <v>6203474.7999999998</v>
      </c>
      <c r="J15" s="423">
        <v>3297458.93</v>
      </c>
      <c r="K15" s="423">
        <v>6203474.7999999998</v>
      </c>
      <c r="L15" s="423">
        <v>3306867.5300000003</v>
      </c>
      <c r="M15" s="423">
        <v>6203474.7999999998</v>
      </c>
      <c r="N15" s="423">
        <v>3316276.13</v>
      </c>
      <c r="O15" s="423">
        <v>6203474.7999999998</v>
      </c>
      <c r="P15" s="423">
        <v>3325684.73</v>
      </c>
      <c r="Q15" s="423">
        <v>6203474.7999999998</v>
      </c>
      <c r="R15" s="423">
        <v>3335093.33</v>
      </c>
      <c r="S15" s="423">
        <v>6203474.7999999998</v>
      </c>
      <c r="T15" s="423">
        <v>3344501.93</v>
      </c>
      <c r="U15" s="423">
        <v>6203474.7999999998</v>
      </c>
      <c r="V15" s="423">
        <v>3353910.5300000003</v>
      </c>
      <c r="W15" s="423">
        <v>6203474.7999999998</v>
      </c>
      <c r="X15" s="423">
        <v>3363319.13</v>
      </c>
      <c r="Y15" s="423">
        <v>6203474.7999999998</v>
      </c>
      <c r="Z15" s="423">
        <v>3372727.73</v>
      </c>
      <c r="AA15" s="423">
        <v>6203474.7999999998</v>
      </c>
      <c r="AB15" s="423">
        <v>3382136.33</v>
      </c>
      <c r="AC15" s="423">
        <v>6203474.7999999998</v>
      </c>
      <c r="AD15" s="423">
        <v>3391544.93</v>
      </c>
      <c r="AE15" s="423">
        <f t="shared" si="2"/>
        <v>6203474.799999998</v>
      </c>
      <c r="AF15" s="423">
        <f t="shared" si="0"/>
        <v>3335093.3299999996</v>
      </c>
    </row>
    <row r="16" spans="1:35">
      <c r="A16" s="35">
        <v>8</v>
      </c>
      <c r="C16" s="6" t="s">
        <v>1799</v>
      </c>
      <c r="D16" s="6" t="str">
        <f t="shared" si="1"/>
        <v>00038</v>
      </c>
      <c r="E16" s="423">
        <v>36161.700000000004</v>
      </c>
      <c r="F16" s="423">
        <v>-4564.4000000000005</v>
      </c>
      <c r="G16" s="423">
        <v>36161.700000000004</v>
      </c>
      <c r="H16" s="423">
        <v>-4552.05</v>
      </c>
      <c r="I16" s="423">
        <v>36161.700000000004</v>
      </c>
      <c r="J16" s="423">
        <v>-4539.7</v>
      </c>
      <c r="K16" s="423">
        <v>36161.700000000004</v>
      </c>
      <c r="L16" s="423">
        <v>-4527.3500000000004</v>
      </c>
      <c r="M16" s="423">
        <v>36161.700000000004</v>
      </c>
      <c r="N16" s="423">
        <v>-4515</v>
      </c>
      <c r="O16" s="423">
        <v>36161.700000000004</v>
      </c>
      <c r="P16" s="423">
        <v>-4502.6500000000005</v>
      </c>
      <c r="Q16" s="423">
        <v>36161.700000000004</v>
      </c>
      <c r="R16" s="423">
        <v>-4490.3</v>
      </c>
      <c r="S16" s="423">
        <v>36161.700000000004</v>
      </c>
      <c r="T16" s="423">
        <v>-4477.95</v>
      </c>
      <c r="U16" s="423">
        <v>36161.700000000004</v>
      </c>
      <c r="V16" s="423">
        <v>-4465.6000000000004</v>
      </c>
      <c r="W16" s="423">
        <v>36161.700000000004</v>
      </c>
      <c r="X16" s="423">
        <v>-4453.25</v>
      </c>
      <c r="Y16" s="423">
        <v>36161.700000000004</v>
      </c>
      <c r="Z16" s="423">
        <v>-4440.9000000000005</v>
      </c>
      <c r="AA16" s="423">
        <v>36161.700000000004</v>
      </c>
      <c r="AB16" s="423">
        <v>-4428.55</v>
      </c>
      <c r="AC16" s="423">
        <v>36161.700000000004</v>
      </c>
      <c r="AD16" s="423">
        <v>-4416.2</v>
      </c>
      <c r="AE16" s="423">
        <f t="shared" si="2"/>
        <v>36161.700000000004</v>
      </c>
      <c r="AF16" s="423">
        <f t="shared" si="0"/>
        <v>-4490.3</v>
      </c>
    </row>
    <row r="17" spans="1:32">
      <c r="A17" s="35">
        <v>9</v>
      </c>
      <c r="C17" s="6" t="s">
        <v>1800</v>
      </c>
      <c r="D17" s="6" t="str">
        <f t="shared" si="1"/>
        <v>00038</v>
      </c>
      <c r="E17" s="423">
        <v>81176.350000000006</v>
      </c>
      <c r="F17" s="423">
        <v>-2885.31</v>
      </c>
      <c r="G17" s="423">
        <v>81176.350000000006</v>
      </c>
      <c r="H17" s="423">
        <v>-2758.13</v>
      </c>
      <c r="I17" s="423">
        <v>81176.350000000006</v>
      </c>
      <c r="J17" s="423">
        <v>-2630.9500000000003</v>
      </c>
      <c r="K17" s="423">
        <v>81176.350000000006</v>
      </c>
      <c r="L17" s="423">
        <v>-2503.77</v>
      </c>
      <c r="M17" s="423">
        <v>81176.350000000006</v>
      </c>
      <c r="N17" s="423">
        <v>-2376.59</v>
      </c>
      <c r="O17" s="423">
        <v>81176.350000000006</v>
      </c>
      <c r="P17" s="423">
        <v>-2249.41</v>
      </c>
      <c r="Q17" s="423">
        <v>81176.350000000006</v>
      </c>
      <c r="R17" s="423">
        <v>-2122.23</v>
      </c>
      <c r="S17" s="423">
        <v>81176.350000000006</v>
      </c>
      <c r="T17" s="423">
        <v>-1995.05</v>
      </c>
      <c r="U17" s="423">
        <v>81176.350000000006</v>
      </c>
      <c r="V17" s="423">
        <v>-1867.8700000000001</v>
      </c>
      <c r="W17" s="423">
        <v>79051.19</v>
      </c>
      <c r="X17" s="423">
        <v>-1740.69</v>
      </c>
      <c r="Y17" s="423">
        <v>79051.19</v>
      </c>
      <c r="Z17" s="423">
        <v>-1616.8400000000001</v>
      </c>
      <c r="AA17" s="423">
        <v>79051.19</v>
      </c>
      <c r="AB17" s="423">
        <v>-1492.99</v>
      </c>
      <c r="AC17" s="423">
        <v>79051.19</v>
      </c>
      <c r="AD17" s="423">
        <v>-1369.14</v>
      </c>
      <c r="AE17" s="423">
        <f t="shared" si="2"/>
        <v>80556.511666666658</v>
      </c>
      <c r="AF17" s="423">
        <f t="shared" si="0"/>
        <v>-2123.4787499999998</v>
      </c>
    </row>
    <row r="18" spans="1:32">
      <c r="A18" s="35">
        <v>10</v>
      </c>
      <c r="C18" s="6" t="s">
        <v>1801</v>
      </c>
      <c r="D18" s="6" t="str">
        <f t="shared" si="1"/>
        <v>00038</v>
      </c>
      <c r="E18" s="423">
        <v>141860.15</v>
      </c>
      <c r="F18" s="423">
        <v>0</v>
      </c>
      <c r="G18" s="423">
        <v>141860.15</v>
      </c>
      <c r="H18" s="423">
        <v>0</v>
      </c>
      <c r="I18" s="423">
        <v>141860.15</v>
      </c>
      <c r="J18" s="423">
        <v>0</v>
      </c>
      <c r="K18" s="423">
        <v>141860.15</v>
      </c>
      <c r="L18" s="423">
        <v>0</v>
      </c>
      <c r="M18" s="423">
        <v>141860.15</v>
      </c>
      <c r="N18" s="423">
        <v>0</v>
      </c>
      <c r="O18" s="423">
        <v>141860.15</v>
      </c>
      <c r="P18" s="423">
        <v>0</v>
      </c>
      <c r="Q18" s="423">
        <v>141860.15</v>
      </c>
      <c r="R18" s="423">
        <v>0</v>
      </c>
      <c r="S18" s="423">
        <v>141860.15</v>
      </c>
      <c r="T18" s="423">
        <v>0</v>
      </c>
      <c r="U18" s="423">
        <v>141860.15</v>
      </c>
      <c r="V18" s="423">
        <v>0</v>
      </c>
      <c r="W18" s="423">
        <v>141860.15</v>
      </c>
      <c r="X18" s="423">
        <v>0</v>
      </c>
      <c r="Y18" s="423">
        <v>141860.15</v>
      </c>
      <c r="Z18" s="423">
        <v>0</v>
      </c>
      <c r="AA18" s="423">
        <v>141860.15</v>
      </c>
      <c r="AB18" s="423">
        <v>0</v>
      </c>
      <c r="AC18" s="423">
        <v>141860.15</v>
      </c>
      <c r="AD18" s="423">
        <v>0</v>
      </c>
      <c r="AE18" s="423">
        <f t="shared" si="2"/>
        <v>141860.14999999997</v>
      </c>
      <c r="AF18" s="423">
        <f t="shared" si="0"/>
        <v>0</v>
      </c>
    </row>
    <row r="19" spans="1:32">
      <c r="A19" s="35">
        <v>11</v>
      </c>
      <c r="C19" s="6" t="s">
        <v>1802</v>
      </c>
      <c r="D19" s="6" t="str">
        <f t="shared" si="1"/>
        <v>00038</v>
      </c>
      <c r="E19" s="423">
        <v>0</v>
      </c>
      <c r="F19" s="423">
        <v>-655.47</v>
      </c>
      <c r="G19" s="423">
        <v>0</v>
      </c>
      <c r="H19" s="423">
        <v>-655.47</v>
      </c>
      <c r="I19" s="423">
        <v>0</v>
      </c>
      <c r="J19" s="423">
        <v>-655.47</v>
      </c>
      <c r="K19" s="423">
        <v>0</v>
      </c>
      <c r="L19" s="423">
        <v>-655.47</v>
      </c>
      <c r="M19" s="423">
        <v>0</v>
      </c>
      <c r="N19" s="423">
        <v>-655.47</v>
      </c>
      <c r="O19" s="423">
        <v>0</v>
      </c>
      <c r="P19" s="423">
        <v>-655.47</v>
      </c>
      <c r="Q19" s="423">
        <v>0</v>
      </c>
      <c r="R19" s="423">
        <v>-655.47</v>
      </c>
      <c r="S19" s="423">
        <v>0</v>
      </c>
      <c r="T19" s="423">
        <v>-655.47</v>
      </c>
      <c r="U19" s="423">
        <v>0</v>
      </c>
      <c r="V19" s="423">
        <v>-655.47</v>
      </c>
      <c r="W19" s="423">
        <v>0</v>
      </c>
      <c r="X19" s="423">
        <v>-655.47</v>
      </c>
      <c r="Y19" s="423">
        <v>0</v>
      </c>
      <c r="Z19" s="423">
        <v>-655.47</v>
      </c>
      <c r="AA19" s="423">
        <v>0</v>
      </c>
      <c r="AB19" s="423">
        <v>-655.47</v>
      </c>
      <c r="AC19" s="423">
        <v>0</v>
      </c>
      <c r="AD19" s="423">
        <v>-655.47</v>
      </c>
      <c r="AE19" s="423">
        <f t="shared" si="2"/>
        <v>0</v>
      </c>
      <c r="AF19" s="423">
        <f t="shared" si="0"/>
        <v>-655.47000000000014</v>
      </c>
    </row>
    <row r="20" spans="1:32">
      <c r="A20" s="35">
        <v>12</v>
      </c>
      <c r="C20" s="6" t="s">
        <v>1803</v>
      </c>
      <c r="D20" s="6" t="str">
        <f t="shared" si="1"/>
        <v>00038</v>
      </c>
      <c r="E20" s="423">
        <v>363784.97000000003</v>
      </c>
      <c r="F20" s="423">
        <v>246406.96</v>
      </c>
      <c r="G20" s="423">
        <v>363784.97000000003</v>
      </c>
      <c r="H20" s="423">
        <v>246776.81</v>
      </c>
      <c r="I20" s="423">
        <v>363784.97000000003</v>
      </c>
      <c r="J20" s="423">
        <v>247146.66</v>
      </c>
      <c r="K20" s="423">
        <v>363784.97000000003</v>
      </c>
      <c r="L20" s="423">
        <v>247516.51</v>
      </c>
      <c r="M20" s="423">
        <v>363784.97000000003</v>
      </c>
      <c r="N20" s="423">
        <v>247886.36000000002</v>
      </c>
      <c r="O20" s="423">
        <v>363784.97000000003</v>
      </c>
      <c r="P20" s="423">
        <v>248256.21</v>
      </c>
      <c r="Q20" s="423">
        <v>363784.97000000003</v>
      </c>
      <c r="R20" s="423">
        <v>248626.06</v>
      </c>
      <c r="S20" s="423">
        <v>363784.97000000003</v>
      </c>
      <c r="T20" s="423">
        <v>248995.91</v>
      </c>
      <c r="U20" s="423">
        <v>363784.97000000003</v>
      </c>
      <c r="V20" s="423">
        <v>249365.76000000001</v>
      </c>
      <c r="W20" s="423">
        <v>363784.97000000003</v>
      </c>
      <c r="X20" s="423">
        <v>249735.61000000002</v>
      </c>
      <c r="Y20" s="423">
        <v>363784.97000000003</v>
      </c>
      <c r="Z20" s="423">
        <v>250105.46</v>
      </c>
      <c r="AA20" s="423">
        <v>363784.97000000003</v>
      </c>
      <c r="AB20" s="423">
        <v>250475.31</v>
      </c>
      <c r="AC20" s="423">
        <v>363784.97000000003</v>
      </c>
      <c r="AD20" s="423">
        <v>250845.16</v>
      </c>
      <c r="AE20" s="423">
        <f t="shared" si="2"/>
        <v>363784.97000000015</v>
      </c>
      <c r="AF20" s="423">
        <f t="shared" si="0"/>
        <v>248626.06000000003</v>
      </c>
    </row>
    <row r="21" spans="1:32">
      <c r="A21" s="35">
        <v>13</v>
      </c>
      <c r="C21" s="6" t="s">
        <v>1804</v>
      </c>
      <c r="D21" s="6" t="str">
        <f t="shared" si="1"/>
        <v>00038</v>
      </c>
      <c r="E21" s="423">
        <v>15085668.380000001</v>
      </c>
      <c r="F21" s="423">
        <v>4897183.96</v>
      </c>
      <c r="G21" s="423">
        <v>15104874.25</v>
      </c>
      <c r="H21" s="423">
        <v>4979920</v>
      </c>
      <c r="I21" s="423">
        <v>15106654.83</v>
      </c>
      <c r="J21" s="423">
        <v>4995654.25</v>
      </c>
      <c r="K21" s="423">
        <v>15110550.34</v>
      </c>
      <c r="L21" s="423">
        <v>5010120.05</v>
      </c>
      <c r="M21" s="423">
        <v>15151477.460000001</v>
      </c>
      <c r="N21" s="423">
        <v>5025860.2</v>
      </c>
      <c r="O21" s="423">
        <v>15151477.449999999</v>
      </c>
      <c r="P21" s="423">
        <v>5041642.99</v>
      </c>
      <c r="Q21" s="423">
        <v>15348974.75</v>
      </c>
      <c r="R21" s="423">
        <v>5057241.3600000003</v>
      </c>
      <c r="S21" s="423">
        <v>15334956.33</v>
      </c>
      <c r="T21" s="423">
        <v>5073229.87</v>
      </c>
      <c r="U21" s="423">
        <v>15761109.73</v>
      </c>
      <c r="V21" s="423">
        <v>5089203.78</v>
      </c>
      <c r="W21" s="423">
        <v>15761109.73</v>
      </c>
      <c r="X21" s="423">
        <v>5079247.0199999996</v>
      </c>
      <c r="Y21" s="423">
        <v>15761109.73</v>
      </c>
      <c r="Z21" s="423">
        <v>5095664.84</v>
      </c>
      <c r="AA21" s="423">
        <v>15761109.73</v>
      </c>
      <c r="AB21" s="423">
        <v>5112082.66</v>
      </c>
      <c r="AC21" s="423">
        <v>16263434.68</v>
      </c>
      <c r="AD21" s="423">
        <v>5121531.34</v>
      </c>
      <c r="AE21" s="423">
        <f t="shared" si="2"/>
        <v>15418996.321666665</v>
      </c>
      <c r="AF21" s="423">
        <f t="shared" si="0"/>
        <v>5047435.3891666662</v>
      </c>
    </row>
    <row r="22" spans="1:32">
      <c r="A22" s="35">
        <v>14</v>
      </c>
      <c r="C22" s="6" t="s">
        <v>1805</v>
      </c>
      <c r="D22" s="6" t="str">
        <f t="shared" si="1"/>
        <v>00038</v>
      </c>
      <c r="E22" s="423">
        <v>36326710.43</v>
      </c>
      <c r="F22" s="423">
        <v>8318908.7199999997</v>
      </c>
      <c r="G22" s="423">
        <v>36319962.240000002</v>
      </c>
      <c r="H22" s="423">
        <v>8984426.3599999994</v>
      </c>
      <c r="I22" s="423">
        <v>36351504.299999997</v>
      </c>
      <c r="J22" s="423">
        <v>9109427.5600000005</v>
      </c>
      <c r="K22" s="423">
        <v>36365688.93</v>
      </c>
      <c r="L22" s="423">
        <v>9230380.75</v>
      </c>
      <c r="M22" s="423">
        <v>36940084.009999998</v>
      </c>
      <c r="N22" s="423">
        <v>9355539.3300000001</v>
      </c>
      <c r="O22" s="423">
        <v>37012259.280000001</v>
      </c>
      <c r="P22" s="423">
        <v>9482674.7799999993</v>
      </c>
      <c r="Q22" s="423">
        <v>37067628.990000002</v>
      </c>
      <c r="R22" s="423">
        <v>9609877.5199999996</v>
      </c>
      <c r="S22" s="423">
        <v>37103980.909999996</v>
      </c>
      <c r="T22" s="423">
        <v>9737451.9499999993</v>
      </c>
      <c r="U22" s="423">
        <v>37779712.049999997</v>
      </c>
      <c r="V22" s="423">
        <v>9863497.3000000007</v>
      </c>
      <c r="W22" s="423">
        <v>38035887.810000002</v>
      </c>
      <c r="X22" s="423">
        <v>9992056.8499999996</v>
      </c>
      <c r="Y22" s="423">
        <v>38377685.039999999</v>
      </c>
      <c r="Z22" s="423">
        <v>10122963.699999999</v>
      </c>
      <c r="AA22" s="423">
        <v>38613862.909999996</v>
      </c>
      <c r="AB22" s="423">
        <v>10254363.810000001</v>
      </c>
      <c r="AC22" s="423">
        <v>38985326.240000002</v>
      </c>
      <c r="AD22" s="423">
        <v>10387259.859999999</v>
      </c>
      <c r="AE22" s="423">
        <f t="shared" si="2"/>
        <v>37302022.900416665</v>
      </c>
      <c r="AF22" s="423">
        <f t="shared" si="0"/>
        <v>9591312.0166666657</v>
      </c>
    </row>
    <row r="23" spans="1:32">
      <c r="A23" s="35">
        <v>15</v>
      </c>
      <c r="C23" s="6" t="s">
        <v>1806</v>
      </c>
      <c r="D23" s="6" t="str">
        <f t="shared" si="1"/>
        <v>00038</v>
      </c>
      <c r="E23" s="423">
        <v>31021437.920000002</v>
      </c>
      <c r="F23" s="423">
        <v>22938009.989999998</v>
      </c>
      <c r="G23" s="423">
        <v>31038899.719999999</v>
      </c>
      <c r="H23" s="423">
        <v>22991192.850000001</v>
      </c>
      <c r="I23" s="423">
        <v>31046740.219999999</v>
      </c>
      <c r="J23" s="423">
        <v>23004209.059999999</v>
      </c>
      <c r="K23" s="423">
        <v>31199451.789999999</v>
      </c>
      <c r="L23" s="423">
        <v>23048829.640000001</v>
      </c>
      <c r="M23" s="423">
        <v>31254403.899999999</v>
      </c>
      <c r="N23" s="423">
        <v>23087875.199999999</v>
      </c>
      <c r="O23" s="423">
        <v>31253245.510000002</v>
      </c>
      <c r="P23" s="423">
        <v>23143836.149999999</v>
      </c>
      <c r="Q23" s="423">
        <v>31454455.699999999</v>
      </c>
      <c r="R23" s="423">
        <v>23201133.760000002</v>
      </c>
      <c r="S23" s="423">
        <v>31547721.050000001</v>
      </c>
      <c r="T23" s="423">
        <v>23258634.899999999</v>
      </c>
      <c r="U23" s="423">
        <v>31552793.73</v>
      </c>
      <c r="V23" s="423">
        <v>23312037.420000002</v>
      </c>
      <c r="W23" s="423">
        <v>31570517.539999999</v>
      </c>
      <c r="X23" s="423">
        <v>23369884.199999999</v>
      </c>
      <c r="Y23" s="423">
        <v>31579299.510000002</v>
      </c>
      <c r="Z23" s="423">
        <v>23426957.690000001</v>
      </c>
      <c r="AA23" s="423">
        <v>31630260</v>
      </c>
      <c r="AB23" s="423">
        <v>23478212.280000001</v>
      </c>
      <c r="AC23" s="423">
        <v>31764135.859999999</v>
      </c>
      <c r="AD23" s="423">
        <v>23534532.66</v>
      </c>
      <c r="AE23" s="423">
        <f t="shared" si="2"/>
        <v>31376714.629999995</v>
      </c>
      <c r="AF23" s="423">
        <f t="shared" si="0"/>
        <v>23213256.206250001</v>
      </c>
    </row>
    <row r="24" spans="1:32">
      <c r="A24" s="35">
        <v>16</v>
      </c>
      <c r="C24" s="6" t="s">
        <v>1807</v>
      </c>
      <c r="D24" s="6" t="str">
        <f t="shared" si="1"/>
        <v>00038</v>
      </c>
      <c r="E24" s="423">
        <v>7895829.7400000002</v>
      </c>
      <c r="F24" s="423">
        <v>2875066.34</v>
      </c>
      <c r="G24" s="423">
        <v>7921283.5999999996</v>
      </c>
      <c r="H24" s="423">
        <v>2887699.67</v>
      </c>
      <c r="I24" s="423">
        <v>7942537.4500000002</v>
      </c>
      <c r="J24" s="423">
        <v>2900373.7199999997</v>
      </c>
      <c r="K24" s="423">
        <v>8012268.1900000004</v>
      </c>
      <c r="L24" s="423">
        <v>2904989.02</v>
      </c>
      <c r="M24" s="423">
        <v>8029887.7400000002</v>
      </c>
      <c r="N24" s="423">
        <v>2917808.65</v>
      </c>
      <c r="O24" s="423">
        <v>8029887.7400000002</v>
      </c>
      <c r="P24" s="423">
        <v>2930656.4699999997</v>
      </c>
      <c r="Q24" s="423">
        <v>8142370.3600000003</v>
      </c>
      <c r="R24" s="423">
        <v>2942067.37</v>
      </c>
      <c r="S24" s="423">
        <v>8142931.5599999996</v>
      </c>
      <c r="T24" s="423">
        <v>2953661.59</v>
      </c>
      <c r="U24" s="423">
        <v>8143368.9199999999</v>
      </c>
      <c r="V24" s="423">
        <v>2966690.2800000003</v>
      </c>
      <c r="W24" s="423">
        <v>8146052.8200000003</v>
      </c>
      <c r="X24" s="423">
        <v>2979162.77</v>
      </c>
      <c r="Y24" s="423">
        <v>8167832.2000000002</v>
      </c>
      <c r="Z24" s="423">
        <v>2992196.45</v>
      </c>
      <c r="AA24" s="423">
        <v>8168799.6500000004</v>
      </c>
      <c r="AB24" s="423">
        <v>3005264.98</v>
      </c>
      <c r="AC24" s="423">
        <v>8710463.1500000004</v>
      </c>
      <c r="AD24" s="423">
        <v>3016966.62</v>
      </c>
      <c r="AE24" s="423">
        <f t="shared" si="2"/>
        <v>8095863.8895833343</v>
      </c>
      <c r="AF24" s="423">
        <f t="shared" si="0"/>
        <v>2943882.2875000001</v>
      </c>
    </row>
    <row r="25" spans="1:32">
      <c r="A25" s="35">
        <v>17</v>
      </c>
      <c r="C25" s="6" t="s">
        <v>1808</v>
      </c>
      <c r="D25" s="6" t="str">
        <f t="shared" si="1"/>
        <v>00038</v>
      </c>
      <c r="E25" s="423">
        <v>33686399.469999999</v>
      </c>
      <c r="F25" s="423">
        <v>11533257.710000001</v>
      </c>
      <c r="G25" s="423">
        <v>33614058.350000001</v>
      </c>
      <c r="H25" s="423">
        <v>11952752.060000001</v>
      </c>
      <c r="I25" s="423">
        <v>33706884.939999998</v>
      </c>
      <c r="J25" s="423">
        <v>12056509.779999999</v>
      </c>
      <c r="K25" s="423">
        <v>33922787.780000001</v>
      </c>
      <c r="L25" s="423">
        <v>12163405.59</v>
      </c>
      <c r="M25" s="423">
        <v>33628845.560000002</v>
      </c>
      <c r="N25" s="423">
        <v>12271600.630000001</v>
      </c>
      <c r="O25" s="423">
        <v>33876412.810000002</v>
      </c>
      <c r="P25" s="423">
        <v>12378954.49</v>
      </c>
      <c r="Q25" s="423">
        <v>34036179.149999999</v>
      </c>
      <c r="R25" s="423">
        <v>12485497.289999999</v>
      </c>
      <c r="S25" s="423">
        <v>34216383.450000003</v>
      </c>
      <c r="T25" s="423">
        <v>12594736.720000001</v>
      </c>
      <c r="U25" s="423">
        <v>34531469.799999997</v>
      </c>
      <c r="V25" s="423">
        <v>12703589.76</v>
      </c>
      <c r="W25" s="423">
        <v>34648005.299999997</v>
      </c>
      <c r="X25" s="423">
        <v>12814756.890000001</v>
      </c>
      <c r="Y25" s="423">
        <v>34809170.100000001</v>
      </c>
      <c r="Z25" s="423">
        <v>12926143.59</v>
      </c>
      <c r="AA25" s="423">
        <v>34925807.119999997</v>
      </c>
      <c r="AB25" s="423">
        <v>13037817.550000001</v>
      </c>
      <c r="AC25" s="423">
        <v>35450283.200000003</v>
      </c>
      <c r="AD25" s="423">
        <v>13149746.33</v>
      </c>
      <c r="AE25" s="423">
        <f t="shared" si="2"/>
        <v>34207028.807916671</v>
      </c>
      <c r="AF25" s="423">
        <f t="shared" si="0"/>
        <v>12477272.197500004</v>
      </c>
    </row>
    <row r="26" spans="1:32">
      <c r="A26" s="35">
        <v>18</v>
      </c>
      <c r="C26" s="6" t="s">
        <v>1809</v>
      </c>
      <c r="D26" s="6" t="str">
        <f t="shared" si="1"/>
        <v>00038</v>
      </c>
      <c r="E26" s="423">
        <v>13055611.970000001</v>
      </c>
      <c r="F26" s="423">
        <v>19024335.030000001</v>
      </c>
      <c r="G26" s="423">
        <v>13056123.84</v>
      </c>
      <c r="H26" s="423">
        <v>19050574.940000001</v>
      </c>
      <c r="I26" s="423">
        <v>13056069.41</v>
      </c>
      <c r="J26" s="423">
        <v>19066831.210000001</v>
      </c>
      <c r="K26" s="423">
        <v>13055702.51</v>
      </c>
      <c r="L26" s="423">
        <v>19085787</v>
      </c>
      <c r="M26" s="423">
        <v>13054970.4</v>
      </c>
      <c r="N26" s="423">
        <v>19118747.829999998</v>
      </c>
      <c r="O26" s="423">
        <v>13053900.07</v>
      </c>
      <c r="P26" s="423">
        <v>19153496.52</v>
      </c>
      <c r="Q26" s="423">
        <v>13051661.68</v>
      </c>
      <c r="R26" s="423">
        <v>19181442.25</v>
      </c>
      <c r="S26" s="423">
        <v>13050987.859999999</v>
      </c>
      <c r="T26" s="423">
        <v>19213941.760000002</v>
      </c>
      <c r="U26" s="423">
        <v>13049850.09</v>
      </c>
      <c r="V26" s="423">
        <v>19238161.149999999</v>
      </c>
      <c r="W26" s="423">
        <v>13049170.619999999</v>
      </c>
      <c r="X26" s="423">
        <v>19265905.129999999</v>
      </c>
      <c r="Y26" s="423">
        <v>13026986.630000001</v>
      </c>
      <c r="Z26" s="423">
        <v>19294246.84</v>
      </c>
      <c r="AA26" s="423">
        <v>13026707.18</v>
      </c>
      <c r="AB26" s="423">
        <v>19323220.690000001</v>
      </c>
      <c r="AC26" s="423">
        <v>13026506.49</v>
      </c>
      <c r="AD26" s="423">
        <v>19356328.68</v>
      </c>
      <c r="AE26" s="423">
        <f t="shared" si="2"/>
        <v>13047765.793333331</v>
      </c>
      <c r="AF26" s="423">
        <f t="shared" si="0"/>
        <v>19181890.597916666</v>
      </c>
    </row>
    <row r="27" spans="1:32">
      <c r="A27" s="35">
        <v>19</v>
      </c>
      <c r="C27" s="6" t="s">
        <v>1810</v>
      </c>
      <c r="D27" s="6" t="str">
        <f t="shared" si="1"/>
        <v>00038</v>
      </c>
      <c r="E27" s="423">
        <v>8242824.79</v>
      </c>
      <c r="F27" s="423">
        <v>3356811.97</v>
      </c>
      <c r="G27" s="423">
        <v>8260321.46</v>
      </c>
      <c r="H27" s="423">
        <v>3369498.74</v>
      </c>
      <c r="I27" s="423">
        <v>8280203.46</v>
      </c>
      <c r="J27" s="423">
        <v>3382302.23</v>
      </c>
      <c r="K27" s="423">
        <v>8307075.9299999997</v>
      </c>
      <c r="L27" s="423">
        <v>3394658.36</v>
      </c>
      <c r="M27" s="423">
        <v>8324970.5300000003</v>
      </c>
      <c r="N27" s="423">
        <v>3407280.62</v>
      </c>
      <c r="O27" s="423">
        <v>8343035.1200000001</v>
      </c>
      <c r="P27" s="423">
        <v>3420184.32</v>
      </c>
      <c r="Q27" s="423">
        <v>8361379.8799999999</v>
      </c>
      <c r="R27" s="423">
        <v>3433113.42</v>
      </c>
      <c r="S27" s="423">
        <v>8378389.4000000004</v>
      </c>
      <c r="T27" s="423">
        <v>3445002.36</v>
      </c>
      <c r="U27" s="423">
        <v>8376949.3700000001</v>
      </c>
      <c r="V27" s="423">
        <v>3450401.25</v>
      </c>
      <c r="W27" s="423">
        <v>8384162.5599999996</v>
      </c>
      <c r="X27" s="423">
        <v>3463087.87</v>
      </c>
      <c r="Y27" s="423">
        <v>8395362.3300000001</v>
      </c>
      <c r="Z27" s="423">
        <v>3474665.14</v>
      </c>
      <c r="AA27" s="423">
        <v>8420057.2799999993</v>
      </c>
      <c r="AB27" s="423">
        <v>3487645.61</v>
      </c>
      <c r="AC27" s="423">
        <v>8433778.1199999992</v>
      </c>
      <c r="AD27" s="423">
        <v>3500679.52</v>
      </c>
      <c r="AE27" s="423">
        <f t="shared" si="2"/>
        <v>8347517.3979166662</v>
      </c>
      <c r="AF27" s="423">
        <f t="shared" si="0"/>
        <v>3429715.4720833325</v>
      </c>
    </row>
    <row r="28" spans="1:32">
      <c r="A28" s="35">
        <v>20</v>
      </c>
      <c r="C28" s="6" t="s">
        <v>1811</v>
      </c>
      <c r="D28" s="6" t="str">
        <f t="shared" si="1"/>
        <v>00038</v>
      </c>
      <c r="E28" s="423">
        <v>1670380.77</v>
      </c>
      <c r="F28" s="423">
        <v>680211.56</v>
      </c>
      <c r="G28" s="423">
        <v>1671090.47</v>
      </c>
      <c r="H28" s="423">
        <v>683246.09</v>
      </c>
      <c r="I28" s="423">
        <v>1671090.47</v>
      </c>
      <c r="J28" s="423">
        <v>686281.9</v>
      </c>
      <c r="K28" s="423">
        <v>1673664.92</v>
      </c>
      <c r="L28" s="423">
        <v>689317.71</v>
      </c>
      <c r="M28" s="423">
        <v>1675639.27</v>
      </c>
      <c r="N28" s="423">
        <v>692358.20000000007</v>
      </c>
      <c r="O28" s="423">
        <v>1675639.27</v>
      </c>
      <c r="P28" s="423">
        <v>695402.28</v>
      </c>
      <c r="Q28" s="423">
        <v>1696382.46</v>
      </c>
      <c r="R28" s="423">
        <v>698446.36</v>
      </c>
      <c r="S28" s="423">
        <v>1702358.19</v>
      </c>
      <c r="T28" s="423">
        <v>701528.12</v>
      </c>
      <c r="U28" s="423">
        <v>1710451.51</v>
      </c>
      <c r="V28" s="423">
        <v>712208.36</v>
      </c>
      <c r="W28" s="423">
        <v>1713381.5899999999</v>
      </c>
      <c r="X28" s="423">
        <v>715315.68</v>
      </c>
      <c r="Y28" s="423">
        <v>1719312.94</v>
      </c>
      <c r="Z28" s="423">
        <v>718428.32000000007</v>
      </c>
      <c r="AA28" s="423">
        <v>1721031</v>
      </c>
      <c r="AB28" s="423">
        <v>721551.74</v>
      </c>
      <c r="AC28" s="423">
        <v>1828166.3</v>
      </c>
      <c r="AD28" s="423">
        <v>712745.85</v>
      </c>
      <c r="AE28" s="423">
        <f t="shared" si="2"/>
        <v>1698276.3020833333</v>
      </c>
      <c r="AF28" s="423">
        <f t="shared" si="0"/>
        <v>700880.28874999995</v>
      </c>
    </row>
    <row r="29" spans="1:32">
      <c r="A29" s="35">
        <v>21</v>
      </c>
      <c r="C29" s="6" t="s">
        <v>1812</v>
      </c>
      <c r="D29" s="6" t="str">
        <f t="shared" si="1"/>
        <v>00038</v>
      </c>
      <c r="E29" s="423">
        <v>0</v>
      </c>
      <c r="F29" s="423">
        <v>-256.08</v>
      </c>
      <c r="G29" s="423">
        <v>0</v>
      </c>
      <c r="H29" s="423">
        <v>-256.08</v>
      </c>
      <c r="I29" s="423">
        <v>0</v>
      </c>
      <c r="J29" s="423">
        <v>-256.08</v>
      </c>
      <c r="K29" s="423">
        <v>0</v>
      </c>
      <c r="L29" s="423">
        <v>-256.08</v>
      </c>
      <c r="M29" s="423">
        <v>0</v>
      </c>
      <c r="N29" s="423">
        <v>-256.08</v>
      </c>
      <c r="O29" s="423">
        <v>0</v>
      </c>
      <c r="P29" s="423">
        <v>-256.08</v>
      </c>
      <c r="Q29" s="423">
        <v>0</v>
      </c>
      <c r="R29" s="423">
        <v>-256.08</v>
      </c>
      <c r="S29" s="423">
        <v>0</v>
      </c>
      <c r="T29" s="423">
        <v>-256.08</v>
      </c>
      <c r="U29" s="423">
        <v>0</v>
      </c>
      <c r="V29" s="423">
        <v>-256.08</v>
      </c>
      <c r="W29" s="423">
        <v>0</v>
      </c>
      <c r="X29" s="423">
        <v>-256.08</v>
      </c>
      <c r="Y29" s="423">
        <v>0</v>
      </c>
      <c r="Z29" s="423">
        <v>-256.08</v>
      </c>
      <c r="AA29" s="423">
        <v>0</v>
      </c>
      <c r="AB29" s="423">
        <v>-256.08</v>
      </c>
      <c r="AC29" s="423">
        <v>0</v>
      </c>
      <c r="AD29" s="423">
        <v>-256.08</v>
      </c>
      <c r="AE29" s="423">
        <f t="shared" si="2"/>
        <v>0</v>
      </c>
      <c r="AF29" s="423">
        <f t="shared" si="0"/>
        <v>-256.08</v>
      </c>
    </row>
    <row r="30" spans="1:32">
      <c r="A30" s="35">
        <v>22</v>
      </c>
      <c r="C30" s="6" t="s">
        <v>1813</v>
      </c>
      <c r="D30" s="6" t="str">
        <f t="shared" si="1"/>
        <v>00038</v>
      </c>
      <c r="E30" s="423">
        <v>302126.86</v>
      </c>
      <c r="F30" s="423">
        <v>250563.73</v>
      </c>
      <c r="G30" s="423">
        <v>302126.86</v>
      </c>
      <c r="H30" s="423">
        <v>250563.73</v>
      </c>
      <c r="I30" s="423">
        <v>302126.86</v>
      </c>
      <c r="J30" s="423">
        <v>250563.73</v>
      </c>
      <c r="K30" s="423">
        <v>493301.43</v>
      </c>
      <c r="L30" s="423">
        <v>250563.73</v>
      </c>
      <c r="M30" s="423">
        <v>493301.43</v>
      </c>
      <c r="N30" s="423">
        <v>309237.99</v>
      </c>
      <c r="O30" s="423">
        <v>493301.43</v>
      </c>
      <c r="P30" s="423">
        <v>309237.99</v>
      </c>
      <c r="Q30" s="423">
        <v>493301.43</v>
      </c>
      <c r="R30" s="423">
        <v>309237.99</v>
      </c>
      <c r="S30" s="423">
        <v>493301.43</v>
      </c>
      <c r="T30" s="423">
        <v>309237.99</v>
      </c>
      <c r="U30" s="423">
        <v>493301.43</v>
      </c>
      <c r="V30" s="423">
        <v>309237.99</v>
      </c>
      <c r="W30" s="423">
        <v>493301.43</v>
      </c>
      <c r="X30" s="423">
        <v>309237.99</v>
      </c>
      <c r="Y30" s="423">
        <v>493301.43</v>
      </c>
      <c r="Z30" s="423">
        <v>309237.99</v>
      </c>
      <c r="AA30" s="423">
        <v>493301.43</v>
      </c>
      <c r="AB30" s="423">
        <v>309237.99</v>
      </c>
      <c r="AC30" s="423">
        <v>493301.43</v>
      </c>
      <c r="AD30" s="423">
        <v>309237.99</v>
      </c>
      <c r="AE30" s="423">
        <f t="shared" si="2"/>
        <v>453473.39458333328</v>
      </c>
      <c r="AF30" s="423">
        <f t="shared" si="0"/>
        <v>292124.66416666668</v>
      </c>
    </row>
    <row r="31" spans="1:32">
      <c r="A31" s="35">
        <v>23</v>
      </c>
      <c r="C31" s="6" t="s">
        <v>1814</v>
      </c>
      <c r="D31" s="6" t="str">
        <f t="shared" si="1"/>
        <v>00038</v>
      </c>
      <c r="E31" s="423">
        <v>0</v>
      </c>
      <c r="F31" s="423">
        <v>11145.130000000001</v>
      </c>
      <c r="G31" s="423">
        <v>0</v>
      </c>
      <c r="H31" s="423">
        <v>11145.130000000001</v>
      </c>
      <c r="I31" s="423">
        <v>0</v>
      </c>
      <c r="J31" s="423">
        <v>11145.130000000001</v>
      </c>
      <c r="K31" s="423">
        <v>0</v>
      </c>
      <c r="L31" s="423">
        <v>11145.130000000001</v>
      </c>
      <c r="M31" s="423">
        <v>0</v>
      </c>
      <c r="N31" s="423">
        <v>11145.130000000001</v>
      </c>
      <c r="O31" s="423">
        <v>0</v>
      </c>
      <c r="P31" s="423">
        <v>11145.130000000001</v>
      </c>
      <c r="Q31" s="423">
        <v>0</v>
      </c>
      <c r="R31" s="423">
        <v>11145.130000000001</v>
      </c>
      <c r="S31" s="423">
        <v>0</v>
      </c>
      <c r="T31" s="423">
        <v>11145.130000000001</v>
      </c>
      <c r="U31" s="423">
        <v>0</v>
      </c>
      <c r="V31" s="423">
        <v>11145.130000000001</v>
      </c>
      <c r="W31" s="423">
        <v>0</v>
      </c>
      <c r="X31" s="423">
        <v>11145.130000000001</v>
      </c>
      <c r="Y31" s="423">
        <v>0</v>
      </c>
      <c r="Z31" s="423">
        <v>11145.130000000001</v>
      </c>
      <c r="AA31" s="423">
        <v>0</v>
      </c>
      <c r="AB31" s="423">
        <v>11145.130000000001</v>
      </c>
      <c r="AC31" s="423">
        <v>0</v>
      </c>
      <c r="AD31" s="423">
        <v>11145.130000000001</v>
      </c>
      <c r="AE31" s="423">
        <f t="shared" si="2"/>
        <v>0</v>
      </c>
      <c r="AF31" s="423">
        <f t="shared" si="0"/>
        <v>11145.130000000003</v>
      </c>
    </row>
    <row r="32" spans="1:32">
      <c r="A32" s="35">
        <v>24</v>
      </c>
      <c r="C32" s="6" t="s">
        <v>1815</v>
      </c>
      <c r="D32" s="6" t="str">
        <f t="shared" si="1"/>
        <v>00038</v>
      </c>
      <c r="E32" s="423">
        <v>4663838.87</v>
      </c>
      <c r="F32" s="423">
        <v>953510.37</v>
      </c>
      <c r="G32" s="423">
        <v>4663838.87</v>
      </c>
      <c r="H32" s="423">
        <v>956157.87</v>
      </c>
      <c r="I32" s="423">
        <v>4663838.87</v>
      </c>
      <c r="J32" s="423">
        <v>960977.17</v>
      </c>
      <c r="K32" s="423">
        <v>4472664.3</v>
      </c>
      <c r="L32" s="423">
        <v>965796.47</v>
      </c>
      <c r="M32" s="423">
        <v>4472664.3</v>
      </c>
      <c r="N32" s="423">
        <v>1023293.96</v>
      </c>
      <c r="O32" s="423">
        <v>4472664.3</v>
      </c>
      <c r="P32" s="423">
        <v>1027915.71</v>
      </c>
      <c r="Q32" s="423">
        <v>4503031.37</v>
      </c>
      <c r="R32" s="423">
        <v>1032537.46</v>
      </c>
      <c r="S32" s="423">
        <v>4503031.37</v>
      </c>
      <c r="T32" s="423">
        <v>1037190.59</v>
      </c>
      <c r="U32" s="423">
        <v>4503031.37</v>
      </c>
      <c r="V32" s="423">
        <v>1041843.72</v>
      </c>
      <c r="W32" s="423">
        <v>4503031.37</v>
      </c>
      <c r="X32" s="423">
        <v>1046496.85</v>
      </c>
      <c r="Y32" s="423">
        <v>4503031.37</v>
      </c>
      <c r="Z32" s="423">
        <v>1051149.98</v>
      </c>
      <c r="AA32" s="423">
        <v>4503031.37</v>
      </c>
      <c r="AB32" s="423">
        <v>1055803.1100000001</v>
      </c>
      <c r="AC32" s="423">
        <v>4503031.37</v>
      </c>
      <c r="AD32" s="423">
        <v>1060456.24</v>
      </c>
      <c r="AE32" s="423">
        <f t="shared" si="2"/>
        <v>4528941.1649999991</v>
      </c>
      <c r="AF32" s="423">
        <f t="shared" si="0"/>
        <v>1017178.8495833332</v>
      </c>
    </row>
    <row r="33" spans="1:32">
      <c r="A33" s="35">
        <v>25</v>
      </c>
      <c r="C33" s="6" t="s">
        <v>1816</v>
      </c>
      <c r="D33" s="6" t="str">
        <f t="shared" si="1"/>
        <v>00038</v>
      </c>
      <c r="E33" s="423">
        <v>95752.02</v>
      </c>
      <c r="F33" s="423">
        <v>19866.060000000001</v>
      </c>
      <c r="G33" s="423">
        <v>76479.02</v>
      </c>
      <c r="H33" s="423">
        <v>1979.07</v>
      </c>
      <c r="I33" s="423">
        <v>76479.02</v>
      </c>
      <c r="J33" s="423">
        <v>3086.1</v>
      </c>
      <c r="K33" s="423">
        <v>76479.02</v>
      </c>
      <c r="L33" s="423">
        <v>4193.13</v>
      </c>
      <c r="M33" s="423">
        <v>76479.02</v>
      </c>
      <c r="N33" s="423">
        <v>5300.16</v>
      </c>
      <c r="O33" s="423">
        <v>76479.02</v>
      </c>
      <c r="P33" s="423">
        <v>6407.1900000000005</v>
      </c>
      <c r="Q33" s="423">
        <v>76479.02</v>
      </c>
      <c r="R33" s="423">
        <v>7514.22</v>
      </c>
      <c r="S33" s="423">
        <v>76479.02</v>
      </c>
      <c r="T33" s="423">
        <v>8621.25</v>
      </c>
      <c r="U33" s="423">
        <v>76479.02</v>
      </c>
      <c r="V33" s="423">
        <v>9728.2800000000007</v>
      </c>
      <c r="W33" s="423">
        <v>76479.02</v>
      </c>
      <c r="X33" s="423">
        <v>10835.31</v>
      </c>
      <c r="Y33" s="423">
        <v>76479.02</v>
      </c>
      <c r="Z33" s="423">
        <v>11942.34</v>
      </c>
      <c r="AA33" s="423">
        <v>76479.02</v>
      </c>
      <c r="AB33" s="423">
        <v>13049.37</v>
      </c>
      <c r="AC33" s="423">
        <v>76479.02</v>
      </c>
      <c r="AD33" s="423">
        <v>14156.4</v>
      </c>
      <c r="AE33" s="423">
        <f t="shared" si="2"/>
        <v>77282.061666666676</v>
      </c>
      <c r="AF33" s="423">
        <f t="shared" si="0"/>
        <v>8305.6374999999989</v>
      </c>
    </row>
    <row r="34" spans="1:32">
      <c r="A34" s="35">
        <v>26</v>
      </c>
      <c r="C34" s="6" t="s">
        <v>1817</v>
      </c>
      <c r="D34" s="6" t="str">
        <f t="shared" si="1"/>
        <v>00038</v>
      </c>
      <c r="E34" s="423">
        <v>109816.96000000001</v>
      </c>
      <c r="F34" s="423">
        <v>18119.98</v>
      </c>
      <c r="G34" s="423">
        <v>106237.48</v>
      </c>
      <c r="H34" s="423">
        <v>14996.24</v>
      </c>
      <c r="I34" s="423">
        <v>106237.48</v>
      </c>
      <c r="J34" s="423">
        <v>15437.130000000001</v>
      </c>
      <c r="K34" s="423">
        <v>106237.48</v>
      </c>
      <c r="L34" s="423">
        <v>15878.02</v>
      </c>
      <c r="M34" s="423">
        <v>106237.48</v>
      </c>
      <c r="N34" s="423">
        <v>16318.91</v>
      </c>
      <c r="O34" s="423">
        <v>106237.48</v>
      </c>
      <c r="P34" s="423">
        <v>16759.8</v>
      </c>
      <c r="Q34" s="423">
        <v>106237.48</v>
      </c>
      <c r="R34" s="423">
        <v>17200.689999999999</v>
      </c>
      <c r="S34" s="423">
        <v>106237.48</v>
      </c>
      <c r="T34" s="423">
        <v>17641.580000000002</v>
      </c>
      <c r="U34" s="423">
        <v>106237.48</v>
      </c>
      <c r="V34" s="423">
        <v>18082.47</v>
      </c>
      <c r="W34" s="423">
        <v>106237.48</v>
      </c>
      <c r="X34" s="423">
        <v>18523.36</v>
      </c>
      <c r="Y34" s="423">
        <v>106237.48</v>
      </c>
      <c r="Z34" s="423">
        <v>18964.25</v>
      </c>
      <c r="AA34" s="423">
        <v>106237.48</v>
      </c>
      <c r="AB34" s="423">
        <v>19405.14</v>
      </c>
      <c r="AC34" s="423">
        <v>106237.48</v>
      </c>
      <c r="AD34" s="423">
        <v>19846.03</v>
      </c>
      <c r="AE34" s="423">
        <f t="shared" si="2"/>
        <v>106386.625</v>
      </c>
      <c r="AF34" s="423">
        <f t="shared" si="0"/>
        <v>17349.216250000001</v>
      </c>
    </row>
    <row r="35" spans="1:32">
      <c r="A35" s="35">
        <v>27</v>
      </c>
      <c r="C35" s="6" t="s">
        <v>1818</v>
      </c>
      <c r="D35" s="6" t="str">
        <f t="shared" si="1"/>
        <v>00038</v>
      </c>
      <c r="E35" s="423">
        <v>134180.20000000001</v>
      </c>
      <c r="F35" s="423">
        <v>94636.51</v>
      </c>
      <c r="G35" s="423">
        <v>134180.20000000001</v>
      </c>
      <c r="H35" s="423">
        <v>94988.73</v>
      </c>
      <c r="I35" s="423">
        <v>134180.20000000001</v>
      </c>
      <c r="J35" s="423">
        <v>95340.95</v>
      </c>
      <c r="K35" s="423">
        <v>134180.20000000001</v>
      </c>
      <c r="L35" s="423">
        <v>95693.17</v>
      </c>
      <c r="M35" s="423">
        <v>134180.20000000001</v>
      </c>
      <c r="N35" s="423">
        <v>96045.39</v>
      </c>
      <c r="O35" s="423">
        <v>134180.20000000001</v>
      </c>
      <c r="P35" s="423">
        <v>96397.61</v>
      </c>
      <c r="Q35" s="423">
        <v>134180.20000000001</v>
      </c>
      <c r="R35" s="423">
        <v>97449.83</v>
      </c>
      <c r="S35" s="423">
        <v>134180.20000000001</v>
      </c>
      <c r="T35" s="423">
        <v>97802.05</v>
      </c>
      <c r="U35" s="423">
        <v>134180.20000000001</v>
      </c>
      <c r="V35" s="423">
        <v>98154.27</v>
      </c>
      <c r="W35" s="423">
        <v>134180.20000000001</v>
      </c>
      <c r="X35" s="423">
        <v>98506.49</v>
      </c>
      <c r="Y35" s="423">
        <v>129342.7</v>
      </c>
      <c r="Z35" s="423">
        <v>94021.21</v>
      </c>
      <c r="AA35" s="423">
        <v>129342.7</v>
      </c>
      <c r="AB35" s="423">
        <v>94360.73</v>
      </c>
      <c r="AC35" s="423">
        <v>129342.7</v>
      </c>
      <c r="AD35" s="423">
        <v>94700.25</v>
      </c>
      <c r="AE35" s="423">
        <f t="shared" si="2"/>
        <v>133172.38749999998</v>
      </c>
      <c r="AF35" s="423">
        <f t="shared" si="0"/>
        <v>96119.067500000005</v>
      </c>
    </row>
    <row r="36" spans="1:32">
      <c r="A36" s="35">
        <v>28</v>
      </c>
      <c r="C36" s="6" t="s">
        <v>1819</v>
      </c>
      <c r="D36" s="6" t="str">
        <f t="shared" si="1"/>
        <v>00038</v>
      </c>
      <c r="E36" s="423">
        <v>3269505.08</v>
      </c>
      <c r="F36" s="423">
        <v>1139452.31</v>
      </c>
      <c r="G36" s="423">
        <v>3268747.02</v>
      </c>
      <c r="H36" s="423">
        <v>1156208.53</v>
      </c>
      <c r="I36" s="423">
        <v>3264607.26</v>
      </c>
      <c r="J36" s="423">
        <v>1172960.8600000001</v>
      </c>
      <c r="K36" s="423">
        <v>3264177.16</v>
      </c>
      <c r="L36" s="423">
        <v>1189691.98</v>
      </c>
      <c r="M36" s="423">
        <v>3171083.53</v>
      </c>
      <c r="N36" s="423">
        <v>1118467.5</v>
      </c>
      <c r="O36" s="423">
        <v>3276918.55</v>
      </c>
      <c r="P36" s="423">
        <v>1145419.3</v>
      </c>
      <c r="Q36" s="423">
        <v>3308036.71</v>
      </c>
      <c r="R36" s="423">
        <v>1162213.51</v>
      </c>
      <c r="S36" s="423">
        <v>3336005.32</v>
      </c>
      <c r="T36" s="423">
        <v>1179167.2</v>
      </c>
      <c r="U36" s="423">
        <v>3401129.25</v>
      </c>
      <c r="V36" s="423">
        <v>1165480.1200000001</v>
      </c>
      <c r="W36" s="423">
        <v>3436589.67</v>
      </c>
      <c r="X36" s="423">
        <v>1180410.9099999999</v>
      </c>
      <c r="Y36" s="423">
        <v>3434686.6</v>
      </c>
      <c r="Z36" s="423">
        <v>1198023.44</v>
      </c>
      <c r="AA36" s="423">
        <v>3311139.81</v>
      </c>
      <c r="AB36" s="423">
        <v>1134439.42</v>
      </c>
      <c r="AC36" s="423">
        <v>3417540.39</v>
      </c>
      <c r="AD36" s="423">
        <v>1151409.01</v>
      </c>
      <c r="AE36" s="423">
        <f t="shared" si="2"/>
        <v>3318053.6345833335</v>
      </c>
      <c r="AF36" s="423">
        <f t="shared" si="0"/>
        <v>1162326.1191666666</v>
      </c>
    </row>
    <row r="37" spans="1:32">
      <c r="A37" s="35">
        <v>29</v>
      </c>
      <c r="C37" s="6" t="s">
        <v>1820</v>
      </c>
      <c r="D37" s="6" t="str">
        <f t="shared" si="1"/>
        <v>00038</v>
      </c>
      <c r="E37" s="423">
        <v>0</v>
      </c>
      <c r="F37" s="423">
        <v>0</v>
      </c>
      <c r="G37" s="423">
        <v>0</v>
      </c>
      <c r="H37" s="423">
        <v>0</v>
      </c>
      <c r="I37" s="423">
        <v>0</v>
      </c>
      <c r="J37" s="423">
        <v>0</v>
      </c>
      <c r="K37" s="423">
        <v>0</v>
      </c>
      <c r="L37" s="423">
        <v>0</v>
      </c>
      <c r="M37" s="423">
        <v>0</v>
      </c>
      <c r="N37" s="423">
        <v>0</v>
      </c>
      <c r="O37" s="423">
        <v>0</v>
      </c>
      <c r="P37" s="423">
        <v>0</v>
      </c>
      <c r="Q37" s="423">
        <v>0</v>
      </c>
      <c r="R37" s="423">
        <v>0</v>
      </c>
      <c r="S37" s="423">
        <v>0</v>
      </c>
      <c r="T37" s="423">
        <v>0</v>
      </c>
      <c r="U37" s="423">
        <v>0</v>
      </c>
      <c r="V37" s="423">
        <v>0</v>
      </c>
      <c r="W37" s="423">
        <v>0</v>
      </c>
      <c r="X37" s="423">
        <v>0</v>
      </c>
      <c r="Y37" s="423">
        <v>0</v>
      </c>
      <c r="Z37" s="423">
        <v>0</v>
      </c>
      <c r="AA37" s="423">
        <v>0</v>
      </c>
      <c r="AB37" s="423">
        <v>0</v>
      </c>
      <c r="AC37" s="423">
        <v>0</v>
      </c>
      <c r="AD37" s="423">
        <v>0</v>
      </c>
      <c r="AE37" s="423">
        <f t="shared" si="2"/>
        <v>0</v>
      </c>
      <c r="AF37" s="423">
        <f t="shared" si="0"/>
        <v>0</v>
      </c>
    </row>
    <row r="38" spans="1:32">
      <c r="A38" s="35">
        <v>30</v>
      </c>
      <c r="C38" s="6" t="s">
        <v>1821</v>
      </c>
      <c r="D38" s="6" t="str">
        <f t="shared" si="1"/>
        <v>00038</v>
      </c>
      <c r="E38" s="423">
        <v>1249569.52</v>
      </c>
      <c r="F38" s="423">
        <v>351955.78</v>
      </c>
      <c r="G38" s="423">
        <v>1235682.6299999999</v>
      </c>
      <c r="H38" s="423">
        <v>341775.95</v>
      </c>
      <c r="I38" s="423">
        <v>1235682.6299999999</v>
      </c>
      <c r="J38" s="423">
        <v>345441.81</v>
      </c>
      <c r="K38" s="423">
        <v>1191740.79</v>
      </c>
      <c r="L38" s="423">
        <v>305165.83</v>
      </c>
      <c r="M38" s="423">
        <v>1191740.79</v>
      </c>
      <c r="N38" s="423">
        <v>308701.33</v>
      </c>
      <c r="O38" s="423">
        <v>1191740.79</v>
      </c>
      <c r="P38" s="423">
        <v>312236.83</v>
      </c>
      <c r="Q38" s="423">
        <v>1242502.31</v>
      </c>
      <c r="R38" s="423">
        <v>315772.33</v>
      </c>
      <c r="S38" s="423">
        <v>1242502.31</v>
      </c>
      <c r="T38" s="423">
        <v>319458.42</v>
      </c>
      <c r="U38" s="423">
        <v>1243203.67</v>
      </c>
      <c r="V38" s="423">
        <v>323144.51</v>
      </c>
      <c r="W38" s="423">
        <v>1245869.3900000001</v>
      </c>
      <c r="X38" s="423">
        <v>326832.68</v>
      </c>
      <c r="Y38" s="423">
        <v>1258973.99</v>
      </c>
      <c r="Z38" s="423">
        <v>330528.76</v>
      </c>
      <c r="AA38" s="423">
        <v>1258973.99</v>
      </c>
      <c r="AB38" s="423">
        <v>334263.72000000003</v>
      </c>
      <c r="AC38" s="423">
        <v>1274963.3900000001</v>
      </c>
      <c r="AD38" s="423">
        <v>337998.68</v>
      </c>
      <c r="AE38" s="423">
        <f t="shared" si="2"/>
        <v>1233406.6454166668</v>
      </c>
      <c r="AF38" s="423">
        <f t="shared" si="0"/>
        <v>325691.61666666676</v>
      </c>
    </row>
    <row r="39" spans="1:32">
      <c r="A39" s="35">
        <v>31</v>
      </c>
      <c r="C39" s="6" t="s">
        <v>1822</v>
      </c>
      <c r="D39" s="6" t="str">
        <f t="shared" si="1"/>
        <v>00038</v>
      </c>
      <c r="E39" s="423">
        <v>762893.03</v>
      </c>
      <c r="F39" s="423">
        <v>-192533.71</v>
      </c>
      <c r="G39" s="423">
        <v>751342.85</v>
      </c>
      <c r="H39" s="423">
        <v>-219726.51</v>
      </c>
      <c r="I39" s="423">
        <v>751342.85</v>
      </c>
      <c r="J39" s="423">
        <v>-216483.21</v>
      </c>
      <c r="K39" s="423">
        <v>751342.85</v>
      </c>
      <c r="L39" s="423">
        <v>-213239.91</v>
      </c>
      <c r="M39" s="423">
        <v>751342.85</v>
      </c>
      <c r="N39" s="423">
        <v>-209996.61000000002</v>
      </c>
      <c r="O39" s="423">
        <v>751342.85</v>
      </c>
      <c r="P39" s="423">
        <v>-206753.31</v>
      </c>
      <c r="Q39" s="423">
        <v>701039.87</v>
      </c>
      <c r="R39" s="423">
        <v>-202135.01</v>
      </c>
      <c r="S39" s="423">
        <v>701039.87</v>
      </c>
      <c r="T39" s="423">
        <v>-199108.85</v>
      </c>
      <c r="U39" s="423">
        <v>682167.97</v>
      </c>
      <c r="V39" s="423">
        <v>-289476.39</v>
      </c>
      <c r="W39" s="423">
        <v>682167.97</v>
      </c>
      <c r="X39" s="423">
        <v>-286531.7</v>
      </c>
      <c r="Y39" s="423">
        <v>668987.59</v>
      </c>
      <c r="Z39" s="423">
        <v>-295567.39</v>
      </c>
      <c r="AA39" s="423">
        <v>668987.59</v>
      </c>
      <c r="AB39" s="423">
        <v>-292679.60000000003</v>
      </c>
      <c r="AC39" s="423">
        <v>668987.59</v>
      </c>
      <c r="AD39" s="423">
        <v>-289041.81</v>
      </c>
      <c r="AE39" s="423">
        <f t="shared" si="2"/>
        <v>714753.78500000003</v>
      </c>
      <c r="AF39" s="423">
        <f t="shared" si="0"/>
        <v>-239373.85416666666</v>
      </c>
    </row>
    <row r="40" spans="1:32">
      <c r="A40" s="35">
        <v>32</v>
      </c>
      <c r="C40" s="6" t="s">
        <v>1823</v>
      </c>
      <c r="D40" s="6" t="str">
        <f t="shared" si="1"/>
        <v>00038</v>
      </c>
      <c r="E40" s="423">
        <v>282215.55</v>
      </c>
      <c r="F40" s="423">
        <v>54221.94</v>
      </c>
      <c r="G40" s="423">
        <v>282215.55</v>
      </c>
      <c r="H40" s="423">
        <v>54955.700000000004</v>
      </c>
      <c r="I40" s="423">
        <v>295144.49</v>
      </c>
      <c r="J40" s="423">
        <v>55689.46</v>
      </c>
      <c r="K40" s="423">
        <v>295264.92</v>
      </c>
      <c r="L40" s="423">
        <v>56456.840000000004</v>
      </c>
      <c r="M40" s="423">
        <v>295264.92</v>
      </c>
      <c r="N40" s="423">
        <v>57224.53</v>
      </c>
      <c r="O40" s="423">
        <v>295264.92</v>
      </c>
      <c r="P40" s="423">
        <v>57992.22</v>
      </c>
      <c r="Q40" s="423">
        <v>295264.92</v>
      </c>
      <c r="R40" s="423">
        <v>58759.91</v>
      </c>
      <c r="S40" s="423">
        <v>295264.92</v>
      </c>
      <c r="T40" s="423">
        <v>59527.6</v>
      </c>
      <c r="U40" s="423">
        <v>295264.92</v>
      </c>
      <c r="V40" s="423">
        <v>60295.29</v>
      </c>
      <c r="W40" s="423">
        <v>278979.77</v>
      </c>
      <c r="X40" s="423">
        <v>50427.83</v>
      </c>
      <c r="Y40" s="423">
        <v>278979.77</v>
      </c>
      <c r="Z40" s="423">
        <v>51153.18</v>
      </c>
      <c r="AA40" s="423">
        <v>278979.77</v>
      </c>
      <c r="AB40" s="423">
        <v>51878.53</v>
      </c>
      <c r="AC40" s="423">
        <v>278979.77</v>
      </c>
      <c r="AD40" s="423">
        <v>52603.880000000005</v>
      </c>
      <c r="AE40" s="423">
        <f t="shared" si="2"/>
        <v>288873.8775</v>
      </c>
      <c r="AF40" s="423">
        <f t="shared" si="0"/>
        <v>55647.833333333343</v>
      </c>
    </row>
    <row r="41" spans="1:32">
      <c r="A41" s="35">
        <v>33</v>
      </c>
      <c r="C41" s="6" t="s">
        <v>1824</v>
      </c>
      <c r="D41" s="6" t="str">
        <f t="shared" si="1"/>
        <v>00038</v>
      </c>
      <c r="E41" s="423">
        <v>190417.76</v>
      </c>
      <c r="F41" s="423">
        <v>88118.38</v>
      </c>
      <c r="G41" s="423">
        <v>190417.76</v>
      </c>
      <c r="H41" s="423">
        <v>88841.97</v>
      </c>
      <c r="I41" s="423">
        <v>190417.76</v>
      </c>
      <c r="J41" s="423">
        <v>89565.56</v>
      </c>
      <c r="K41" s="423">
        <v>190417.76</v>
      </c>
      <c r="L41" s="423">
        <v>90289.150000000009</v>
      </c>
      <c r="M41" s="423">
        <v>190417.76</v>
      </c>
      <c r="N41" s="423">
        <v>91012.74</v>
      </c>
      <c r="O41" s="423">
        <v>190417.76</v>
      </c>
      <c r="P41" s="423">
        <v>91736.33</v>
      </c>
      <c r="Q41" s="423">
        <v>190417.76</v>
      </c>
      <c r="R41" s="423">
        <v>92459.92</v>
      </c>
      <c r="S41" s="423">
        <v>190417.76</v>
      </c>
      <c r="T41" s="423">
        <v>93183.51</v>
      </c>
      <c r="U41" s="423">
        <v>190417.76</v>
      </c>
      <c r="V41" s="423">
        <v>93907.1</v>
      </c>
      <c r="W41" s="423">
        <v>190417.76</v>
      </c>
      <c r="X41" s="423">
        <v>94630.69</v>
      </c>
      <c r="Y41" s="423">
        <v>190417.76</v>
      </c>
      <c r="Z41" s="423">
        <v>95354.28</v>
      </c>
      <c r="AA41" s="423">
        <v>190417.76</v>
      </c>
      <c r="AB41" s="423">
        <v>96077.87</v>
      </c>
      <c r="AC41" s="423">
        <v>190417.76</v>
      </c>
      <c r="AD41" s="423">
        <v>96801.46</v>
      </c>
      <c r="AE41" s="423">
        <f t="shared" si="2"/>
        <v>190417.76</v>
      </c>
      <c r="AF41" s="423">
        <f t="shared" si="0"/>
        <v>92459.92</v>
      </c>
    </row>
    <row r="42" spans="1:32">
      <c r="A42" s="35">
        <v>34</v>
      </c>
      <c r="C42" s="6" t="s">
        <v>1825</v>
      </c>
      <c r="D42" s="6" t="str">
        <f t="shared" si="1"/>
        <v>00038</v>
      </c>
      <c r="E42" s="423">
        <v>277306.52</v>
      </c>
      <c r="F42" s="423">
        <v>16909.22</v>
      </c>
      <c r="G42" s="423">
        <v>275688.77</v>
      </c>
      <c r="H42" s="423">
        <v>17456.77</v>
      </c>
      <c r="I42" s="423">
        <v>275688.77</v>
      </c>
      <c r="J42" s="423">
        <v>19609.439999999999</v>
      </c>
      <c r="K42" s="423">
        <v>275688.77</v>
      </c>
      <c r="L42" s="423">
        <v>21762.11</v>
      </c>
      <c r="M42" s="423">
        <v>275688.77</v>
      </c>
      <c r="N42" s="423">
        <v>23914.78</v>
      </c>
      <c r="O42" s="423">
        <v>275688.77</v>
      </c>
      <c r="P42" s="423">
        <v>26067.45</v>
      </c>
      <c r="Q42" s="423">
        <v>275688.77</v>
      </c>
      <c r="R42" s="423">
        <v>28220.12</v>
      </c>
      <c r="S42" s="423">
        <v>275688.77</v>
      </c>
      <c r="T42" s="423">
        <v>30372.79</v>
      </c>
      <c r="U42" s="423">
        <v>275688.77</v>
      </c>
      <c r="V42" s="423">
        <v>32525.46</v>
      </c>
      <c r="W42" s="423">
        <v>275688.77</v>
      </c>
      <c r="X42" s="423">
        <v>34678.129999999997</v>
      </c>
      <c r="Y42" s="423">
        <v>275688.77</v>
      </c>
      <c r="Z42" s="423">
        <v>36830.800000000003</v>
      </c>
      <c r="AA42" s="423">
        <v>275688.77</v>
      </c>
      <c r="AB42" s="423">
        <v>38983.47</v>
      </c>
      <c r="AC42" s="423">
        <v>295285.8</v>
      </c>
      <c r="AD42" s="423">
        <v>41136.14</v>
      </c>
      <c r="AE42" s="423">
        <f t="shared" si="2"/>
        <v>276572.71916666668</v>
      </c>
      <c r="AF42" s="423">
        <f t="shared" si="0"/>
        <v>28287.000000000004</v>
      </c>
    </row>
    <row r="43" spans="1:32">
      <c r="A43" s="35">
        <v>35</v>
      </c>
      <c r="C43" s="6" t="s">
        <v>1826</v>
      </c>
      <c r="D43" s="6" t="str">
        <f t="shared" si="1"/>
        <v>00038</v>
      </c>
      <c r="E43" s="423">
        <v>739181.59</v>
      </c>
      <c r="F43" s="423">
        <v>610711.89</v>
      </c>
      <c r="G43" s="423">
        <v>739181.59</v>
      </c>
      <c r="H43" s="423">
        <v>610791.97</v>
      </c>
      <c r="I43" s="423">
        <v>739181.59</v>
      </c>
      <c r="J43" s="423">
        <v>610872.05000000005</v>
      </c>
      <c r="K43" s="423">
        <v>742560.91</v>
      </c>
      <c r="L43" s="423">
        <v>610952.13</v>
      </c>
      <c r="M43" s="423">
        <v>742560.91</v>
      </c>
      <c r="N43" s="423">
        <v>611032.57000000007</v>
      </c>
      <c r="O43" s="423">
        <v>742560.91</v>
      </c>
      <c r="P43" s="423">
        <v>611113.01</v>
      </c>
      <c r="Q43" s="423">
        <v>742560.91</v>
      </c>
      <c r="R43" s="423">
        <v>611193.45000000007</v>
      </c>
      <c r="S43" s="423">
        <v>742560.91</v>
      </c>
      <c r="T43" s="423">
        <v>611273.89</v>
      </c>
      <c r="U43" s="423">
        <v>742560.91</v>
      </c>
      <c r="V43" s="423">
        <v>611354.32999999996</v>
      </c>
      <c r="W43" s="423">
        <v>742560.91</v>
      </c>
      <c r="X43" s="423">
        <v>611434.77</v>
      </c>
      <c r="Y43" s="423">
        <v>742560.91</v>
      </c>
      <c r="Z43" s="423">
        <v>611515.21</v>
      </c>
      <c r="AA43" s="423">
        <v>742560.91</v>
      </c>
      <c r="AB43" s="423">
        <v>611595.65</v>
      </c>
      <c r="AC43" s="423">
        <v>742560.91</v>
      </c>
      <c r="AD43" s="423">
        <v>611676.09</v>
      </c>
      <c r="AE43" s="423">
        <f t="shared" si="2"/>
        <v>741856.88500000013</v>
      </c>
      <c r="AF43" s="423">
        <f t="shared" si="0"/>
        <v>611193.58500000008</v>
      </c>
    </row>
    <row r="44" spans="1:32">
      <c r="A44" s="35">
        <v>36</v>
      </c>
      <c r="C44" s="6" t="s">
        <v>1827</v>
      </c>
      <c r="D44" s="6" t="str">
        <f t="shared" si="1"/>
        <v>00038</v>
      </c>
      <c r="E44" s="423">
        <v>116694.26000000001</v>
      </c>
      <c r="F44" s="423">
        <v>67489.430000000008</v>
      </c>
      <c r="G44" s="423">
        <v>116694.26000000001</v>
      </c>
      <c r="H44" s="423">
        <v>68382.14</v>
      </c>
      <c r="I44" s="423">
        <v>116694.26000000001</v>
      </c>
      <c r="J44" s="423">
        <v>69274.850000000006</v>
      </c>
      <c r="K44" s="423">
        <v>116694.26000000001</v>
      </c>
      <c r="L44" s="423">
        <v>70167.56</v>
      </c>
      <c r="M44" s="423">
        <v>116694.26000000001</v>
      </c>
      <c r="N44" s="423">
        <v>71060.27</v>
      </c>
      <c r="O44" s="423">
        <v>116694.26000000001</v>
      </c>
      <c r="P44" s="423">
        <v>71952.98</v>
      </c>
      <c r="Q44" s="423">
        <v>116694.26000000001</v>
      </c>
      <c r="R44" s="423">
        <v>72845.69</v>
      </c>
      <c r="S44" s="423">
        <v>116694.26000000001</v>
      </c>
      <c r="T44" s="423">
        <v>73738.400000000009</v>
      </c>
      <c r="U44" s="423">
        <v>116694.26000000001</v>
      </c>
      <c r="V44" s="423">
        <v>74631.11</v>
      </c>
      <c r="W44" s="423">
        <v>116694.26000000001</v>
      </c>
      <c r="X44" s="423">
        <v>75523.820000000007</v>
      </c>
      <c r="Y44" s="423">
        <v>116694.26000000001</v>
      </c>
      <c r="Z44" s="423">
        <v>76416.53</v>
      </c>
      <c r="AA44" s="423">
        <v>116694.26000000001</v>
      </c>
      <c r="AB44" s="423">
        <v>77309.240000000005</v>
      </c>
      <c r="AC44" s="423">
        <v>116694.26000000001</v>
      </c>
      <c r="AD44" s="423">
        <v>78201.95</v>
      </c>
      <c r="AE44" s="423">
        <f t="shared" si="2"/>
        <v>116694.26000000001</v>
      </c>
      <c r="AF44" s="423">
        <f t="shared" si="0"/>
        <v>72845.69</v>
      </c>
    </row>
    <row r="45" spans="1:32">
      <c r="A45" s="35">
        <v>37</v>
      </c>
      <c r="C45" s="6" t="s">
        <v>1828</v>
      </c>
      <c r="D45" s="6" t="str">
        <f t="shared" si="1"/>
        <v>00038</v>
      </c>
      <c r="E45" s="423">
        <v>7208.81</v>
      </c>
      <c r="F45" s="423">
        <v>-2917.36</v>
      </c>
      <c r="G45" s="423">
        <v>7208.81</v>
      </c>
      <c r="H45" s="423">
        <v>-2854.2200000000003</v>
      </c>
      <c r="I45" s="423">
        <v>7208.81</v>
      </c>
      <c r="J45" s="423">
        <v>-2791.08</v>
      </c>
      <c r="K45" s="423">
        <v>7208.81</v>
      </c>
      <c r="L45" s="423">
        <v>-2727.94</v>
      </c>
      <c r="M45" s="423">
        <v>7208.81</v>
      </c>
      <c r="N45" s="423">
        <v>-2664.8</v>
      </c>
      <c r="O45" s="423">
        <v>7208.81</v>
      </c>
      <c r="P45" s="423">
        <v>-2601.66</v>
      </c>
      <c r="Q45" s="423">
        <v>7208.81</v>
      </c>
      <c r="R45" s="423">
        <v>-2538.52</v>
      </c>
      <c r="S45" s="423">
        <v>7208.81</v>
      </c>
      <c r="T45" s="423">
        <v>-2475.38</v>
      </c>
      <c r="U45" s="423">
        <v>7208.81</v>
      </c>
      <c r="V45" s="423">
        <v>-2412.2400000000002</v>
      </c>
      <c r="W45" s="423">
        <v>7208.81</v>
      </c>
      <c r="X45" s="423">
        <v>-2349.1</v>
      </c>
      <c r="Y45" s="423">
        <v>7208.81</v>
      </c>
      <c r="Z45" s="423">
        <v>-2285.96</v>
      </c>
      <c r="AA45" s="423">
        <v>7208.81</v>
      </c>
      <c r="AB45" s="423">
        <v>-2222.8200000000002</v>
      </c>
      <c r="AC45" s="423">
        <v>7208.81</v>
      </c>
      <c r="AD45" s="423">
        <v>-2159.6799999999998</v>
      </c>
      <c r="AE45" s="423">
        <f t="shared" si="2"/>
        <v>7208.8099999999986</v>
      </c>
      <c r="AF45" s="423">
        <f t="shared" si="0"/>
        <v>-2538.52</v>
      </c>
    </row>
    <row r="46" spans="1:32">
      <c r="A46" s="35">
        <v>38</v>
      </c>
      <c r="B46" s="425" t="s">
        <v>86</v>
      </c>
      <c r="C46" s="426"/>
      <c r="D46" s="425" t="s">
        <v>1829</v>
      </c>
      <c r="E46" s="427">
        <f t="shared" ref="E46:AF46" si="3">SUBTOTAL(9,E10:E45)</f>
        <v>166219892.83000007</v>
      </c>
      <c r="F46" s="427">
        <f t="shared" si="3"/>
        <v>80705966.12000002</v>
      </c>
      <c r="G46" s="427">
        <f t="shared" si="3"/>
        <v>166170977.93000001</v>
      </c>
      <c r="H46" s="427">
        <f t="shared" si="3"/>
        <v>81956066.480000004</v>
      </c>
      <c r="I46" s="427">
        <f t="shared" si="3"/>
        <v>166354838.25999999</v>
      </c>
      <c r="J46" s="427">
        <f t="shared" si="3"/>
        <v>82303533.879999995</v>
      </c>
      <c r="K46" s="427">
        <f t="shared" si="3"/>
        <v>166799471.37999997</v>
      </c>
      <c r="L46" s="427">
        <f t="shared" si="3"/>
        <v>82630691.260000005</v>
      </c>
      <c r="M46" s="427">
        <f t="shared" si="3"/>
        <v>167119466.22999996</v>
      </c>
      <c r="N46" s="427">
        <f t="shared" si="3"/>
        <v>83048741.769999966</v>
      </c>
      <c r="O46" s="427">
        <f t="shared" si="3"/>
        <v>167560879.63</v>
      </c>
      <c r="P46" s="427">
        <f t="shared" si="3"/>
        <v>83473613.359999985</v>
      </c>
      <c r="Q46" s="427">
        <f t="shared" si="3"/>
        <v>168385999.12</v>
      </c>
      <c r="R46" s="427">
        <f t="shared" si="3"/>
        <v>83882596.349999979</v>
      </c>
      <c r="S46" s="427">
        <f t="shared" si="3"/>
        <v>168732643.50999999</v>
      </c>
      <c r="T46" s="427">
        <f t="shared" si="3"/>
        <v>84297028.050000027</v>
      </c>
      <c r="U46" s="427">
        <f t="shared" si="3"/>
        <v>170207593.34999996</v>
      </c>
      <c r="V46" s="427">
        <f t="shared" si="3"/>
        <v>84575659.36999999</v>
      </c>
      <c r="W46" s="427">
        <f t="shared" si="3"/>
        <v>170629891.94999999</v>
      </c>
      <c r="X46" s="427">
        <f t="shared" si="3"/>
        <v>84951612.799999982</v>
      </c>
      <c r="Y46" s="427">
        <f t="shared" si="3"/>
        <v>171151546.11000001</v>
      </c>
      <c r="Z46" s="427">
        <f t="shared" si="3"/>
        <v>85352250.530000001</v>
      </c>
      <c r="AA46" s="427">
        <f t="shared" si="3"/>
        <v>171458875.71000004</v>
      </c>
      <c r="AB46" s="427">
        <f t="shared" si="3"/>
        <v>85685521.460000008</v>
      </c>
      <c r="AC46" s="427">
        <f t="shared" si="3"/>
        <v>173795321.89000002</v>
      </c>
      <c r="AD46" s="427">
        <f t="shared" si="3"/>
        <v>86090834.789999977</v>
      </c>
      <c r="AE46" s="427">
        <f t="shared" si="3"/>
        <v>168714982.54499999</v>
      </c>
      <c r="AF46" s="427">
        <f t="shared" si="3"/>
        <v>83796309.647083312</v>
      </c>
    </row>
    <row r="47" spans="1:32">
      <c r="A47" s="35">
        <v>39</v>
      </c>
      <c r="B47" s="421" t="s">
        <v>112</v>
      </c>
      <c r="C47" s="421" t="s">
        <v>390</v>
      </c>
      <c r="D47" s="428"/>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row>
    <row r="48" spans="1:32">
      <c r="A48" s="35">
        <v>40</v>
      </c>
      <c r="C48" s="6" t="s">
        <v>1830</v>
      </c>
      <c r="D48" s="6" t="str">
        <f>RIGHT(C48,5)</f>
        <v>00048</v>
      </c>
      <c r="E48" s="423">
        <v>138157.95000000001</v>
      </c>
      <c r="F48" s="423">
        <v>138157.97</v>
      </c>
      <c r="G48" s="423">
        <v>138157.95000000001</v>
      </c>
      <c r="H48" s="423">
        <v>138157.97</v>
      </c>
      <c r="I48" s="423">
        <v>138157.95000000001</v>
      </c>
      <c r="J48" s="423">
        <v>138157.97</v>
      </c>
      <c r="K48" s="423">
        <v>138157.95000000001</v>
      </c>
      <c r="L48" s="423">
        <v>138157.97</v>
      </c>
      <c r="M48" s="423">
        <v>138157.95000000001</v>
      </c>
      <c r="N48" s="423">
        <v>138157.97</v>
      </c>
      <c r="O48" s="423">
        <v>138157.95000000001</v>
      </c>
      <c r="P48" s="423">
        <v>138157.97</v>
      </c>
      <c r="Q48" s="423">
        <v>138157.95000000001</v>
      </c>
      <c r="R48" s="423">
        <v>138157.97</v>
      </c>
      <c r="S48" s="423">
        <v>138157.95000000001</v>
      </c>
      <c r="T48" s="423">
        <v>138157.97</v>
      </c>
      <c r="U48" s="423">
        <v>138157.95000000001</v>
      </c>
      <c r="V48" s="423">
        <v>138157.97</v>
      </c>
      <c r="W48" s="423">
        <v>138157.95000000001</v>
      </c>
      <c r="X48" s="423">
        <v>138157.97</v>
      </c>
      <c r="Y48" s="423">
        <v>138157.95000000001</v>
      </c>
      <c r="Z48" s="423">
        <v>138157.97</v>
      </c>
      <c r="AA48" s="423">
        <v>138157.95000000001</v>
      </c>
      <c r="AB48" s="423">
        <v>138157.97</v>
      </c>
      <c r="AC48" s="423">
        <v>138157.95000000001</v>
      </c>
      <c r="AD48" s="423">
        <v>138157.97</v>
      </c>
      <c r="AE48" s="423">
        <f t="shared" ref="AE48:AF88" si="4">+(E48+AC48+(+G48+I48+K48+M48+O48+Q48+S48+U48+W48+Y48+AA48)*2)/24</f>
        <v>138157.94999999998</v>
      </c>
      <c r="AF48" s="423">
        <f t="shared" si="4"/>
        <v>138157.97</v>
      </c>
    </row>
    <row r="49" spans="1:32">
      <c r="A49" s="35">
        <v>41</v>
      </c>
      <c r="C49" s="6" t="s">
        <v>1831</v>
      </c>
      <c r="D49" s="424" t="s">
        <v>1832</v>
      </c>
      <c r="E49" s="423">
        <v>0</v>
      </c>
      <c r="F49" s="423">
        <v>0</v>
      </c>
      <c r="G49" s="423">
        <v>0</v>
      </c>
      <c r="H49" s="423">
        <v>0</v>
      </c>
      <c r="I49" s="423">
        <v>0</v>
      </c>
      <c r="J49" s="423">
        <v>0</v>
      </c>
      <c r="K49" s="423">
        <v>0</v>
      </c>
      <c r="L49" s="423">
        <v>0</v>
      </c>
      <c r="M49" s="423">
        <v>0</v>
      </c>
      <c r="N49" s="423">
        <v>0</v>
      </c>
      <c r="O49" s="423">
        <v>0</v>
      </c>
      <c r="P49" s="423">
        <v>0</v>
      </c>
      <c r="Q49" s="423">
        <v>0</v>
      </c>
      <c r="R49" s="423">
        <v>0</v>
      </c>
      <c r="S49" s="423">
        <v>0</v>
      </c>
      <c r="T49" s="423">
        <v>0</v>
      </c>
      <c r="U49" s="423">
        <v>0</v>
      </c>
      <c r="V49" s="423">
        <v>0</v>
      </c>
      <c r="W49" s="423">
        <v>0</v>
      </c>
      <c r="X49" s="423">
        <v>0</v>
      </c>
      <c r="Y49" s="423">
        <v>0</v>
      </c>
      <c r="Z49" s="423">
        <v>0</v>
      </c>
      <c r="AA49" s="423">
        <v>0</v>
      </c>
      <c r="AB49" s="423">
        <v>0</v>
      </c>
      <c r="AC49" s="423">
        <v>0</v>
      </c>
      <c r="AD49" s="423">
        <v>0</v>
      </c>
      <c r="AE49" s="423">
        <f t="shared" si="4"/>
        <v>0</v>
      </c>
      <c r="AF49" s="423">
        <f t="shared" si="4"/>
        <v>0</v>
      </c>
    </row>
    <row r="50" spans="1:32">
      <c r="A50" s="35">
        <v>42</v>
      </c>
      <c r="C50" s="6" t="s">
        <v>1833</v>
      </c>
      <c r="D50" s="424" t="s">
        <v>1832</v>
      </c>
      <c r="E50" s="423">
        <v>0</v>
      </c>
      <c r="F50" s="423">
        <v>0</v>
      </c>
      <c r="G50" s="423">
        <v>0</v>
      </c>
      <c r="H50" s="423">
        <v>0</v>
      </c>
      <c r="I50" s="423">
        <v>0</v>
      </c>
      <c r="J50" s="423">
        <v>0</v>
      </c>
      <c r="K50" s="423">
        <v>0</v>
      </c>
      <c r="L50" s="423">
        <v>0</v>
      </c>
      <c r="M50" s="423">
        <v>0</v>
      </c>
      <c r="N50" s="423">
        <v>0</v>
      </c>
      <c r="O50" s="423">
        <v>0</v>
      </c>
      <c r="P50" s="423">
        <v>0</v>
      </c>
      <c r="Q50" s="423">
        <v>0</v>
      </c>
      <c r="R50" s="423">
        <v>0</v>
      </c>
      <c r="S50" s="423">
        <v>45037.37</v>
      </c>
      <c r="T50" s="423">
        <v>1876.6000000000001</v>
      </c>
      <c r="U50" s="423">
        <v>45037.37</v>
      </c>
      <c r="V50" s="423">
        <v>1970.43</v>
      </c>
      <c r="W50" s="423">
        <v>45037.37</v>
      </c>
      <c r="X50" s="423">
        <v>2064.2600000000002</v>
      </c>
      <c r="Y50" s="423">
        <v>45037.37</v>
      </c>
      <c r="Z50" s="423">
        <v>2158.09</v>
      </c>
      <c r="AA50" s="423">
        <v>45037.37</v>
      </c>
      <c r="AB50" s="423">
        <v>2251.92</v>
      </c>
      <c r="AC50" s="423">
        <v>45037.37</v>
      </c>
      <c r="AD50" s="423">
        <v>2345.75</v>
      </c>
      <c r="AE50" s="423">
        <f t="shared" si="4"/>
        <v>20642.127916666668</v>
      </c>
      <c r="AF50" s="423">
        <f t="shared" si="4"/>
        <v>957.84791666666672</v>
      </c>
    </row>
    <row r="51" spans="1:32">
      <c r="A51" s="35">
        <v>43</v>
      </c>
      <c r="C51" s="6" t="s">
        <v>1834</v>
      </c>
      <c r="D51" s="424" t="s">
        <v>1832</v>
      </c>
      <c r="E51" s="423">
        <v>0</v>
      </c>
      <c r="F51" s="423">
        <v>0</v>
      </c>
      <c r="G51" s="423">
        <v>0</v>
      </c>
      <c r="H51" s="423">
        <v>0</v>
      </c>
      <c r="I51" s="423">
        <v>0</v>
      </c>
      <c r="J51" s="423">
        <v>0</v>
      </c>
      <c r="K51" s="423">
        <v>0</v>
      </c>
      <c r="L51" s="423">
        <v>0</v>
      </c>
      <c r="M51" s="423">
        <v>0</v>
      </c>
      <c r="N51" s="423">
        <v>0</v>
      </c>
      <c r="O51" s="423">
        <v>0</v>
      </c>
      <c r="P51" s="423">
        <v>0</v>
      </c>
      <c r="Q51" s="423">
        <v>0</v>
      </c>
      <c r="R51" s="423">
        <v>0</v>
      </c>
      <c r="S51" s="423">
        <v>1218966.19</v>
      </c>
      <c r="T51" s="423">
        <v>22371.94</v>
      </c>
      <c r="U51" s="423">
        <v>1218966.19</v>
      </c>
      <c r="V51" s="423">
        <v>24856.100000000002</v>
      </c>
      <c r="W51" s="423">
        <v>1218966.19</v>
      </c>
      <c r="X51" s="423">
        <v>27395.61</v>
      </c>
      <c r="Y51" s="423">
        <v>1218966.19</v>
      </c>
      <c r="Z51" s="423">
        <v>29935.119999999999</v>
      </c>
      <c r="AA51" s="423">
        <v>1218966.19</v>
      </c>
      <c r="AB51" s="423">
        <v>32474.63</v>
      </c>
      <c r="AC51" s="423">
        <v>1218966.19</v>
      </c>
      <c r="AD51" s="423">
        <v>35014.14</v>
      </c>
      <c r="AE51" s="423">
        <f t="shared" si="4"/>
        <v>558692.83708333329</v>
      </c>
      <c r="AF51" s="423">
        <f t="shared" si="4"/>
        <v>12878.372499999999</v>
      </c>
    </row>
    <row r="52" spans="1:32">
      <c r="A52" s="35">
        <v>44</v>
      </c>
      <c r="C52" s="6" t="s">
        <v>1835</v>
      </c>
      <c r="D52" s="6" t="str">
        <f t="shared" ref="D52:D88" si="5">RIGHT(C52,5)</f>
        <v>00048</v>
      </c>
      <c r="E52" s="423">
        <v>1462199.5</v>
      </c>
      <c r="F52" s="423">
        <v>13029.470000000001</v>
      </c>
      <c r="G52" s="423">
        <v>1462199.5</v>
      </c>
      <c r="H52" s="423">
        <v>24932.98</v>
      </c>
      <c r="I52" s="423">
        <v>1462199.5</v>
      </c>
      <c r="J52" s="423">
        <v>36836.5</v>
      </c>
      <c r="K52" s="423">
        <v>1462199.5</v>
      </c>
      <c r="L52" s="423">
        <v>13255.26</v>
      </c>
      <c r="M52" s="423">
        <v>1264003.56</v>
      </c>
      <c r="N52" s="423">
        <v>16301.630000000001</v>
      </c>
      <c r="O52" s="423">
        <v>1264003.56</v>
      </c>
      <c r="P52" s="423">
        <v>18930.740000000002</v>
      </c>
      <c r="Q52" s="423">
        <v>1264003.56</v>
      </c>
      <c r="R52" s="423">
        <v>21559.850000000002</v>
      </c>
      <c r="S52" s="423">
        <v>0</v>
      </c>
      <c r="T52" s="423">
        <v>-55.35</v>
      </c>
      <c r="U52" s="423">
        <v>0</v>
      </c>
      <c r="V52" s="423">
        <v>-55.35</v>
      </c>
      <c r="W52" s="423">
        <v>0</v>
      </c>
      <c r="X52" s="423">
        <v>-55.35</v>
      </c>
      <c r="Y52" s="423">
        <v>0</v>
      </c>
      <c r="Z52" s="423">
        <v>0</v>
      </c>
      <c r="AA52" s="423">
        <v>0</v>
      </c>
      <c r="AB52" s="423">
        <v>0</v>
      </c>
      <c r="AC52" s="423">
        <v>0</v>
      </c>
      <c r="AD52" s="423">
        <v>0</v>
      </c>
      <c r="AE52" s="423">
        <f t="shared" si="4"/>
        <v>742475.74416666676</v>
      </c>
      <c r="AF52" s="423">
        <f t="shared" si="4"/>
        <v>11513.803749999997</v>
      </c>
    </row>
    <row r="53" spans="1:32">
      <c r="A53" s="35">
        <v>45</v>
      </c>
      <c r="C53" s="6" t="s">
        <v>1836</v>
      </c>
      <c r="D53" s="6" t="str">
        <f t="shared" si="5"/>
        <v>00048</v>
      </c>
      <c r="E53" s="423">
        <v>211404.97</v>
      </c>
      <c r="F53" s="423">
        <v>0</v>
      </c>
      <c r="G53" s="423">
        <v>211404.97</v>
      </c>
      <c r="H53" s="423">
        <v>0</v>
      </c>
      <c r="I53" s="423">
        <v>211404.97</v>
      </c>
      <c r="J53" s="423">
        <v>0</v>
      </c>
      <c r="K53" s="423">
        <v>211404.97</v>
      </c>
      <c r="L53" s="423">
        <v>0</v>
      </c>
      <c r="M53" s="423">
        <v>211404.97</v>
      </c>
      <c r="N53" s="423">
        <v>0</v>
      </c>
      <c r="O53" s="423">
        <v>211404.97</v>
      </c>
      <c r="P53" s="423">
        <v>0</v>
      </c>
      <c r="Q53" s="423">
        <v>211404.97</v>
      </c>
      <c r="R53" s="423">
        <v>0</v>
      </c>
      <c r="S53" s="423">
        <v>211404.97</v>
      </c>
      <c r="T53" s="423">
        <v>0</v>
      </c>
      <c r="U53" s="423">
        <v>211404.97</v>
      </c>
      <c r="V53" s="423">
        <v>0</v>
      </c>
      <c r="W53" s="423">
        <v>211404.97</v>
      </c>
      <c r="X53" s="423">
        <v>0</v>
      </c>
      <c r="Y53" s="423">
        <v>211404.97</v>
      </c>
      <c r="Z53" s="423">
        <v>0</v>
      </c>
      <c r="AA53" s="423">
        <v>211404.97</v>
      </c>
      <c r="AB53" s="423">
        <v>0</v>
      </c>
      <c r="AC53" s="423">
        <v>211404.97</v>
      </c>
      <c r="AD53" s="423">
        <v>0</v>
      </c>
      <c r="AE53" s="423">
        <f t="shared" si="4"/>
        <v>211404.97000000006</v>
      </c>
      <c r="AF53" s="423">
        <f t="shared" si="4"/>
        <v>0</v>
      </c>
    </row>
    <row r="54" spans="1:32">
      <c r="A54" s="35">
        <v>46</v>
      </c>
      <c r="C54" s="6" t="s">
        <v>1837</v>
      </c>
      <c r="D54" s="6" t="str">
        <f t="shared" si="5"/>
        <v>00048</v>
      </c>
      <c r="E54" s="423">
        <v>1018396.75</v>
      </c>
      <c r="F54" s="423">
        <v>744741.84</v>
      </c>
      <c r="G54" s="423">
        <v>1018396.75</v>
      </c>
      <c r="H54" s="423">
        <v>746082.73</v>
      </c>
      <c r="I54" s="423">
        <v>1018396.75</v>
      </c>
      <c r="J54" s="423">
        <v>747423.62</v>
      </c>
      <c r="K54" s="423">
        <v>1018396.75</v>
      </c>
      <c r="L54" s="423">
        <v>748764.51</v>
      </c>
      <c r="M54" s="423">
        <v>1018396.75</v>
      </c>
      <c r="N54" s="423">
        <v>750105.4</v>
      </c>
      <c r="O54" s="423">
        <v>1018396.75</v>
      </c>
      <c r="P54" s="423">
        <v>751446.29</v>
      </c>
      <c r="Q54" s="423">
        <v>1018396.75</v>
      </c>
      <c r="R54" s="423">
        <v>752787.18</v>
      </c>
      <c r="S54" s="423">
        <v>1018396.75</v>
      </c>
      <c r="T54" s="423">
        <v>754128.07000000007</v>
      </c>
      <c r="U54" s="423">
        <v>1018396.75</v>
      </c>
      <c r="V54" s="423">
        <v>755468.96</v>
      </c>
      <c r="W54" s="423">
        <v>1018396.75</v>
      </c>
      <c r="X54" s="423">
        <v>756809.85</v>
      </c>
      <c r="Y54" s="423">
        <v>1018396.75</v>
      </c>
      <c r="Z54" s="423">
        <v>758150.74</v>
      </c>
      <c r="AA54" s="423">
        <v>1018396.75</v>
      </c>
      <c r="AB54" s="423">
        <v>759491.63</v>
      </c>
      <c r="AC54" s="423">
        <v>1018396.75</v>
      </c>
      <c r="AD54" s="423">
        <v>760832.52</v>
      </c>
      <c r="AE54" s="423">
        <f t="shared" si="4"/>
        <v>1018396.75</v>
      </c>
      <c r="AF54" s="423">
        <f t="shared" si="4"/>
        <v>752787.18</v>
      </c>
    </row>
    <row r="55" spans="1:32">
      <c r="A55" s="35">
        <v>47</v>
      </c>
      <c r="C55" s="6" t="s">
        <v>1838</v>
      </c>
      <c r="D55" s="6" t="str">
        <f t="shared" si="5"/>
        <v>00048</v>
      </c>
      <c r="E55" s="423">
        <v>15654814.939999999</v>
      </c>
      <c r="F55" s="423">
        <v>10457877.060000001</v>
      </c>
      <c r="G55" s="423">
        <v>15654814.939999999</v>
      </c>
      <c r="H55" s="423">
        <v>10481620.199999999</v>
      </c>
      <c r="I55" s="423">
        <v>15654814.939999999</v>
      </c>
      <c r="J55" s="423">
        <v>10505363.34</v>
      </c>
      <c r="K55" s="423">
        <v>15654814.939999999</v>
      </c>
      <c r="L55" s="423">
        <v>10529106.48</v>
      </c>
      <c r="M55" s="423">
        <v>15655125.16</v>
      </c>
      <c r="N55" s="423">
        <v>10552849.619999999</v>
      </c>
      <c r="O55" s="423">
        <v>15655125.16</v>
      </c>
      <c r="P55" s="423">
        <v>10576593.23</v>
      </c>
      <c r="Q55" s="423">
        <v>15655125.16</v>
      </c>
      <c r="R55" s="423">
        <v>10600336.84</v>
      </c>
      <c r="S55" s="423">
        <v>15655125.16</v>
      </c>
      <c r="T55" s="423">
        <v>10624080.449999999</v>
      </c>
      <c r="U55" s="423">
        <v>15655125.16</v>
      </c>
      <c r="V55" s="423">
        <v>10647824.060000001</v>
      </c>
      <c r="W55" s="423">
        <v>15655125.16</v>
      </c>
      <c r="X55" s="423">
        <v>10671567.67</v>
      </c>
      <c r="Y55" s="423">
        <v>15655125.16</v>
      </c>
      <c r="Z55" s="423">
        <v>10695311.279999999</v>
      </c>
      <c r="AA55" s="423">
        <v>15655125.16</v>
      </c>
      <c r="AB55" s="423">
        <v>10719054.890000001</v>
      </c>
      <c r="AC55" s="423">
        <v>15655125.16</v>
      </c>
      <c r="AD55" s="423">
        <v>10742798.5</v>
      </c>
      <c r="AE55" s="423">
        <f t="shared" si="4"/>
        <v>15655034.679166667</v>
      </c>
      <c r="AF55" s="423">
        <f t="shared" si="4"/>
        <v>10600337.153333334</v>
      </c>
    </row>
    <row r="56" spans="1:32">
      <c r="A56" s="35">
        <v>48</v>
      </c>
      <c r="C56" s="6" t="s">
        <v>1839</v>
      </c>
      <c r="D56" s="6" t="str">
        <f t="shared" si="5"/>
        <v>00048</v>
      </c>
      <c r="E56" s="423">
        <v>156138.81</v>
      </c>
      <c r="F56" s="423">
        <v>164120.37</v>
      </c>
      <c r="G56" s="423">
        <v>156138.81</v>
      </c>
      <c r="H56" s="423">
        <v>164173.71</v>
      </c>
      <c r="I56" s="423">
        <v>156138.81</v>
      </c>
      <c r="J56" s="423">
        <v>164227.05000000002</v>
      </c>
      <c r="K56" s="423">
        <v>156138.81</v>
      </c>
      <c r="L56" s="423">
        <v>164280.39000000001</v>
      </c>
      <c r="M56" s="423">
        <v>156138.81</v>
      </c>
      <c r="N56" s="423">
        <v>164333.73000000001</v>
      </c>
      <c r="O56" s="423">
        <v>156138.81</v>
      </c>
      <c r="P56" s="423">
        <v>164387.07</v>
      </c>
      <c r="Q56" s="423">
        <v>156138.81</v>
      </c>
      <c r="R56" s="423">
        <v>164440.41</v>
      </c>
      <c r="S56" s="423">
        <v>156138.81</v>
      </c>
      <c r="T56" s="423">
        <v>164493.75</v>
      </c>
      <c r="U56" s="423">
        <v>156138.81</v>
      </c>
      <c r="V56" s="423">
        <v>164547.09</v>
      </c>
      <c r="W56" s="423">
        <v>156138.81</v>
      </c>
      <c r="X56" s="423">
        <v>164600.43</v>
      </c>
      <c r="Y56" s="423">
        <v>156138.81</v>
      </c>
      <c r="Z56" s="423">
        <v>164653.76999999999</v>
      </c>
      <c r="AA56" s="423">
        <v>156138.81</v>
      </c>
      <c r="AB56" s="423">
        <v>164707.11000000002</v>
      </c>
      <c r="AC56" s="423">
        <v>156138.81</v>
      </c>
      <c r="AD56" s="423">
        <v>164760.45000000001</v>
      </c>
      <c r="AE56" s="423">
        <f t="shared" si="4"/>
        <v>156138.81000000003</v>
      </c>
      <c r="AF56" s="423">
        <f t="shared" si="4"/>
        <v>164440.41</v>
      </c>
    </row>
    <row r="57" spans="1:32">
      <c r="A57" s="35">
        <v>49</v>
      </c>
      <c r="C57" s="6" t="s">
        <v>1840</v>
      </c>
      <c r="D57" s="6" t="str">
        <f t="shared" si="5"/>
        <v>00048</v>
      </c>
      <c r="E57" s="423">
        <v>1922322.92</v>
      </c>
      <c r="F57" s="423">
        <v>603821.39</v>
      </c>
      <c r="G57" s="423">
        <v>1922322.92</v>
      </c>
      <c r="H57" s="423">
        <v>606833.03</v>
      </c>
      <c r="I57" s="423">
        <v>1922322.92</v>
      </c>
      <c r="J57" s="423">
        <v>609844.67000000004</v>
      </c>
      <c r="K57" s="423">
        <v>1922322.92</v>
      </c>
      <c r="L57" s="423">
        <v>612856.31000000006</v>
      </c>
      <c r="M57" s="423">
        <v>1922322.92</v>
      </c>
      <c r="N57" s="423">
        <v>615867.95000000007</v>
      </c>
      <c r="O57" s="423">
        <v>1922322.92</v>
      </c>
      <c r="P57" s="423">
        <v>618879.59</v>
      </c>
      <c r="Q57" s="423">
        <v>1922322.92</v>
      </c>
      <c r="R57" s="423">
        <v>621891.23</v>
      </c>
      <c r="S57" s="423">
        <v>1922322.92</v>
      </c>
      <c r="T57" s="423">
        <v>624902.87</v>
      </c>
      <c r="U57" s="423">
        <v>1922322.92</v>
      </c>
      <c r="V57" s="423">
        <v>627914.51</v>
      </c>
      <c r="W57" s="423">
        <v>1922322.92</v>
      </c>
      <c r="X57" s="423">
        <v>630926.15</v>
      </c>
      <c r="Y57" s="423">
        <v>1922322.92</v>
      </c>
      <c r="Z57" s="423">
        <v>633937.79</v>
      </c>
      <c r="AA57" s="423">
        <v>1922322.92</v>
      </c>
      <c r="AB57" s="423">
        <v>636949.43000000005</v>
      </c>
      <c r="AC57" s="423">
        <v>1922322.92</v>
      </c>
      <c r="AD57" s="423">
        <v>639961.07000000007</v>
      </c>
      <c r="AE57" s="423">
        <f t="shared" si="4"/>
        <v>1922322.9200000006</v>
      </c>
      <c r="AF57" s="423">
        <f t="shared" si="4"/>
        <v>621891.23</v>
      </c>
    </row>
    <row r="58" spans="1:32">
      <c r="A58" s="35">
        <v>50</v>
      </c>
      <c r="C58" s="6" t="s">
        <v>1841</v>
      </c>
      <c r="D58" s="6" t="str">
        <f t="shared" si="5"/>
        <v>00048</v>
      </c>
      <c r="E58" s="423">
        <v>248393.9</v>
      </c>
      <c r="F58" s="423">
        <v>0</v>
      </c>
      <c r="G58" s="423">
        <v>248393.9</v>
      </c>
      <c r="H58" s="423">
        <v>0</v>
      </c>
      <c r="I58" s="423">
        <v>248393.9</v>
      </c>
      <c r="J58" s="423">
        <v>0</v>
      </c>
      <c r="K58" s="423">
        <v>248393.9</v>
      </c>
      <c r="L58" s="423">
        <v>0</v>
      </c>
      <c r="M58" s="423">
        <v>248393.9</v>
      </c>
      <c r="N58" s="423">
        <v>0</v>
      </c>
      <c r="O58" s="423">
        <v>248393.9</v>
      </c>
      <c r="P58" s="423">
        <v>0</v>
      </c>
      <c r="Q58" s="423">
        <v>248393.9</v>
      </c>
      <c r="R58" s="423">
        <v>0</v>
      </c>
      <c r="S58" s="423">
        <v>248393.9</v>
      </c>
      <c r="T58" s="423">
        <v>0</v>
      </c>
      <c r="U58" s="423">
        <v>248393.9</v>
      </c>
      <c r="V58" s="423">
        <v>0</v>
      </c>
      <c r="W58" s="423">
        <v>248393.9</v>
      </c>
      <c r="X58" s="423">
        <v>0</v>
      </c>
      <c r="Y58" s="423">
        <v>248393.9</v>
      </c>
      <c r="Z58" s="423">
        <v>0</v>
      </c>
      <c r="AA58" s="423">
        <v>248393.9</v>
      </c>
      <c r="AB58" s="423">
        <v>0</v>
      </c>
      <c r="AC58" s="423">
        <v>248393.9</v>
      </c>
      <c r="AD58" s="423">
        <v>0</v>
      </c>
      <c r="AE58" s="423">
        <f t="shared" si="4"/>
        <v>248393.89999999994</v>
      </c>
      <c r="AF58" s="423">
        <f t="shared" si="4"/>
        <v>0</v>
      </c>
    </row>
    <row r="59" spans="1:32">
      <c r="A59" s="35">
        <v>51</v>
      </c>
      <c r="C59" s="6" t="s">
        <v>1842</v>
      </c>
      <c r="D59" s="6" t="str">
        <f t="shared" si="5"/>
        <v>00048</v>
      </c>
      <c r="E59" s="423">
        <v>694595.46</v>
      </c>
      <c r="F59" s="423">
        <v>650729.32000000007</v>
      </c>
      <c r="G59" s="423">
        <v>694595.46</v>
      </c>
      <c r="H59" s="423">
        <v>651435.49</v>
      </c>
      <c r="I59" s="423">
        <v>694595.46</v>
      </c>
      <c r="J59" s="423">
        <v>652141.66</v>
      </c>
      <c r="K59" s="423">
        <v>694595.46</v>
      </c>
      <c r="L59" s="423">
        <v>652847.82999999996</v>
      </c>
      <c r="M59" s="423">
        <v>694595.46</v>
      </c>
      <c r="N59" s="423">
        <v>653554</v>
      </c>
      <c r="O59" s="423">
        <v>694595.46</v>
      </c>
      <c r="P59" s="423">
        <v>654260.17000000004</v>
      </c>
      <c r="Q59" s="423">
        <v>694595.46</v>
      </c>
      <c r="R59" s="423">
        <v>654966.34</v>
      </c>
      <c r="S59" s="423">
        <v>694595.46</v>
      </c>
      <c r="T59" s="423">
        <v>655672.51</v>
      </c>
      <c r="U59" s="423">
        <v>694595.46</v>
      </c>
      <c r="V59" s="423">
        <v>656378.68000000005</v>
      </c>
      <c r="W59" s="423">
        <v>696354.23</v>
      </c>
      <c r="X59" s="423">
        <v>657084.85</v>
      </c>
      <c r="Y59" s="423">
        <v>696354.23</v>
      </c>
      <c r="Z59" s="423">
        <v>657792.81000000006</v>
      </c>
      <c r="AA59" s="423">
        <v>696354.23</v>
      </c>
      <c r="AB59" s="423">
        <v>658500.77</v>
      </c>
      <c r="AC59" s="423">
        <v>696354.23</v>
      </c>
      <c r="AD59" s="423">
        <v>659208.73</v>
      </c>
      <c r="AE59" s="423">
        <f t="shared" si="4"/>
        <v>695108.43458333344</v>
      </c>
      <c r="AF59" s="423">
        <f t="shared" si="4"/>
        <v>654967.01124999998</v>
      </c>
    </row>
    <row r="60" spans="1:32">
      <c r="A60" s="35">
        <v>52</v>
      </c>
      <c r="C60" s="6" t="s">
        <v>1843</v>
      </c>
      <c r="D60" s="6" t="str">
        <f t="shared" si="5"/>
        <v>00048</v>
      </c>
      <c r="E60" s="423">
        <v>116215505.77</v>
      </c>
      <c r="F60" s="423">
        <v>32094891.120000001</v>
      </c>
      <c r="G60" s="423">
        <v>116259430.98999999</v>
      </c>
      <c r="H60" s="423">
        <v>32222265.420000002</v>
      </c>
      <c r="I60" s="423">
        <v>116277062.5</v>
      </c>
      <c r="J60" s="423">
        <v>32333674.149999999</v>
      </c>
      <c r="K60" s="423">
        <v>116554207.98</v>
      </c>
      <c r="L60" s="423">
        <v>32396381.260000002</v>
      </c>
      <c r="M60" s="423">
        <v>116665372.44</v>
      </c>
      <c r="N60" s="423">
        <v>32517791.899999999</v>
      </c>
      <c r="O60" s="423">
        <v>116702608.93000001</v>
      </c>
      <c r="P60" s="423">
        <v>32638396.640000001</v>
      </c>
      <c r="Q60" s="423">
        <v>116465551.87</v>
      </c>
      <c r="R60" s="423">
        <v>32732611.809999999</v>
      </c>
      <c r="S60" s="423">
        <v>118516927.93000001</v>
      </c>
      <c r="T60" s="423">
        <v>32828802.34</v>
      </c>
      <c r="U60" s="423">
        <v>124516793.95</v>
      </c>
      <c r="V60" s="423">
        <v>32952257.469999999</v>
      </c>
      <c r="W60" s="423">
        <v>124078296.61</v>
      </c>
      <c r="X60" s="423">
        <v>33080472.940000001</v>
      </c>
      <c r="Y60" s="423">
        <v>126451082.04000001</v>
      </c>
      <c r="Z60" s="423">
        <v>33178731.600000001</v>
      </c>
      <c r="AA60" s="423">
        <v>126324857.81</v>
      </c>
      <c r="AB60" s="423">
        <v>33300964.210000001</v>
      </c>
      <c r="AC60" s="423">
        <v>126326841.52</v>
      </c>
      <c r="AD60" s="423">
        <v>33409444.109999999</v>
      </c>
      <c r="AE60" s="423">
        <f t="shared" si="4"/>
        <v>120006947.22458334</v>
      </c>
      <c r="AF60" s="423">
        <f t="shared" si="4"/>
        <v>32744543.112916667</v>
      </c>
    </row>
    <row r="61" spans="1:32">
      <c r="A61" s="35">
        <v>53</v>
      </c>
      <c r="C61" s="6" t="s">
        <v>1844</v>
      </c>
      <c r="D61" s="6" t="str">
        <f t="shared" si="5"/>
        <v>00048</v>
      </c>
      <c r="E61" s="423">
        <v>92694639.489999995</v>
      </c>
      <c r="F61" s="423">
        <v>23090891.559999999</v>
      </c>
      <c r="G61" s="423">
        <v>93505603.920000002</v>
      </c>
      <c r="H61" s="423">
        <v>25316342.140000001</v>
      </c>
      <c r="I61" s="423">
        <v>93924843.650000006</v>
      </c>
      <c r="J61" s="423">
        <v>25638157.260000002</v>
      </c>
      <c r="K61" s="423">
        <v>94583057.189999998</v>
      </c>
      <c r="L61" s="423">
        <v>25948415.870000001</v>
      </c>
      <c r="M61" s="423">
        <v>94966403.109999999</v>
      </c>
      <c r="N61" s="423">
        <v>26273333.899999999</v>
      </c>
      <c r="O61" s="423">
        <v>95322795.450000003</v>
      </c>
      <c r="P61" s="423">
        <v>26598699.530000001</v>
      </c>
      <c r="Q61" s="423">
        <v>95672199.230000004</v>
      </c>
      <c r="R61" s="423">
        <v>26918136.309999999</v>
      </c>
      <c r="S61" s="423">
        <v>95834826.640000001</v>
      </c>
      <c r="T61" s="423">
        <v>27245880.219999999</v>
      </c>
      <c r="U61" s="423">
        <v>98464943.840000004</v>
      </c>
      <c r="V61" s="423">
        <v>27557739.870000001</v>
      </c>
      <c r="W61" s="423">
        <v>100022193.33</v>
      </c>
      <c r="X61" s="423">
        <v>27895510.469999999</v>
      </c>
      <c r="Y61" s="423">
        <v>101207971.86</v>
      </c>
      <c r="Z61" s="423">
        <v>28236406.899999999</v>
      </c>
      <c r="AA61" s="423">
        <v>101647106.15000001</v>
      </c>
      <c r="AB61" s="423">
        <v>28577764.199999999</v>
      </c>
      <c r="AC61" s="423">
        <v>104034895.53</v>
      </c>
      <c r="AD61" s="423">
        <v>28925627.489999998</v>
      </c>
      <c r="AE61" s="423">
        <f t="shared" si="4"/>
        <v>96959725.99000001</v>
      </c>
      <c r="AF61" s="423">
        <f t="shared" si="4"/>
        <v>26851220.516249999</v>
      </c>
    </row>
    <row r="62" spans="1:32">
      <c r="A62" s="35">
        <v>54</v>
      </c>
      <c r="C62" s="6" t="s">
        <v>1845</v>
      </c>
      <c r="D62" s="6" t="str">
        <f t="shared" si="5"/>
        <v>00048</v>
      </c>
      <c r="E62" s="423">
        <v>104619049.14</v>
      </c>
      <c r="F62" s="423">
        <v>77976433.870000005</v>
      </c>
      <c r="G62" s="423">
        <v>104881883.69</v>
      </c>
      <c r="H62" s="423">
        <v>78141018.370000005</v>
      </c>
      <c r="I62" s="423">
        <v>104901019.84999999</v>
      </c>
      <c r="J62" s="423">
        <v>78311095.030000001</v>
      </c>
      <c r="K62" s="423">
        <v>105286077.40000001</v>
      </c>
      <c r="L62" s="423">
        <v>78288688.239999995</v>
      </c>
      <c r="M62" s="423">
        <v>105312542.72</v>
      </c>
      <c r="N62" s="423">
        <v>78478882.959999993</v>
      </c>
      <c r="O62" s="423">
        <v>105514592.22</v>
      </c>
      <c r="P62" s="423">
        <v>78646841.200000003</v>
      </c>
      <c r="Q62" s="423">
        <v>106209913.69</v>
      </c>
      <c r="R62" s="423">
        <v>78604607.079999998</v>
      </c>
      <c r="S62" s="423">
        <v>106513976.93000001</v>
      </c>
      <c r="T62" s="423">
        <v>78786803.459999993</v>
      </c>
      <c r="U62" s="423">
        <v>106817882.7</v>
      </c>
      <c r="V62" s="423">
        <v>78940495.859999999</v>
      </c>
      <c r="W62" s="423">
        <v>108232058.02</v>
      </c>
      <c r="X62" s="423">
        <v>79115075.980000004</v>
      </c>
      <c r="Y62" s="423">
        <v>109521330.18000001</v>
      </c>
      <c r="Z62" s="423">
        <v>79301282.829999998</v>
      </c>
      <c r="AA62" s="423">
        <v>109710368.93000001</v>
      </c>
      <c r="AB62" s="423">
        <v>79470161.739999995</v>
      </c>
      <c r="AC62" s="423">
        <v>111111541.59</v>
      </c>
      <c r="AD62" s="423">
        <v>79550518.760000005</v>
      </c>
      <c r="AE62" s="423">
        <f t="shared" si="4"/>
        <v>106730578.47458334</v>
      </c>
      <c r="AF62" s="423">
        <f t="shared" si="4"/>
        <v>78737369.088750005</v>
      </c>
    </row>
    <row r="63" spans="1:32">
      <c r="A63" s="35">
        <v>55</v>
      </c>
      <c r="C63" s="6" t="s">
        <v>1846</v>
      </c>
      <c r="D63" s="6" t="str">
        <f t="shared" si="5"/>
        <v>00048</v>
      </c>
      <c r="E63" s="423">
        <v>2097766.77</v>
      </c>
      <c r="F63" s="423">
        <v>1351826.1</v>
      </c>
      <c r="G63" s="423">
        <v>2097766.77</v>
      </c>
      <c r="H63" s="423">
        <v>1354937.79</v>
      </c>
      <c r="I63" s="423">
        <v>2097766.77</v>
      </c>
      <c r="J63" s="423">
        <v>1358049.48</v>
      </c>
      <c r="K63" s="423">
        <v>2097766.77</v>
      </c>
      <c r="L63" s="423">
        <v>1361161.17</v>
      </c>
      <c r="M63" s="423">
        <v>2097766.77</v>
      </c>
      <c r="N63" s="423">
        <v>1364272.8599999999</v>
      </c>
      <c r="O63" s="423">
        <v>2097766.77</v>
      </c>
      <c r="P63" s="423">
        <v>1367384.55</v>
      </c>
      <c r="Q63" s="423">
        <v>2097766.77</v>
      </c>
      <c r="R63" s="423">
        <v>1370496.24</v>
      </c>
      <c r="S63" s="423">
        <v>2097766.77</v>
      </c>
      <c r="T63" s="423">
        <v>1373607.93</v>
      </c>
      <c r="U63" s="423">
        <v>2097766.77</v>
      </c>
      <c r="V63" s="423">
        <v>1376719.62</v>
      </c>
      <c r="W63" s="423">
        <v>2097766.77</v>
      </c>
      <c r="X63" s="423">
        <v>1379831.31</v>
      </c>
      <c r="Y63" s="423">
        <v>2097766.77</v>
      </c>
      <c r="Z63" s="423">
        <v>1382943</v>
      </c>
      <c r="AA63" s="423">
        <v>2097766.77</v>
      </c>
      <c r="AB63" s="423">
        <v>1386054.69</v>
      </c>
      <c r="AC63" s="423">
        <v>2097766.77</v>
      </c>
      <c r="AD63" s="423">
        <v>1389166.38</v>
      </c>
      <c r="AE63" s="423">
        <f t="shared" si="4"/>
        <v>2097766.77</v>
      </c>
      <c r="AF63" s="423">
        <f t="shared" si="4"/>
        <v>1370496.24</v>
      </c>
    </row>
    <row r="64" spans="1:32">
      <c r="A64" s="35">
        <v>56</v>
      </c>
      <c r="C64" s="6" t="s">
        <v>1847</v>
      </c>
      <c r="D64" s="6" t="str">
        <f t="shared" si="5"/>
        <v>00048</v>
      </c>
      <c r="E64" s="423">
        <v>17272773.109999999</v>
      </c>
      <c r="F64" s="423">
        <v>5498340.7800000003</v>
      </c>
      <c r="G64" s="423">
        <v>17266225.050000001</v>
      </c>
      <c r="H64" s="423">
        <v>5498798.8300000001</v>
      </c>
      <c r="I64" s="423">
        <v>17285504.41</v>
      </c>
      <c r="J64" s="423">
        <v>5526293.1600000001</v>
      </c>
      <c r="K64" s="423">
        <v>17593191.02</v>
      </c>
      <c r="L64" s="423">
        <v>5528884.4400000004</v>
      </c>
      <c r="M64" s="423">
        <v>19002153.670000002</v>
      </c>
      <c r="N64" s="423">
        <v>5550117.21</v>
      </c>
      <c r="O64" s="423">
        <v>18627223.870000001</v>
      </c>
      <c r="P64" s="423">
        <v>5600586.04</v>
      </c>
      <c r="Q64" s="423">
        <v>18642629.920000002</v>
      </c>
      <c r="R64" s="423">
        <v>5608774.54</v>
      </c>
      <c r="S64" s="423">
        <v>18649072.68</v>
      </c>
      <c r="T64" s="423">
        <v>5587676.0600000005</v>
      </c>
      <c r="U64" s="423">
        <v>18939081.23</v>
      </c>
      <c r="V64" s="423">
        <v>5608120.0999999996</v>
      </c>
      <c r="W64" s="423">
        <v>19089181.18</v>
      </c>
      <c r="X64" s="423">
        <v>5633017.4299999997</v>
      </c>
      <c r="Y64" s="423">
        <v>19094039.09</v>
      </c>
      <c r="Z64" s="423">
        <v>5646871.7699999996</v>
      </c>
      <c r="AA64" s="423">
        <v>19160722.449999999</v>
      </c>
      <c r="AB64" s="423">
        <v>5668925.6799999997</v>
      </c>
      <c r="AC64" s="423">
        <v>19408480.73</v>
      </c>
      <c r="AD64" s="423">
        <v>5699582.8399999999</v>
      </c>
      <c r="AE64" s="423">
        <f t="shared" si="4"/>
        <v>18474137.624166667</v>
      </c>
      <c r="AF64" s="423">
        <f t="shared" si="4"/>
        <v>5588085.5891666664</v>
      </c>
    </row>
    <row r="65" spans="1:32">
      <c r="A65" s="35">
        <v>57</v>
      </c>
      <c r="C65" s="6" t="s">
        <v>1848</v>
      </c>
      <c r="D65" s="6" t="str">
        <f t="shared" si="5"/>
        <v>00048</v>
      </c>
      <c r="E65" s="423">
        <v>96653910.25</v>
      </c>
      <c r="F65" s="423">
        <v>35585124.18</v>
      </c>
      <c r="G65" s="423">
        <v>97100135.989999995</v>
      </c>
      <c r="H65" s="423">
        <v>37759252.689999998</v>
      </c>
      <c r="I65" s="423">
        <v>97678453.129999995</v>
      </c>
      <c r="J65" s="423">
        <v>38068092.109999999</v>
      </c>
      <c r="K65" s="423">
        <v>98245523.709999993</v>
      </c>
      <c r="L65" s="423">
        <v>38332157.579999998</v>
      </c>
      <c r="M65" s="423">
        <v>98572544.659999996</v>
      </c>
      <c r="N65" s="423">
        <v>38643447.859999999</v>
      </c>
      <c r="O65" s="423">
        <v>99114618.930000007</v>
      </c>
      <c r="P65" s="423">
        <v>38954957.719999999</v>
      </c>
      <c r="Q65" s="423">
        <v>99721922.590000004</v>
      </c>
      <c r="R65" s="423">
        <v>39261725.060000002</v>
      </c>
      <c r="S65" s="423">
        <v>100039472.84999999</v>
      </c>
      <c r="T65" s="423">
        <v>39572790.329999998</v>
      </c>
      <c r="U65" s="423">
        <v>100674248.29000001</v>
      </c>
      <c r="V65" s="423">
        <v>39876481.789999999</v>
      </c>
      <c r="W65" s="423">
        <v>101124838.45</v>
      </c>
      <c r="X65" s="423">
        <v>40196912.469999999</v>
      </c>
      <c r="Y65" s="423">
        <v>101601738.56</v>
      </c>
      <c r="Z65" s="423">
        <v>40518400.5</v>
      </c>
      <c r="AA65" s="423">
        <v>102045253.23999999</v>
      </c>
      <c r="AB65" s="423">
        <v>40834111.810000002</v>
      </c>
      <c r="AC65" s="423">
        <v>103118408.27</v>
      </c>
      <c r="AD65" s="423">
        <v>41126803.579999998</v>
      </c>
      <c r="AE65" s="423">
        <f t="shared" si="4"/>
        <v>99650409.138333336</v>
      </c>
      <c r="AF65" s="423">
        <f t="shared" si="4"/>
        <v>39197857.81666667</v>
      </c>
    </row>
    <row r="66" spans="1:32">
      <c r="A66" s="35">
        <v>58</v>
      </c>
      <c r="C66" s="6" t="s">
        <v>1849</v>
      </c>
      <c r="D66" s="6" t="str">
        <f t="shared" si="5"/>
        <v>00048</v>
      </c>
      <c r="E66" s="423">
        <v>62682144.079999998</v>
      </c>
      <c r="F66" s="423">
        <v>90197398.549999997</v>
      </c>
      <c r="G66" s="423">
        <v>62676251.93</v>
      </c>
      <c r="H66" s="423">
        <v>90308243.879999995</v>
      </c>
      <c r="I66" s="423">
        <v>62671819.130000003</v>
      </c>
      <c r="J66" s="423">
        <v>90424601.980000004</v>
      </c>
      <c r="K66" s="423">
        <v>62631056.32</v>
      </c>
      <c r="L66" s="423">
        <v>90416027.969999999</v>
      </c>
      <c r="M66" s="423">
        <v>62635881.340000004</v>
      </c>
      <c r="N66" s="423">
        <v>90550565.489999995</v>
      </c>
      <c r="O66" s="423">
        <v>62655086.25</v>
      </c>
      <c r="P66" s="423">
        <v>90682565.650000006</v>
      </c>
      <c r="Q66" s="423">
        <v>62601366.740000002</v>
      </c>
      <c r="R66" s="423">
        <v>90751438.930000007</v>
      </c>
      <c r="S66" s="423">
        <v>62593850.630000003</v>
      </c>
      <c r="T66" s="423">
        <v>90867785.560000002</v>
      </c>
      <c r="U66" s="423">
        <v>62579065.420000002</v>
      </c>
      <c r="V66" s="423">
        <v>90958949.069999993</v>
      </c>
      <c r="W66" s="423">
        <v>62517414.43</v>
      </c>
      <c r="X66" s="423">
        <v>90893055.010000005</v>
      </c>
      <c r="Y66" s="423">
        <v>62498182.07</v>
      </c>
      <c r="Z66" s="423">
        <v>91001452.140000001</v>
      </c>
      <c r="AA66" s="423">
        <v>62511307.030000001</v>
      </c>
      <c r="AB66" s="423">
        <v>91089817.930000007</v>
      </c>
      <c r="AC66" s="423">
        <v>62481619.82</v>
      </c>
      <c r="AD66" s="423">
        <v>91189844.709999993</v>
      </c>
      <c r="AE66" s="423">
        <f t="shared" si="4"/>
        <v>62596096.936666675</v>
      </c>
      <c r="AF66" s="423">
        <f t="shared" si="4"/>
        <v>90719843.769999981</v>
      </c>
    </row>
    <row r="67" spans="1:32">
      <c r="A67" s="35">
        <v>59</v>
      </c>
      <c r="C67" s="6" t="s">
        <v>1850</v>
      </c>
      <c r="D67" s="6" t="str">
        <f t="shared" si="5"/>
        <v>00048</v>
      </c>
      <c r="E67" s="423">
        <v>0</v>
      </c>
      <c r="F67" s="423">
        <v>0.01</v>
      </c>
      <c r="G67" s="423">
        <v>0</v>
      </c>
      <c r="H67" s="423">
        <v>0</v>
      </c>
      <c r="I67" s="423">
        <v>0</v>
      </c>
      <c r="J67" s="423">
        <v>0</v>
      </c>
      <c r="K67" s="423">
        <v>0</v>
      </c>
      <c r="L67" s="423">
        <v>0</v>
      </c>
      <c r="M67" s="423">
        <v>84.22</v>
      </c>
      <c r="N67" s="423">
        <v>0</v>
      </c>
      <c r="O67" s="423">
        <v>266.74</v>
      </c>
      <c r="P67" s="423">
        <v>0</v>
      </c>
      <c r="Q67" s="423">
        <v>8.2900000000000009</v>
      </c>
      <c r="R67" s="423">
        <v>0</v>
      </c>
      <c r="S67" s="423">
        <v>8.2900000000000009</v>
      </c>
      <c r="T67" s="423">
        <v>0</v>
      </c>
      <c r="U67" s="423">
        <v>8.2900000000000009</v>
      </c>
      <c r="V67" s="423">
        <v>0</v>
      </c>
      <c r="W67" s="423">
        <v>0</v>
      </c>
      <c r="X67" s="423">
        <v>0</v>
      </c>
      <c r="Y67" s="423">
        <v>0</v>
      </c>
      <c r="Z67" s="423">
        <v>0</v>
      </c>
      <c r="AA67" s="423">
        <v>0</v>
      </c>
      <c r="AB67" s="423">
        <v>0</v>
      </c>
      <c r="AC67" s="423">
        <v>0</v>
      </c>
      <c r="AD67" s="423">
        <v>0</v>
      </c>
      <c r="AE67" s="423">
        <f t="shared" si="4"/>
        <v>31.319166666666675</v>
      </c>
      <c r="AF67" s="423">
        <f t="shared" si="4"/>
        <v>4.1666666666666669E-4</v>
      </c>
    </row>
    <row r="68" spans="1:32">
      <c r="A68" s="35">
        <v>60</v>
      </c>
      <c r="C68" s="6" t="s">
        <v>1851</v>
      </c>
      <c r="D68" s="6" t="str">
        <f t="shared" si="5"/>
        <v>00048</v>
      </c>
      <c r="E68" s="423">
        <v>22396766.760000002</v>
      </c>
      <c r="F68" s="423">
        <v>10064163.189999999</v>
      </c>
      <c r="G68" s="423">
        <v>22422726.420000002</v>
      </c>
      <c r="H68" s="423">
        <v>10089605.369999999</v>
      </c>
      <c r="I68" s="423">
        <v>22477744.91</v>
      </c>
      <c r="J68" s="423">
        <v>10123556.560000001</v>
      </c>
      <c r="K68" s="423">
        <v>22505631.300000001</v>
      </c>
      <c r="L68" s="423">
        <v>10156190.449999999</v>
      </c>
      <c r="M68" s="423">
        <v>22545845.949999999</v>
      </c>
      <c r="N68" s="423">
        <v>10188689.130000001</v>
      </c>
      <c r="O68" s="423">
        <v>22563095.640000001</v>
      </c>
      <c r="P68" s="423">
        <v>10216471.189999999</v>
      </c>
      <c r="Q68" s="423">
        <v>22573355.190000001</v>
      </c>
      <c r="R68" s="423">
        <v>10242765.01</v>
      </c>
      <c r="S68" s="423">
        <v>22601346.260000002</v>
      </c>
      <c r="T68" s="423">
        <v>10271850.640000001</v>
      </c>
      <c r="U68" s="423">
        <v>22639692.629999999</v>
      </c>
      <c r="V68" s="423">
        <v>10303384.59</v>
      </c>
      <c r="W68" s="423">
        <v>22684900.82</v>
      </c>
      <c r="X68" s="423">
        <v>10337027.880000001</v>
      </c>
      <c r="Y68" s="423">
        <v>22735612.050000001</v>
      </c>
      <c r="Z68" s="423">
        <v>10371238.060000001</v>
      </c>
      <c r="AA68" s="423">
        <v>22771682.199999999</v>
      </c>
      <c r="AB68" s="423">
        <v>10392819.869999999</v>
      </c>
      <c r="AC68" s="423">
        <v>22894603.239999998</v>
      </c>
      <c r="AD68" s="423">
        <v>10424710.199999999</v>
      </c>
      <c r="AE68" s="423">
        <f t="shared" si="4"/>
        <v>22597276.530833334</v>
      </c>
      <c r="AF68" s="423">
        <f t="shared" si="4"/>
        <v>10244836.287083333</v>
      </c>
    </row>
    <row r="69" spans="1:32">
      <c r="A69" s="35">
        <v>61</v>
      </c>
      <c r="C69" s="6" t="s">
        <v>1852</v>
      </c>
      <c r="D69" s="6" t="str">
        <f t="shared" si="5"/>
        <v>00048</v>
      </c>
      <c r="E69" s="423">
        <v>7893079.4900000002</v>
      </c>
      <c r="F69" s="423">
        <v>3461142.49</v>
      </c>
      <c r="G69" s="423">
        <v>7898819.6699999999</v>
      </c>
      <c r="H69" s="423">
        <v>3475341.77</v>
      </c>
      <c r="I69" s="423">
        <v>7906988.7000000002</v>
      </c>
      <c r="J69" s="423">
        <v>3489691.29</v>
      </c>
      <c r="K69" s="423">
        <v>7906423.9800000004</v>
      </c>
      <c r="L69" s="423">
        <v>3501688.89</v>
      </c>
      <c r="M69" s="423">
        <v>7952697.8499999996</v>
      </c>
      <c r="N69" s="423">
        <v>3516639.6</v>
      </c>
      <c r="O69" s="423">
        <v>7955859.4000000004</v>
      </c>
      <c r="P69" s="423">
        <v>3531263.85</v>
      </c>
      <c r="Q69" s="423">
        <v>7970526.0099999998</v>
      </c>
      <c r="R69" s="423">
        <v>3546255.4</v>
      </c>
      <c r="S69" s="423">
        <v>7983826.5</v>
      </c>
      <c r="T69" s="423">
        <v>3564945.13</v>
      </c>
      <c r="U69" s="423">
        <v>7993577.25</v>
      </c>
      <c r="V69" s="423">
        <v>3563768.7199999997</v>
      </c>
      <c r="W69" s="423">
        <v>8053174.6200000001</v>
      </c>
      <c r="X69" s="423">
        <v>3570588.37</v>
      </c>
      <c r="Y69" s="423">
        <v>8107872.7300000004</v>
      </c>
      <c r="Z69" s="423">
        <v>3585218.3</v>
      </c>
      <c r="AA69" s="423">
        <v>8155184.9199999999</v>
      </c>
      <c r="AB69" s="423">
        <v>3608551.79</v>
      </c>
      <c r="AC69" s="423">
        <v>8205835.1900000004</v>
      </c>
      <c r="AD69" s="423">
        <v>3618348.63</v>
      </c>
      <c r="AE69" s="423">
        <f t="shared" si="4"/>
        <v>7994534.0808333345</v>
      </c>
      <c r="AF69" s="423">
        <f t="shared" si="4"/>
        <v>3541141.5558333336</v>
      </c>
    </row>
    <row r="70" spans="1:32">
      <c r="A70" s="35">
        <v>62</v>
      </c>
      <c r="C70" s="6" t="s">
        <v>1853</v>
      </c>
      <c r="D70" s="6" t="str">
        <f t="shared" si="5"/>
        <v>00048</v>
      </c>
      <c r="E70" s="423">
        <v>0</v>
      </c>
      <c r="F70" s="423">
        <v>-305.76</v>
      </c>
      <c r="G70" s="423">
        <v>0</v>
      </c>
      <c r="H70" s="423">
        <v>-305.76</v>
      </c>
      <c r="I70" s="423">
        <v>0</v>
      </c>
      <c r="J70" s="423">
        <v>-305.76</v>
      </c>
      <c r="K70" s="423">
        <v>0</v>
      </c>
      <c r="L70" s="423">
        <v>-305.76</v>
      </c>
      <c r="M70" s="423">
        <v>0</v>
      </c>
      <c r="N70" s="423">
        <v>-305.76</v>
      </c>
      <c r="O70" s="423">
        <v>0</v>
      </c>
      <c r="P70" s="423">
        <v>-305.76</v>
      </c>
      <c r="Q70" s="423">
        <v>0</v>
      </c>
      <c r="R70" s="423">
        <v>-305.76</v>
      </c>
      <c r="S70" s="423">
        <v>0</v>
      </c>
      <c r="T70" s="423">
        <v>-305.76</v>
      </c>
      <c r="U70" s="423">
        <v>0</v>
      </c>
      <c r="V70" s="423">
        <v>-305.76</v>
      </c>
      <c r="W70" s="423">
        <v>0</v>
      </c>
      <c r="X70" s="423">
        <v>-305.76</v>
      </c>
      <c r="Y70" s="423">
        <v>0</v>
      </c>
      <c r="Z70" s="423">
        <v>-305.76</v>
      </c>
      <c r="AA70" s="423">
        <v>0</v>
      </c>
      <c r="AB70" s="423">
        <v>-305.76</v>
      </c>
      <c r="AC70" s="423">
        <v>0</v>
      </c>
      <c r="AD70" s="423">
        <v>-305.76</v>
      </c>
      <c r="AE70" s="423">
        <f t="shared" si="4"/>
        <v>0</v>
      </c>
      <c r="AF70" s="423">
        <f t="shared" si="4"/>
        <v>-305.76000000000005</v>
      </c>
    </row>
    <row r="71" spans="1:32">
      <c r="A71" s="35">
        <v>63</v>
      </c>
      <c r="C71" s="6" t="s">
        <v>1854</v>
      </c>
      <c r="D71" s="6" t="str">
        <f t="shared" si="5"/>
        <v>00048</v>
      </c>
      <c r="E71" s="423">
        <v>2020069.02</v>
      </c>
      <c r="F71" s="423">
        <v>0</v>
      </c>
      <c r="G71" s="423">
        <v>2020069.02</v>
      </c>
      <c r="H71" s="423">
        <v>0</v>
      </c>
      <c r="I71" s="423">
        <v>2020069.02</v>
      </c>
      <c r="J71" s="423">
        <v>0</v>
      </c>
      <c r="K71" s="423">
        <v>2020069.02</v>
      </c>
      <c r="L71" s="423">
        <v>0</v>
      </c>
      <c r="M71" s="423">
        <v>2020069.02</v>
      </c>
      <c r="N71" s="423">
        <v>0</v>
      </c>
      <c r="O71" s="423">
        <v>2020069.02</v>
      </c>
      <c r="P71" s="423">
        <v>0</v>
      </c>
      <c r="Q71" s="423">
        <v>2020069.02</v>
      </c>
      <c r="R71" s="423">
        <v>0</v>
      </c>
      <c r="S71" s="423">
        <v>2020069.02</v>
      </c>
      <c r="T71" s="423">
        <v>0</v>
      </c>
      <c r="U71" s="423">
        <v>2020069.02</v>
      </c>
      <c r="V71" s="423">
        <v>0</v>
      </c>
      <c r="W71" s="423">
        <v>2020069.02</v>
      </c>
      <c r="X71" s="423">
        <v>0</v>
      </c>
      <c r="Y71" s="423">
        <v>2020069.02</v>
      </c>
      <c r="Z71" s="423">
        <v>0</v>
      </c>
      <c r="AA71" s="423">
        <v>2020069.02</v>
      </c>
      <c r="AB71" s="423">
        <v>0</v>
      </c>
      <c r="AC71" s="423">
        <v>2020069.02</v>
      </c>
      <c r="AD71" s="423">
        <v>0</v>
      </c>
      <c r="AE71" s="423">
        <f t="shared" si="4"/>
        <v>2020069.0199999998</v>
      </c>
      <c r="AF71" s="423">
        <f t="shared" si="4"/>
        <v>0</v>
      </c>
    </row>
    <row r="72" spans="1:32">
      <c r="A72" s="35">
        <v>64</v>
      </c>
      <c r="C72" s="6" t="s">
        <v>1855</v>
      </c>
      <c r="D72" s="6" t="str">
        <f t="shared" si="5"/>
        <v>00048</v>
      </c>
      <c r="E72" s="423">
        <v>0</v>
      </c>
      <c r="F72" s="423">
        <v>4703.88</v>
      </c>
      <c r="G72" s="423">
        <v>0</v>
      </c>
      <c r="H72" s="423">
        <v>4703.88</v>
      </c>
      <c r="I72" s="423">
        <v>0</v>
      </c>
      <c r="J72" s="423">
        <v>4703.88</v>
      </c>
      <c r="K72" s="423">
        <v>0</v>
      </c>
      <c r="L72" s="423">
        <v>4703.88</v>
      </c>
      <c r="M72" s="423">
        <v>0</v>
      </c>
      <c r="N72" s="423">
        <v>4703.88</v>
      </c>
      <c r="O72" s="423">
        <v>0</v>
      </c>
      <c r="P72" s="423">
        <v>4703.88</v>
      </c>
      <c r="Q72" s="423">
        <v>7933.28</v>
      </c>
      <c r="R72" s="423">
        <v>4703.88</v>
      </c>
      <c r="S72" s="423">
        <v>7933.28</v>
      </c>
      <c r="T72" s="423">
        <v>4703.88</v>
      </c>
      <c r="U72" s="423">
        <v>7933.28</v>
      </c>
      <c r="V72" s="423">
        <v>4703.88</v>
      </c>
      <c r="W72" s="423">
        <v>7933.28</v>
      </c>
      <c r="X72" s="423">
        <v>4703.88</v>
      </c>
      <c r="Y72" s="423">
        <v>7933.28</v>
      </c>
      <c r="Z72" s="423">
        <v>4703.88</v>
      </c>
      <c r="AA72" s="423">
        <v>7933.28</v>
      </c>
      <c r="AB72" s="423">
        <v>4703.88</v>
      </c>
      <c r="AC72" s="423">
        <v>7933.28</v>
      </c>
      <c r="AD72" s="423">
        <v>4703.88</v>
      </c>
      <c r="AE72" s="423">
        <f t="shared" si="4"/>
        <v>4297.1933333333336</v>
      </c>
      <c r="AF72" s="423">
        <f t="shared" si="4"/>
        <v>4703.8799999999992</v>
      </c>
    </row>
    <row r="73" spans="1:32">
      <c r="A73" s="35">
        <v>65</v>
      </c>
      <c r="C73" s="6" t="s">
        <v>1856</v>
      </c>
      <c r="D73" s="6" t="str">
        <f t="shared" si="5"/>
        <v>00048</v>
      </c>
      <c r="E73" s="423">
        <v>9058502.9499999993</v>
      </c>
      <c r="F73" s="423">
        <v>4768990.34</v>
      </c>
      <c r="G73" s="423">
        <v>9061443.8399999999</v>
      </c>
      <c r="H73" s="423">
        <v>4778350.79</v>
      </c>
      <c r="I73" s="423">
        <v>9088752.9399999995</v>
      </c>
      <c r="J73" s="423">
        <v>4787714.28</v>
      </c>
      <c r="K73" s="423">
        <v>9088752.9399999995</v>
      </c>
      <c r="L73" s="423">
        <v>4797105.99</v>
      </c>
      <c r="M73" s="423">
        <v>9089973.9100000001</v>
      </c>
      <c r="N73" s="423">
        <v>4806497.7</v>
      </c>
      <c r="O73" s="423">
        <v>9089973.9100000001</v>
      </c>
      <c r="P73" s="423">
        <v>4815890.67</v>
      </c>
      <c r="Q73" s="423">
        <v>9089973.9100000001</v>
      </c>
      <c r="R73" s="423">
        <v>4825283.6399999997</v>
      </c>
      <c r="S73" s="423">
        <v>9089973.9100000001</v>
      </c>
      <c r="T73" s="423">
        <v>4834676.6100000003</v>
      </c>
      <c r="U73" s="423">
        <v>9089973.9100000001</v>
      </c>
      <c r="V73" s="423">
        <v>4844069.58</v>
      </c>
      <c r="W73" s="423">
        <v>9089973.9100000001</v>
      </c>
      <c r="X73" s="423">
        <v>4853462.55</v>
      </c>
      <c r="Y73" s="423">
        <v>9114642.0399999991</v>
      </c>
      <c r="Z73" s="423">
        <v>4862855.5199999996</v>
      </c>
      <c r="AA73" s="423">
        <v>9114642.0399999991</v>
      </c>
      <c r="AB73" s="423">
        <v>4872273.9800000004</v>
      </c>
      <c r="AC73" s="423">
        <v>9154112.3399999999</v>
      </c>
      <c r="AD73" s="423">
        <v>4881692.4400000004</v>
      </c>
      <c r="AE73" s="423">
        <f t="shared" si="4"/>
        <v>9092865.4087499958</v>
      </c>
      <c r="AF73" s="423">
        <f t="shared" si="4"/>
        <v>4825293.5583333336</v>
      </c>
    </row>
    <row r="74" spans="1:32">
      <c r="A74" s="35">
        <v>66</v>
      </c>
      <c r="C74" s="6" t="s">
        <v>1857</v>
      </c>
      <c r="D74" s="6" t="str">
        <f t="shared" si="5"/>
        <v>00048</v>
      </c>
      <c r="E74" s="423">
        <v>156603.45000000001</v>
      </c>
      <c r="F74" s="423">
        <v>49359.15</v>
      </c>
      <c r="G74" s="423">
        <v>111436.64</v>
      </c>
      <c r="H74" s="423">
        <v>6459.17</v>
      </c>
      <c r="I74" s="423">
        <v>111436.64</v>
      </c>
      <c r="J74" s="423">
        <v>8072.22</v>
      </c>
      <c r="K74" s="423">
        <v>108088.64</v>
      </c>
      <c r="L74" s="423">
        <v>6337.27</v>
      </c>
      <c r="M74" s="423">
        <v>108088.64</v>
      </c>
      <c r="N74" s="423">
        <v>7901.85</v>
      </c>
      <c r="O74" s="423">
        <v>109957.52</v>
      </c>
      <c r="P74" s="423">
        <v>9466.43</v>
      </c>
      <c r="Q74" s="423">
        <v>98185.52</v>
      </c>
      <c r="R74" s="423">
        <v>-713.93000000000006</v>
      </c>
      <c r="S74" s="423">
        <v>98185.52</v>
      </c>
      <c r="T74" s="423">
        <v>707.31000000000006</v>
      </c>
      <c r="U74" s="423">
        <v>98185.52</v>
      </c>
      <c r="V74" s="423">
        <v>2128.5500000000002</v>
      </c>
      <c r="W74" s="423">
        <v>98185.52</v>
      </c>
      <c r="X74" s="423">
        <v>3549.79</v>
      </c>
      <c r="Y74" s="423">
        <v>98185.52</v>
      </c>
      <c r="Z74" s="423">
        <v>4971.03</v>
      </c>
      <c r="AA74" s="423">
        <v>98185.52</v>
      </c>
      <c r="AB74" s="423">
        <v>6392.27</v>
      </c>
      <c r="AC74" s="423">
        <v>98185.52</v>
      </c>
      <c r="AD74" s="423">
        <v>7813.51</v>
      </c>
      <c r="AE74" s="423">
        <f t="shared" si="4"/>
        <v>105459.64041666668</v>
      </c>
      <c r="AF74" s="423">
        <f t="shared" si="4"/>
        <v>6988.190833333334</v>
      </c>
    </row>
    <row r="75" spans="1:32">
      <c r="A75" s="35">
        <v>67</v>
      </c>
      <c r="C75" s="6" t="s">
        <v>1858</v>
      </c>
      <c r="D75" s="6" t="str">
        <f t="shared" si="5"/>
        <v>00048</v>
      </c>
      <c r="E75" s="423">
        <v>405458.97000000003</v>
      </c>
      <c r="F75" s="423">
        <v>78546.759999999995</v>
      </c>
      <c r="G75" s="423">
        <v>390507.36</v>
      </c>
      <c r="H75" s="423">
        <v>65277.8</v>
      </c>
      <c r="I75" s="423">
        <v>390507.36</v>
      </c>
      <c r="J75" s="423">
        <v>66898.41</v>
      </c>
      <c r="K75" s="423">
        <v>390507.36</v>
      </c>
      <c r="L75" s="423">
        <v>68519.02</v>
      </c>
      <c r="M75" s="423">
        <v>390507.36</v>
      </c>
      <c r="N75" s="423">
        <v>70139.63</v>
      </c>
      <c r="O75" s="423">
        <v>390507.36</v>
      </c>
      <c r="P75" s="423">
        <v>71760.240000000005</v>
      </c>
      <c r="Q75" s="423">
        <v>416985.31</v>
      </c>
      <c r="R75" s="423">
        <v>73078.86</v>
      </c>
      <c r="S75" s="423">
        <v>416985.31</v>
      </c>
      <c r="T75" s="423">
        <v>74809.350000000006</v>
      </c>
      <c r="U75" s="423">
        <v>416985.31</v>
      </c>
      <c r="V75" s="423">
        <v>76539.839999999997</v>
      </c>
      <c r="W75" s="423">
        <v>416985.31</v>
      </c>
      <c r="X75" s="423">
        <v>78270.33</v>
      </c>
      <c r="Y75" s="423">
        <v>416985.31</v>
      </c>
      <c r="Z75" s="423">
        <v>80000.820000000007</v>
      </c>
      <c r="AA75" s="423">
        <v>416985.31</v>
      </c>
      <c r="AB75" s="423">
        <v>81731.31</v>
      </c>
      <c r="AC75" s="423">
        <v>416985.31</v>
      </c>
      <c r="AD75" s="423">
        <v>83461.8</v>
      </c>
      <c r="AE75" s="423">
        <f t="shared" si="4"/>
        <v>405472.56666666665</v>
      </c>
      <c r="AF75" s="423">
        <f t="shared" si="4"/>
        <v>74002.490833333344</v>
      </c>
    </row>
    <row r="76" spans="1:32">
      <c r="A76" s="35">
        <v>68</v>
      </c>
      <c r="C76" s="6" t="s">
        <v>1859</v>
      </c>
      <c r="D76" s="6" t="str">
        <f t="shared" si="5"/>
        <v>00048</v>
      </c>
      <c r="E76" s="423">
        <v>229070.62</v>
      </c>
      <c r="F76" s="423">
        <v>97535.14</v>
      </c>
      <c r="G76" s="423">
        <v>229070.62</v>
      </c>
      <c r="H76" s="423">
        <v>98136.45</v>
      </c>
      <c r="I76" s="423">
        <v>229070.62</v>
      </c>
      <c r="J76" s="423">
        <v>98737.760000000009</v>
      </c>
      <c r="K76" s="423">
        <v>229070.62</v>
      </c>
      <c r="L76" s="423">
        <v>99339.07</v>
      </c>
      <c r="M76" s="423">
        <v>229070.62</v>
      </c>
      <c r="N76" s="423">
        <v>99940.38</v>
      </c>
      <c r="O76" s="423">
        <v>229070.62</v>
      </c>
      <c r="P76" s="423">
        <v>100541.69</v>
      </c>
      <c r="Q76" s="423">
        <v>229070.62</v>
      </c>
      <c r="R76" s="423">
        <v>101143</v>
      </c>
      <c r="S76" s="423">
        <v>229070.62</v>
      </c>
      <c r="T76" s="423">
        <v>101744.31</v>
      </c>
      <c r="U76" s="423">
        <v>229070.62</v>
      </c>
      <c r="V76" s="423">
        <v>102345.62</v>
      </c>
      <c r="W76" s="423">
        <v>213725.31</v>
      </c>
      <c r="X76" s="423">
        <v>87601.62</v>
      </c>
      <c r="Y76" s="423">
        <v>213725.31</v>
      </c>
      <c r="Z76" s="423">
        <v>88162.650000000009</v>
      </c>
      <c r="AA76" s="423">
        <v>213725.31</v>
      </c>
      <c r="AB76" s="423">
        <v>88723.680000000008</v>
      </c>
      <c r="AC76" s="423">
        <v>213725.31</v>
      </c>
      <c r="AD76" s="423">
        <v>89284.71</v>
      </c>
      <c r="AE76" s="423">
        <f t="shared" si="4"/>
        <v>224594.90458333338</v>
      </c>
      <c r="AF76" s="423">
        <f t="shared" si="4"/>
        <v>96652.17958333336</v>
      </c>
    </row>
    <row r="77" spans="1:32">
      <c r="A77" s="35">
        <v>69</v>
      </c>
      <c r="C77" s="6" t="s">
        <v>1860</v>
      </c>
      <c r="D77" s="6" t="str">
        <f t="shared" si="5"/>
        <v>00048</v>
      </c>
      <c r="E77" s="423">
        <v>8760593.6600000001</v>
      </c>
      <c r="F77" s="423">
        <v>3138126.48</v>
      </c>
      <c r="G77" s="423">
        <v>8818649.2400000002</v>
      </c>
      <c r="H77" s="423">
        <v>3183024.52</v>
      </c>
      <c r="I77" s="423">
        <v>8868940.7200000007</v>
      </c>
      <c r="J77" s="423">
        <v>3211362</v>
      </c>
      <c r="K77" s="423">
        <v>8750125.9000000004</v>
      </c>
      <c r="L77" s="423">
        <v>3113550.25</v>
      </c>
      <c r="M77" s="423">
        <v>8805451.2899999991</v>
      </c>
      <c r="N77" s="423">
        <v>3111198.95</v>
      </c>
      <c r="O77" s="423">
        <v>8921776.3699999992</v>
      </c>
      <c r="P77" s="423">
        <v>3166426.89</v>
      </c>
      <c r="Q77" s="423">
        <v>9083479.9000000004</v>
      </c>
      <c r="R77" s="423">
        <v>3212503.31</v>
      </c>
      <c r="S77" s="423">
        <v>9223031.8399999999</v>
      </c>
      <c r="T77" s="423">
        <v>3242782.82</v>
      </c>
      <c r="U77" s="423">
        <v>9494482.4299999997</v>
      </c>
      <c r="V77" s="423">
        <v>3270750.74</v>
      </c>
      <c r="W77" s="423">
        <v>9417208.1799999997</v>
      </c>
      <c r="X77" s="423">
        <v>3263819.7800000003</v>
      </c>
      <c r="Y77" s="423">
        <v>9352511.5899999999</v>
      </c>
      <c r="Z77" s="423">
        <v>3274068.69</v>
      </c>
      <c r="AA77" s="423">
        <v>9460510.1699999999</v>
      </c>
      <c r="AB77" s="423">
        <v>3314102.13</v>
      </c>
      <c r="AC77" s="423">
        <v>9743723.7799999993</v>
      </c>
      <c r="AD77" s="423">
        <v>3362587.25</v>
      </c>
      <c r="AE77" s="423">
        <f t="shared" si="4"/>
        <v>9120693.8625000007</v>
      </c>
      <c r="AF77" s="423">
        <f t="shared" si="4"/>
        <v>3217828.9120833334</v>
      </c>
    </row>
    <row r="78" spans="1:32">
      <c r="A78" s="35">
        <v>70</v>
      </c>
      <c r="C78" s="6" t="s">
        <v>1861</v>
      </c>
      <c r="D78" s="6" t="str">
        <f t="shared" si="5"/>
        <v>00048</v>
      </c>
      <c r="E78" s="423">
        <v>23837.02</v>
      </c>
      <c r="F78" s="423">
        <v>7873.37</v>
      </c>
      <c r="G78" s="423">
        <v>23837.02</v>
      </c>
      <c r="H78" s="423">
        <v>7979.4400000000005</v>
      </c>
      <c r="I78" s="423">
        <v>23837.02</v>
      </c>
      <c r="J78" s="423">
        <v>8085.51</v>
      </c>
      <c r="K78" s="423">
        <v>23837.02</v>
      </c>
      <c r="L78" s="423">
        <v>8191.58</v>
      </c>
      <c r="M78" s="423">
        <v>23837.02</v>
      </c>
      <c r="N78" s="423">
        <v>8297.65</v>
      </c>
      <c r="O78" s="423">
        <v>23837.02</v>
      </c>
      <c r="P78" s="423">
        <v>8403.7199999999993</v>
      </c>
      <c r="Q78" s="423">
        <v>23837.02</v>
      </c>
      <c r="R78" s="423">
        <v>8509.7900000000009</v>
      </c>
      <c r="S78" s="423">
        <v>23837.02</v>
      </c>
      <c r="T78" s="423">
        <v>8615.86</v>
      </c>
      <c r="U78" s="423">
        <v>23837.02</v>
      </c>
      <c r="V78" s="423">
        <v>8721.93</v>
      </c>
      <c r="W78" s="423">
        <v>23837.02</v>
      </c>
      <c r="X78" s="423">
        <v>8828</v>
      </c>
      <c r="Y78" s="423">
        <v>23837.02</v>
      </c>
      <c r="Z78" s="423">
        <v>8934.07</v>
      </c>
      <c r="AA78" s="423">
        <v>23837.02</v>
      </c>
      <c r="AB78" s="423">
        <v>9040.14</v>
      </c>
      <c r="AC78" s="423">
        <v>23837.02</v>
      </c>
      <c r="AD78" s="423">
        <v>9146.2100000000009</v>
      </c>
      <c r="AE78" s="423">
        <f t="shared" si="4"/>
        <v>23837.02</v>
      </c>
      <c r="AF78" s="423">
        <f t="shared" si="4"/>
        <v>8509.7900000000009</v>
      </c>
    </row>
    <row r="79" spans="1:32">
      <c r="A79" s="35">
        <v>71</v>
      </c>
      <c r="C79" s="6" t="s">
        <v>1862</v>
      </c>
      <c r="D79" s="6" t="str">
        <f t="shared" si="5"/>
        <v>00048</v>
      </c>
      <c r="E79" s="423">
        <v>3971799.3200000003</v>
      </c>
      <c r="F79" s="423">
        <v>1312806.96</v>
      </c>
      <c r="G79" s="423">
        <v>3863493.63</v>
      </c>
      <c r="H79" s="423">
        <v>1194522.3</v>
      </c>
      <c r="I79" s="423">
        <v>3878926.6</v>
      </c>
      <c r="J79" s="423">
        <v>1205984</v>
      </c>
      <c r="K79" s="423">
        <v>3849269.2199999997</v>
      </c>
      <c r="L79" s="423">
        <v>1142869.51</v>
      </c>
      <c r="M79" s="423">
        <v>3872066.56</v>
      </c>
      <c r="N79" s="423">
        <v>1154589.01</v>
      </c>
      <c r="O79" s="423">
        <v>3874271.3</v>
      </c>
      <c r="P79" s="423">
        <v>1166076.1400000001</v>
      </c>
      <c r="Q79" s="423">
        <v>3850816.8</v>
      </c>
      <c r="R79" s="423">
        <v>1141452.55</v>
      </c>
      <c r="S79" s="423">
        <v>3849567.26</v>
      </c>
      <c r="T79" s="423">
        <v>1152876.6400000001</v>
      </c>
      <c r="U79" s="423">
        <v>3894827.79</v>
      </c>
      <c r="V79" s="423">
        <v>1164297.02</v>
      </c>
      <c r="W79" s="423">
        <v>3936679.34</v>
      </c>
      <c r="X79" s="423">
        <v>1175851.68</v>
      </c>
      <c r="Y79" s="423">
        <v>4028179.52</v>
      </c>
      <c r="Z79" s="423">
        <v>1187530.5</v>
      </c>
      <c r="AA79" s="423">
        <v>4030331.48</v>
      </c>
      <c r="AB79" s="423">
        <v>1199480.77</v>
      </c>
      <c r="AC79" s="423">
        <v>4107335.77</v>
      </c>
      <c r="AD79" s="423">
        <v>1211437.42</v>
      </c>
      <c r="AE79" s="423">
        <f t="shared" si="4"/>
        <v>3913999.7537500001</v>
      </c>
      <c r="AF79" s="423">
        <f t="shared" si="4"/>
        <v>1178971.0258333331</v>
      </c>
    </row>
    <row r="80" spans="1:32">
      <c r="A80" s="35">
        <v>72</v>
      </c>
      <c r="C80" s="6" t="s">
        <v>1863</v>
      </c>
      <c r="D80" s="6" t="str">
        <f t="shared" si="5"/>
        <v>00048</v>
      </c>
      <c r="E80" s="423">
        <v>127444.74</v>
      </c>
      <c r="F80" s="423">
        <v>113108.3</v>
      </c>
      <c r="G80" s="423">
        <v>127444.74</v>
      </c>
      <c r="H80" s="423">
        <v>113303.72</v>
      </c>
      <c r="I80" s="423">
        <v>127444.74</v>
      </c>
      <c r="J80" s="423">
        <v>113499.14</v>
      </c>
      <c r="K80" s="423">
        <v>127444.74</v>
      </c>
      <c r="L80" s="423">
        <v>113694.56</v>
      </c>
      <c r="M80" s="423">
        <v>127444.74</v>
      </c>
      <c r="N80" s="423">
        <v>113889.98</v>
      </c>
      <c r="O80" s="423">
        <v>127444.74</v>
      </c>
      <c r="P80" s="423">
        <v>114085.40000000001</v>
      </c>
      <c r="Q80" s="423">
        <v>127444.74</v>
      </c>
      <c r="R80" s="423">
        <v>114280.82</v>
      </c>
      <c r="S80" s="423">
        <v>127444.74</v>
      </c>
      <c r="T80" s="423">
        <v>114476.24</v>
      </c>
      <c r="U80" s="423">
        <v>127444.74</v>
      </c>
      <c r="V80" s="423">
        <v>114671.66</v>
      </c>
      <c r="W80" s="423">
        <v>127444.74</v>
      </c>
      <c r="X80" s="423">
        <v>114867.08</v>
      </c>
      <c r="Y80" s="423">
        <v>127444.74</v>
      </c>
      <c r="Z80" s="423">
        <v>115062.5</v>
      </c>
      <c r="AA80" s="423">
        <v>131231.01999999999</v>
      </c>
      <c r="AB80" s="423">
        <v>115257.92</v>
      </c>
      <c r="AC80" s="423">
        <v>131231.01999999999</v>
      </c>
      <c r="AD80" s="423">
        <v>115459.14</v>
      </c>
      <c r="AE80" s="423">
        <f t="shared" si="4"/>
        <v>127918.02500000002</v>
      </c>
      <c r="AF80" s="423">
        <f t="shared" si="4"/>
        <v>114281.06166666665</v>
      </c>
    </row>
    <row r="81" spans="1:32">
      <c r="A81" s="35">
        <v>73</v>
      </c>
      <c r="C81" s="6" t="s">
        <v>1864</v>
      </c>
      <c r="D81" s="6" t="str">
        <f t="shared" si="5"/>
        <v>00048</v>
      </c>
      <c r="E81" s="423">
        <v>29277.34</v>
      </c>
      <c r="F81" s="423">
        <v>17773.5</v>
      </c>
      <c r="G81" s="423">
        <v>29277.34</v>
      </c>
      <c r="H81" s="423">
        <v>17885.73</v>
      </c>
      <c r="I81" s="423">
        <v>29277.34</v>
      </c>
      <c r="J81" s="423">
        <v>17997.96</v>
      </c>
      <c r="K81" s="423">
        <v>29277.34</v>
      </c>
      <c r="L81" s="423">
        <v>18110.189999999999</v>
      </c>
      <c r="M81" s="423">
        <v>29277.34</v>
      </c>
      <c r="N81" s="423">
        <v>18222.420000000002</v>
      </c>
      <c r="O81" s="423">
        <v>29277.34</v>
      </c>
      <c r="P81" s="423">
        <v>18334.650000000001</v>
      </c>
      <c r="Q81" s="423">
        <v>29277.34</v>
      </c>
      <c r="R81" s="423">
        <v>18446.88</v>
      </c>
      <c r="S81" s="423">
        <v>29277.34</v>
      </c>
      <c r="T81" s="423">
        <v>18559.11</v>
      </c>
      <c r="U81" s="423">
        <v>29277.34</v>
      </c>
      <c r="V81" s="423">
        <v>18671.34</v>
      </c>
      <c r="W81" s="423">
        <v>29277.34</v>
      </c>
      <c r="X81" s="423">
        <v>18783.57</v>
      </c>
      <c r="Y81" s="423">
        <v>29277.34</v>
      </c>
      <c r="Z81" s="423">
        <v>18895.8</v>
      </c>
      <c r="AA81" s="423">
        <v>29277.34</v>
      </c>
      <c r="AB81" s="423">
        <v>19008.03</v>
      </c>
      <c r="AC81" s="423">
        <v>29277.34</v>
      </c>
      <c r="AD81" s="423">
        <v>19120.260000000002</v>
      </c>
      <c r="AE81" s="423">
        <f t="shared" si="4"/>
        <v>29277.340000000007</v>
      </c>
      <c r="AF81" s="423">
        <f t="shared" si="4"/>
        <v>18446.88</v>
      </c>
    </row>
    <row r="82" spans="1:32">
      <c r="A82" s="35">
        <v>74</v>
      </c>
      <c r="C82" s="6" t="s">
        <v>1865</v>
      </c>
      <c r="D82" s="6" t="str">
        <f t="shared" si="5"/>
        <v>00048</v>
      </c>
      <c r="E82" s="423">
        <v>2049363.37</v>
      </c>
      <c r="F82" s="423">
        <v>-57559.61</v>
      </c>
      <c r="G82" s="423">
        <v>2046909.69</v>
      </c>
      <c r="H82" s="423">
        <v>-47789.93</v>
      </c>
      <c r="I82" s="423">
        <v>2046909.69</v>
      </c>
      <c r="J82" s="423">
        <v>-38954.1</v>
      </c>
      <c r="K82" s="423">
        <v>2049564.57</v>
      </c>
      <c r="L82" s="423">
        <v>-30118.27</v>
      </c>
      <c r="M82" s="423">
        <v>2171182.4</v>
      </c>
      <c r="N82" s="423">
        <v>-20938.61</v>
      </c>
      <c r="O82" s="423">
        <v>2157237.2999999998</v>
      </c>
      <c r="P82" s="423">
        <v>-21649.010000000002</v>
      </c>
      <c r="Q82" s="423">
        <v>2009336.78</v>
      </c>
      <c r="R82" s="423">
        <v>-12336.94</v>
      </c>
      <c r="S82" s="423">
        <v>2013824.82</v>
      </c>
      <c r="T82" s="423">
        <v>-3663.3</v>
      </c>
      <c r="U82" s="423">
        <v>2013673.54</v>
      </c>
      <c r="V82" s="423">
        <v>-32883.51</v>
      </c>
      <c r="W82" s="423">
        <v>2013673.54</v>
      </c>
      <c r="X82" s="423">
        <v>-24191.16</v>
      </c>
      <c r="Y82" s="423">
        <v>2025302.52</v>
      </c>
      <c r="Z82" s="423">
        <v>-15498.81</v>
      </c>
      <c r="AA82" s="423">
        <v>2050850.76</v>
      </c>
      <c r="AB82" s="423">
        <v>-51808.15</v>
      </c>
      <c r="AC82" s="423">
        <v>2034522.57</v>
      </c>
      <c r="AD82" s="423">
        <v>-169172.19</v>
      </c>
      <c r="AE82" s="423">
        <f t="shared" si="4"/>
        <v>2053367.3816666666</v>
      </c>
      <c r="AF82" s="423">
        <f t="shared" si="4"/>
        <v>-34433.140833333338</v>
      </c>
    </row>
    <row r="83" spans="1:32">
      <c r="A83" s="35">
        <v>75</v>
      </c>
      <c r="C83" s="6" t="s">
        <v>1866</v>
      </c>
      <c r="D83" s="6" t="str">
        <f t="shared" si="5"/>
        <v>00048</v>
      </c>
      <c r="E83" s="423">
        <v>545338.96</v>
      </c>
      <c r="F83" s="423">
        <v>127285.94</v>
      </c>
      <c r="G83" s="423">
        <v>546461.77</v>
      </c>
      <c r="H83" s="423">
        <v>128703.82</v>
      </c>
      <c r="I83" s="423">
        <v>546461.77</v>
      </c>
      <c r="J83" s="423">
        <v>130124.62000000001</v>
      </c>
      <c r="K83" s="423">
        <v>546461.77</v>
      </c>
      <c r="L83" s="423">
        <v>131545.42000000001</v>
      </c>
      <c r="M83" s="423">
        <v>546461.77</v>
      </c>
      <c r="N83" s="423">
        <v>132966.22</v>
      </c>
      <c r="O83" s="423">
        <v>579833.59</v>
      </c>
      <c r="P83" s="423">
        <v>134387.01999999999</v>
      </c>
      <c r="Q83" s="423">
        <v>579833.59</v>
      </c>
      <c r="R83" s="423">
        <v>135894.59</v>
      </c>
      <c r="S83" s="423">
        <v>579833.59</v>
      </c>
      <c r="T83" s="423">
        <v>137402.16</v>
      </c>
      <c r="U83" s="423">
        <v>579833.59</v>
      </c>
      <c r="V83" s="423">
        <v>138909.73000000001</v>
      </c>
      <c r="W83" s="423">
        <v>579833.59</v>
      </c>
      <c r="X83" s="423">
        <v>141167.30000000002</v>
      </c>
      <c r="Y83" s="423">
        <v>579833.59</v>
      </c>
      <c r="Z83" s="423">
        <v>142674.87</v>
      </c>
      <c r="AA83" s="423">
        <v>579833.59</v>
      </c>
      <c r="AB83" s="423">
        <v>144182.44</v>
      </c>
      <c r="AC83" s="423">
        <v>579833.59</v>
      </c>
      <c r="AD83" s="423">
        <v>145690.01</v>
      </c>
      <c r="AE83" s="423">
        <f t="shared" si="4"/>
        <v>567272.37374999991</v>
      </c>
      <c r="AF83" s="423">
        <f t="shared" si="4"/>
        <v>136203.84708333333</v>
      </c>
    </row>
    <row r="84" spans="1:32">
      <c r="A84" s="35">
        <v>76</v>
      </c>
      <c r="C84" s="6" t="s">
        <v>1867</v>
      </c>
      <c r="D84" s="6" t="str">
        <f t="shared" si="5"/>
        <v>00048</v>
      </c>
      <c r="E84" s="423">
        <v>201807.75</v>
      </c>
      <c r="F84" s="423">
        <v>102554</v>
      </c>
      <c r="G84" s="423">
        <v>201807.75</v>
      </c>
      <c r="H84" s="423">
        <v>103320.87</v>
      </c>
      <c r="I84" s="423">
        <v>201807.75</v>
      </c>
      <c r="J84" s="423">
        <v>104087.74</v>
      </c>
      <c r="K84" s="423">
        <v>201807.75</v>
      </c>
      <c r="L84" s="423">
        <v>104854.61</v>
      </c>
      <c r="M84" s="423">
        <v>201807.75</v>
      </c>
      <c r="N84" s="423">
        <v>105621.48</v>
      </c>
      <c r="O84" s="423">
        <v>201807.75</v>
      </c>
      <c r="P84" s="423">
        <v>106388.35</v>
      </c>
      <c r="Q84" s="423">
        <v>194646.76</v>
      </c>
      <c r="R84" s="423">
        <v>99994.23</v>
      </c>
      <c r="S84" s="423">
        <v>194646.76</v>
      </c>
      <c r="T84" s="423">
        <v>100733.89</v>
      </c>
      <c r="U84" s="423">
        <v>194646.76</v>
      </c>
      <c r="V84" s="423">
        <v>101473.55</v>
      </c>
      <c r="W84" s="423">
        <v>194646.76</v>
      </c>
      <c r="X84" s="423">
        <v>102213.21</v>
      </c>
      <c r="Y84" s="423">
        <v>194646.76</v>
      </c>
      <c r="Z84" s="423">
        <v>102952.87</v>
      </c>
      <c r="AA84" s="423">
        <v>194646.76</v>
      </c>
      <c r="AB84" s="423">
        <v>103692.53</v>
      </c>
      <c r="AC84" s="423">
        <v>194646.76</v>
      </c>
      <c r="AD84" s="423">
        <v>104432.19</v>
      </c>
      <c r="AE84" s="423">
        <f t="shared" si="4"/>
        <v>197928.88041666665</v>
      </c>
      <c r="AF84" s="423">
        <f t="shared" si="4"/>
        <v>103235.53541666665</v>
      </c>
    </row>
    <row r="85" spans="1:32">
      <c r="A85" s="35">
        <v>77</v>
      </c>
      <c r="C85" s="6" t="s">
        <v>1868</v>
      </c>
      <c r="D85" s="6" t="str">
        <f t="shared" si="5"/>
        <v>00048</v>
      </c>
      <c r="E85" s="423">
        <v>927395.86</v>
      </c>
      <c r="F85" s="423">
        <v>47660.840000000004</v>
      </c>
      <c r="G85" s="423">
        <v>924527.73</v>
      </c>
      <c r="H85" s="423">
        <v>52034.130000000005</v>
      </c>
      <c r="I85" s="423">
        <v>924527.73</v>
      </c>
      <c r="J85" s="423">
        <v>59253.15</v>
      </c>
      <c r="K85" s="423">
        <v>924527.73</v>
      </c>
      <c r="L85" s="423">
        <v>66472.17</v>
      </c>
      <c r="M85" s="423">
        <v>924527.73</v>
      </c>
      <c r="N85" s="423">
        <v>73691.19</v>
      </c>
      <c r="O85" s="423">
        <v>924527.73</v>
      </c>
      <c r="P85" s="423">
        <v>80910.210000000006</v>
      </c>
      <c r="Q85" s="423">
        <v>924527.73</v>
      </c>
      <c r="R85" s="423">
        <v>88129.23</v>
      </c>
      <c r="S85" s="423">
        <v>924527.73</v>
      </c>
      <c r="T85" s="423">
        <v>95348.25</v>
      </c>
      <c r="U85" s="423">
        <v>924527.73</v>
      </c>
      <c r="V85" s="423">
        <v>102567.27</v>
      </c>
      <c r="W85" s="423">
        <v>927875.3</v>
      </c>
      <c r="X85" s="423">
        <v>109786.29000000001</v>
      </c>
      <c r="Y85" s="423">
        <v>927875.3</v>
      </c>
      <c r="Z85" s="423">
        <v>117031.45</v>
      </c>
      <c r="AA85" s="423">
        <v>934040.91</v>
      </c>
      <c r="AB85" s="423">
        <v>124276.61</v>
      </c>
      <c r="AC85" s="423">
        <v>934040.91</v>
      </c>
      <c r="AD85" s="423">
        <v>131569.91</v>
      </c>
      <c r="AE85" s="423">
        <f t="shared" si="4"/>
        <v>926394.31125000014</v>
      </c>
      <c r="AF85" s="423">
        <f t="shared" si="4"/>
        <v>88259.610416666663</v>
      </c>
    </row>
    <row r="86" spans="1:32">
      <c r="A86" s="35">
        <v>78</v>
      </c>
      <c r="C86" s="6" t="s">
        <v>1869</v>
      </c>
      <c r="D86" s="6" t="str">
        <f t="shared" si="5"/>
        <v>00048</v>
      </c>
      <c r="E86" s="423">
        <v>3110302.22</v>
      </c>
      <c r="F86" s="423">
        <v>2475171.79</v>
      </c>
      <c r="G86" s="423">
        <v>3110302.22</v>
      </c>
      <c r="H86" s="423">
        <v>2475508.7400000002</v>
      </c>
      <c r="I86" s="423">
        <v>3110436.9</v>
      </c>
      <c r="J86" s="423">
        <v>2475845.69</v>
      </c>
      <c r="K86" s="423">
        <v>3111725.53</v>
      </c>
      <c r="L86" s="423">
        <v>2476182.65</v>
      </c>
      <c r="M86" s="423">
        <v>3111725.53</v>
      </c>
      <c r="N86" s="423">
        <v>2476519.75</v>
      </c>
      <c r="O86" s="423">
        <v>3111603.35</v>
      </c>
      <c r="P86" s="423">
        <v>2476856.85</v>
      </c>
      <c r="Q86" s="423">
        <v>3111603.35</v>
      </c>
      <c r="R86" s="423">
        <v>2477193.94</v>
      </c>
      <c r="S86" s="423">
        <v>3111603.35</v>
      </c>
      <c r="T86" s="423">
        <v>2477531.0300000003</v>
      </c>
      <c r="U86" s="423">
        <v>3117022.37</v>
      </c>
      <c r="V86" s="423">
        <v>2477868.12</v>
      </c>
      <c r="W86" s="423">
        <v>3121124.58</v>
      </c>
      <c r="X86" s="423">
        <v>2478205.7999999998</v>
      </c>
      <c r="Y86" s="423">
        <v>3121124.58</v>
      </c>
      <c r="Z86" s="423">
        <v>2478543.92</v>
      </c>
      <c r="AA86" s="423">
        <v>3121124.58</v>
      </c>
      <c r="AB86" s="423">
        <v>2478882.04</v>
      </c>
      <c r="AC86" s="423">
        <v>3154329.2</v>
      </c>
      <c r="AD86" s="423">
        <v>2479220.16</v>
      </c>
      <c r="AE86" s="423">
        <f t="shared" si="4"/>
        <v>3115976.0041666664</v>
      </c>
      <c r="AF86" s="423">
        <f t="shared" si="4"/>
        <v>2477194.5420833337</v>
      </c>
    </row>
    <row r="87" spans="1:32">
      <c r="A87" s="35">
        <v>79</v>
      </c>
      <c r="C87" s="6" t="s">
        <v>1870</v>
      </c>
      <c r="D87" s="6" t="str">
        <f t="shared" si="5"/>
        <v>00048</v>
      </c>
      <c r="E87" s="423">
        <v>550206.34</v>
      </c>
      <c r="F87" s="423">
        <v>320770.28000000003</v>
      </c>
      <c r="G87" s="423">
        <v>550206.34</v>
      </c>
      <c r="H87" s="423">
        <v>324979.36</v>
      </c>
      <c r="I87" s="423">
        <v>550206.34</v>
      </c>
      <c r="J87" s="423">
        <v>329188.44</v>
      </c>
      <c r="K87" s="423">
        <v>550206.34</v>
      </c>
      <c r="L87" s="423">
        <v>333397.52</v>
      </c>
      <c r="M87" s="423">
        <v>550206.34</v>
      </c>
      <c r="N87" s="423">
        <v>337606.60000000003</v>
      </c>
      <c r="O87" s="423">
        <v>550206.34</v>
      </c>
      <c r="P87" s="423">
        <v>341815.68</v>
      </c>
      <c r="Q87" s="423">
        <v>525951.92000000004</v>
      </c>
      <c r="R87" s="423">
        <v>321770.34000000003</v>
      </c>
      <c r="S87" s="423">
        <v>525951.92000000004</v>
      </c>
      <c r="T87" s="423">
        <v>325793.87</v>
      </c>
      <c r="U87" s="423">
        <v>525951.92000000004</v>
      </c>
      <c r="V87" s="423">
        <v>329817.40000000002</v>
      </c>
      <c r="W87" s="423">
        <v>525951.92000000004</v>
      </c>
      <c r="X87" s="423">
        <v>333840.93</v>
      </c>
      <c r="Y87" s="423">
        <v>525951.92000000004</v>
      </c>
      <c r="Z87" s="423">
        <v>337864.46</v>
      </c>
      <c r="AA87" s="423">
        <v>525951.92000000004</v>
      </c>
      <c r="AB87" s="423">
        <v>341887.99</v>
      </c>
      <c r="AC87" s="423">
        <v>525951.92000000004</v>
      </c>
      <c r="AD87" s="423">
        <v>345911.52</v>
      </c>
      <c r="AE87" s="423">
        <f t="shared" si="4"/>
        <v>537068.52916666667</v>
      </c>
      <c r="AF87" s="423">
        <f t="shared" si="4"/>
        <v>332608.62416666665</v>
      </c>
    </row>
    <row r="88" spans="1:32">
      <c r="A88" s="35">
        <v>80</v>
      </c>
      <c r="C88" s="6" t="s">
        <v>1871</v>
      </c>
      <c r="D88" s="6" t="str">
        <f t="shared" si="5"/>
        <v>00048</v>
      </c>
      <c r="E88" s="423">
        <v>10888.06</v>
      </c>
      <c r="F88" s="423">
        <v>-4395.76</v>
      </c>
      <c r="G88" s="423">
        <v>10888.06</v>
      </c>
      <c r="H88" s="423">
        <v>-4300.3999999999996</v>
      </c>
      <c r="I88" s="423">
        <v>10888.06</v>
      </c>
      <c r="J88" s="423">
        <v>-4205.04</v>
      </c>
      <c r="K88" s="423">
        <v>10888.06</v>
      </c>
      <c r="L88" s="423">
        <v>-4109.68</v>
      </c>
      <c r="M88" s="423">
        <v>10888.06</v>
      </c>
      <c r="N88" s="423">
        <v>-4014.32</v>
      </c>
      <c r="O88" s="423">
        <v>12985.710000000001</v>
      </c>
      <c r="P88" s="423">
        <v>-3918.96</v>
      </c>
      <c r="Q88" s="423">
        <v>12985.710000000001</v>
      </c>
      <c r="R88" s="423">
        <v>-3805.23</v>
      </c>
      <c r="S88" s="423">
        <v>12985.710000000001</v>
      </c>
      <c r="T88" s="423">
        <v>-3691.5</v>
      </c>
      <c r="U88" s="423">
        <v>12985.710000000001</v>
      </c>
      <c r="V88" s="423">
        <v>-3577.77</v>
      </c>
      <c r="W88" s="423">
        <v>12985.710000000001</v>
      </c>
      <c r="X88" s="423">
        <v>-3464.04</v>
      </c>
      <c r="Y88" s="423">
        <v>12985.710000000001</v>
      </c>
      <c r="Z88" s="423">
        <v>-3350.31</v>
      </c>
      <c r="AA88" s="423">
        <v>12985.710000000001</v>
      </c>
      <c r="AB88" s="423">
        <v>-3236.58</v>
      </c>
      <c r="AC88" s="423">
        <v>12985.710000000001</v>
      </c>
      <c r="AD88" s="423">
        <v>-3122.85</v>
      </c>
      <c r="AE88" s="423">
        <f t="shared" si="4"/>
        <v>12199.091250000003</v>
      </c>
      <c r="AF88" s="423">
        <f t="shared" si="4"/>
        <v>-3786.094583333333</v>
      </c>
    </row>
    <row r="89" spans="1:32">
      <c r="A89" s="35">
        <v>81</v>
      </c>
      <c r="B89" s="425" t="s">
        <v>112</v>
      </c>
      <c r="C89" s="426"/>
      <c r="D89" s="425" t="s">
        <v>1872</v>
      </c>
      <c r="E89" s="427">
        <f t="shared" ref="E89:AF89" si="6">SUBTOTAL(9,E48:E88)</f>
        <v>576210019.71000016</v>
      </c>
      <c r="F89" s="427">
        <f t="shared" si="6"/>
        <v>304692694.86999989</v>
      </c>
      <c r="G89" s="427">
        <f t="shared" si="6"/>
        <v>577681602.6400001</v>
      </c>
      <c r="H89" s="427">
        <f t="shared" si="6"/>
        <v>309480837.00000012</v>
      </c>
      <c r="I89" s="427">
        <f t="shared" si="6"/>
        <v>578887129.49000013</v>
      </c>
      <c r="J89" s="427">
        <f t="shared" si="6"/>
        <v>310705295.72999996</v>
      </c>
      <c r="K89" s="427">
        <f t="shared" si="6"/>
        <v>580920985.41999996</v>
      </c>
      <c r="L89" s="427">
        <f t="shared" si="6"/>
        <v>311239204.5999999</v>
      </c>
      <c r="M89" s="427">
        <f t="shared" si="6"/>
        <v>583272418.28999996</v>
      </c>
      <c r="N89" s="427">
        <f t="shared" si="6"/>
        <v>312471439.2100001</v>
      </c>
      <c r="O89" s="427">
        <f t="shared" si="6"/>
        <v>584216840.6500001</v>
      </c>
      <c r="P89" s="427">
        <f t="shared" si="6"/>
        <v>313749995.52000004</v>
      </c>
      <c r="Q89" s="427">
        <f t="shared" si="6"/>
        <v>585599739.0799998</v>
      </c>
      <c r="R89" s="427">
        <f t="shared" si="6"/>
        <v>314596173.39999992</v>
      </c>
      <c r="S89" s="427">
        <f t="shared" si="6"/>
        <v>588618364.70000005</v>
      </c>
      <c r="T89" s="427">
        <f t="shared" si="6"/>
        <v>315768871.25</v>
      </c>
      <c r="U89" s="427">
        <f t="shared" si="6"/>
        <v>598832328.44999993</v>
      </c>
      <c r="V89" s="427">
        <f t="shared" si="6"/>
        <v>316875748.73000002</v>
      </c>
      <c r="W89" s="427">
        <f t="shared" si="6"/>
        <v>601967532.84999979</v>
      </c>
      <c r="X89" s="427">
        <f t="shared" si="6"/>
        <v>317897034.14999998</v>
      </c>
      <c r="Y89" s="427">
        <f t="shared" si="6"/>
        <v>607446404.66999972</v>
      </c>
      <c r="Z89" s="427">
        <f t="shared" si="6"/>
        <v>319107740.81999993</v>
      </c>
      <c r="AA89" s="427">
        <f t="shared" si="6"/>
        <v>608700709.48999977</v>
      </c>
      <c r="AB89" s="427">
        <f t="shared" si="6"/>
        <v>320289045.50000006</v>
      </c>
      <c r="AC89" s="427">
        <f t="shared" si="6"/>
        <v>614373017.27999997</v>
      </c>
      <c r="AD89" s="427">
        <f t="shared" si="6"/>
        <v>321296055.43999994</v>
      </c>
      <c r="AE89" s="427">
        <f t="shared" si="6"/>
        <v>590952964.51874983</v>
      </c>
      <c r="AF89" s="427">
        <f t="shared" si="6"/>
        <v>314597980.08874995</v>
      </c>
    </row>
    <row r="90" spans="1:32">
      <c r="A90" s="35">
        <v>82</v>
      </c>
      <c r="B90" s="421" t="s">
        <v>1873</v>
      </c>
      <c r="C90" s="421" t="s">
        <v>1874</v>
      </c>
      <c r="D90" s="428"/>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row>
    <row r="91" spans="1:32">
      <c r="A91" s="35">
        <v>83</v>
      </c>
      <c r="C91" s="6" t="s">
        <v>1875</v>
      </c>
      <c r="D91" s="6" t="str">
        <f>RIGHT(C91,5)</f>
        <v>00100</v>
      </c>
      <c r="E91" s="423">
        <v>152066.08000000002</v>
      </c>
      <c r="F91" s="423">
        <v>0</v>
      </c>
      <c r="G91" s="423">
        <v>152066.08000000002</v>
      </c>
      <c r="H91" s="423">
        <v>0</v>
      </c>
      <c r="I91" s="423">
        <v>152066.08000000002</v>
      </c>
      <c r="J91" s="423">
        <v>0</v>
      </c>
      <c r="K91" s="423">
        <v>152066.08000000002</v>
      </c>
      <c r="L91" s="423">
        <v>0</v>
      </c>
      <c r="M91" s="423">
        <v>152066.08000000002</v>
      </c>
      <c r="N91" s="423">
        <v>0</v>
      </c>
      <c r="O91" s="423">
        <v>152066.08000000002</v>
      </c>
      <c r="P91" s="423">
        <v>0</v>
      </c>
      <c r="Q91" s="423">
        <v>152066.08000000002</v>
      </c>
      <c r="R91" s="423">
        <v>0</v>
      </c>
      <c r="S91" s="423">
        <v>152066.08000000002</v>
      </c>
      <c r="T91" s="423">
        <v>0</v>
      </c>
      <c r="U91" s="423">
        <v>152066.08000000002</v>
      </c>
      <c r="V91" s="423">
        <v>0</v>
      </c>
      <c r="W91" s="423">
        <v>152066.08000000002</v>
      </c>
      <c r="X91" s="423">
        <v>0</v>
      </c>
      <c r="Y91" s="423">
        <v>152066.08000000002</v>
      </c>
      <c r="Z91" s="423">
        <v>0</v>
      </c>
      <c r="AA91" s="423">
        <v>152066.08000000002</v>
      </c>
      <c r="AB91" s="423">
        <v>0</v>
      </c>
      <c r="AC91" s="423">
        <v>152066.08000000002</v>
      </c>
      <c r="AD91" s="423">
        <v>0</v>
      </c>
      <c r="AE91" s="423">
        <f t="shared" ref="AE91:AF129" si="7">+(E91+AC91+(+G91+I91+K91+M91+O91+Q91+S91+U91+W91+Y91+AA91)*2)/24</f>
        <v>152066.08000000005</v>
      </c>
      <c r="AF91" s="423">
        <f t="shared" si="7"/>
        <v>0</v>
      </c>
    </row>
    <row r="92" spans="1:32">
      <c r="A92" s="35">
        <v>84</v>
      </c>
      <c r="C92" s="6" t="s">
        <v>1876</v>
      </c>
      <c r="D92" s="424" t="s">
        <v>1877</v>
      </c>
      <c r="E92" s="423">
        <v>0</v>
      </c>
      <c r="F92" s="423">
        <v>0</v>
      </c>
      <c r="G92" s="423">
        <v>0</v>
      </c>
      <c r="H92" s="423">
        <v>0</v>
      </c>
      <c r="I92" s="423">
        <v>0</v>
      </c>
      <c r="J92" s="423">
        <v>0</v>
      </c>
      <c r="K92" s="423">
        <v>0</v>
      </c>
      <c r="L92" s="423">
        <v>0</v>
      </c>
      <c r="M92" s="423">
        <v>0</v>
      </c>
      <c r="N92" s="423">
        <v>0</v>
      </c>
      <c r="O92" s="423">
        <v>0</v>
      </c>
      <c r="P92" s="423">
        <v>0</v>
      </c>
      <c r="Q92" s="423">
        <v>0</v>
      </c>
      <c r="R92" s="423">
        <v>0</v>
      </c>
      <c r="S92" s="423">
        <v>1826757.9</v>
      </c>
      <c r="T92" s="423">
        <v>578418.15</v>
      </c>
      <c r="U92" s="423">
        <v>1826757.9</v>
      </c>
      <c r="V92" s="423">
        <v>593641.13</v>
      </c>
      <c r="W92" s="423">
        <v>1826757.9</v>
      </c>
      <c r="X92" s="423">
        <v>608864.11</v>
      </c>
      <c r="Y92" s="423">
        <v>1826757.9</v>
      </c>
      <c r="Z92" s="423">
        <v>624087.09</v>
      </c>
      <c r="AA92" s="423">
        <v>1826757.9</v>
      </c>
      <c r="AB92" s="423">
        <v>639310.07000000007</v>
      </c>
      <c r="AC92" s="423">
        <v>1826757.9</v>
      </c>
      <c r="AD92" s="423">
        <v>654533.05000000005</v>
      </c>
      <c r="AE92" s="423">
        <f t="shared" si="7"/>
        <v>837264.03749999998</v>
      </c>
      <c r="AF92" s="423">
        <f t="shared" si="7"/>
        <v>280965.58958333329</v>
      </c>
    </row>
    <row r="93" spans="1:32">
      <c r="A93" s="35">
        <v>85</v>
      </c>
      <c r="C93" s="6" t="s">
        <v>1878</v>
      </c>
      <c r="D93" s="424" t="s">
        <v>1877</v>
      </c>
      <c r="E93" s="423">
        <v>0</v>
      </c>
      <c r="F93" s="423">
        <v>0</v>
      </c>
      <c r="G93" s="423">
        <v>0</v>
      </c>
      <c r="H93" s="423">
        <v>0</v>
      </c>
      <c r="I93" s="423">
        <v>0</v>
      </c>
      <c r="J93" s="423">
        <v>0</v>
      </c>
      <c r="K93" s="423">
        <v>0</v>
      </c>
      <c r="L93" s="423">
        <v>0</v>
      </c>
      <c r="M93" s="423">
        <v>0</v>
      </c>
      <c r="N93" s="423">
        <v>0</v>
      </c>
      <c r="O93" s="423">
        <v>0</v>
      </c>
      <c r="P93" s="423">
        <v>0</v>
      </c>
      <c r="Q93" s="423">
        <v>0</v>
      </c>
      <c r="R93" s="423">
        <v>0</v>
      </c>
      <c r="S93" s="423">
        <v>2070368.79</v>
      </c>
      <c r="T93" s="423">
        <v>183036.69</v>
      </c>
      <c r="U93" s="423">
        <v>2070368.79</v>
      </c>
      <c r="V93" s="423">
        <v>200289.76</v>
      </c>
      <c r="W93" s="423">
        <v>2070368.79</v>
      </c>
      <c r="X93" s="423">
        <v>217542.83000000002</v>
      </c>
      <c r="Y93" s="423">
        <v>2070368.79</v>
      </c>
      <c r="Z93" s="423">
        <v>234795.9</v>
      </c>
      <c r="AA93" s="423">
        <v>2076102.74</v>
      </c>
      <c r="AB93" s="423">
        <v>252611.99000000002</v>
      </c>
      <c r="AC93" s="423">
        <v>2077384.42</v>
      </c>
      <c r="AD93" s="423">
        <v>269912.84999999998</v>
      </c>
      <c r="AE93" s="423">
        <f t="shared" si="7"/>
        <v>949689.17583333328</v>
      </c>
      <c r="AF93" s="423">
        <f t="shared" si="7"/>
        <v>101936.13291666668</v>
      </c>
    </row>
    <row r="94" spans="1:32">
      <c r="A94" s="35">
        <v>86</v>
      </c>
      <c r="C94" s="6" t="s">
        <v>1879</v>
      </c>
      <c r="D94" s="424" t="s">
        <v>1877</v>
      </c>
      <c r="E94" s="423">
        <v>0</v>
      </c>
      <c r="F94" s="423">
        <v>0</v>
      </c>
      <c r="G94" s="423">
        <v>0</v>
      </c>
      <c r="H94" s="423">
        <v>0</v>
      </c>
      <c r="I94" s="423">
        <v>0</v>
      </c>
      <c r="J94" s="423">
        <v>0</v>
      </c>
      <c r="K94" s="423">
        <v>0</v>
      </c>
      <c r="L94" s="423">
        <v>0</v>
      </c>
      <c r="M94" s="423">
        <v>0</v>
      </c>
      <c r="N94" s="423">
        <v>0</v>
      </c>
      <c r="O94" s="423">
        <v>0</v>
      </c>
      <c r="P94" s="423">
        <v>0</v>
      </c>
      <c r="Q94" s="423">
        <v>0</v>
      </c>
      <c r="R94" s="423">
        <v>0</v>
      </c>
      <c r="S94" s="423">
        <v>0</v>
      </c>
      <c r="T94" s="423">
        <v>0</v>
      </c>
      <c r="U94" s="423">
        <v>0</v>
      </c>
      <c r="V94" s="423">
        <v>0</v>
      </c>
      <c r="W94" s="423">
        <v>0</v>
      </c>
      <c r="X94" s="423">
        <v>0</v>
      </c>
      <c r="Y94" s="423">
        <v>0</v>
      </c>
      <c r="Z94" s="423">
        <v>0</v>
      </c>
      <c r="AA94" s="423">
        <v>0</v>
      </c>
      <c r="AB94" s="423">
        <v>0</v>
      </c>
      <c r="AC94" s="423">
        <v>0</v>
      </c>
      <c r="AD94" s="423">
        <v>0</v>
      </c>
      <c r="AE94" s="423">
        <f t="shared" si="7"/>
        <v>0</v>
      </c>
      <c r="AF94" s="423">
        <f t="shared" si="7"/>
        <v>0</v>
      </c>
    </row>
    <row r="95" spans="1:32">
      <c r="A95" s="35">
        <v>87</v>
      </c>
      <c r="C95" s="6" t="s">
        <v>1880</v>
      </c>
      <c r="D95" s="424" t="s">
        <v>1877</v>
      </c>
      <c r="E95" s="423">
        <v>0</v>
      </c>
      <c r="F95" s="423">
        <v>0</v>
      </c>
      <c r="G95" s="423">
        <v>0</v>
      </c>
      <c r="H95" s="423">
        <v>0</v>
      </c>
      <c r="I95" s="423">
        <v>0</v>
      </c>
      <c r="J95" s="423">
        <v>0</v>
      </c>
      <c r="K95" s="423">
        <v>0</v>
      </c>
      <c r="L95" s="423">
        <v>0</v>
      </c>
      <c r="M95" s="423">
        <v>0</v>
      </c>
      <c r="N95" s="423">
        <v>0</v>
      </c>
      <c r="O95" s="423">
        <v>0</v>
      </c>
      <c r="P95" s="423">
        <v>0</v>
      </c>
      <c r="Q95" s="423">
        <v>0</v>
      </c>
      <c r="R95" s="423">
        <v>0</v>
      </c>
      <c r="S95" s="423">
        <v>4188146.93</v>
      </c>
      <c r="T95" s="423">
        <v>1247308.1499999999</v>
      </c>
      <c r="U95" s="423">
        <v>4188146.93</v>
      </c>
      <c r="V95" s="423">
        <v>1274147.19</v>
      </c>
      <c r="W95" s="423">
        <v>4188146.93</v>
      </c>
      <c r="X95" s="423">
        <v>1300986.23</v>
      </c>
      <c r="Y95" s="423">
        <v>4188146.93</v>
      </c>
      <c r="Z95" s="423">
        <v>1327825.27</v>
      </c>
      <c r="AA95" s="423">
        <v>4188146.93</v>
      </c>
      <c r="AB95" s="423">
        <v>1354664.31</v>
      </c>
      <c r="AC95" s="423">
        <v>4188146.93</v>
      </c>
      <c r="AD95" s="423">
        <v>1381503.35</v>
      </c>
      <c r="AE95" s="423">
        <f t="shared" si="7"/>
        <v>1919567.3429166668</v>
      </c>
      <c r="AF95" s="423">
        <f t="shared" si="7"/>
        <v>599640.23541666672</v>
      </c>
    </row>
    <row r="96" spans="1:32">
      <c r="A96" s="35">
        <v>88</v>
      </c>
      <c r="C96" s="6" t="s">
        <v>1881</v>
      </c>
      <c r="D96" s="424" t="s">
        <v>1877</v>
      </c>
      <c r="E96" s="423">
        <v>0</v>
      </c>
      <c r="F96" s="423">
        <v>0</v>
      </c>
      <c r="G96" s="423">
        <v>0</v>
      </c>
      <c r="H96" s="423">
        <v>0</v>
      </c>
      <c r="I96" s="423">
        <v>0</v>
      </c>
      <c r="J96" s="423">
        <v>0</v>
      </c>
      <c r="K96" s="423">
        <v>0</v>
      </c>
      <c r="L96" s="423">
        <v>0</v>
      </c>
      <c r="M96" s="423">
        <v>0</v>
      </c>
      <c r="N96" s="423">
        <v>0</v>
      </c>
      <c r="O96" s="423">
        <v>0</v>
      </c>
      <c r="P96" s="423">
        <v>0</v>
      </c>
      <c r="Q96" s="423">
        <v>0</v>
      </c>
      <c r="R96" s="423">
        <v>0</v>
      </c>
      <c r="S96" s="423">
        <v>695173.17</v>
      </c>
      <c r="T96" s="423">
        <v>266316</v>
      </c>
      <c r="U96" s="423">
        <v>695173.17</v>
      </c>
      <c r="V96" s="423">
        <v>270452.28000000003</v>
      </c>
      <c r="W96" s="423">
        <v>695173.17</v>
      </c>
      <c r="X96" s="423">
        <v>274588.56</v>
      </c>
      <c r="Y96" s="423">
        <v>695173.17</v>
      </c>
      <c r="Z96" s="423">
        <v>278724.84000000003</v>
      </c>
      <c r="AA96" s="423">
        <v>695173.17</v>
      </c>
      <c r="AB96" s="423">
        <v>282861.12</v>
      </c>
      <c r="AC96" s="423">
        <v>695173.17</v>
      </c>
      <c r="AD96" s="423">
        <v>286997.40000000002</v>
      </c>
      <c r="AE96" s="423">
        <f t="shared" si="7"/>
        <v>318621.03625</v>
      </c>
      <c r="AF96" s="423">
        <f t="shared" si="7"/>
        <v>126370.12500000001</v>
      </c>
    </row>
    <row r="97" spans="1:32">
      <c r="A97" s="35">
        <v>89</v>
      </c>
      <c r="C97" s="6" t="s">
        <v>1882</v>
      </c>
      <c r="D97" s="424" t="s">
        <v>1877</v>
      </c>
      <c r="E97" s="423">
        <v>0</v>
      </c>
      <c r="F97" s="423">
        <v>0</v>
      </c>
      <c r="G97" s="423">
        <v>0</v>
      </c>
      <c r="H97" s="423">
        <v>0</v>
      </c>
      <c r="I97" s="423">
        <v>0</v>
      </c>
      <c r="J97" s="423">
        <v>0</v>
      </c>
      <c r="K97" s="423">
        <v>0</v>
      </c>
      <c r="L97" s="423">
        <v>0</v>
      </c>
      <c r="M97" s="423">
        <v>0</v>
      </c>
      <c r="N97" s="423">
        <v>0</v>
      </c>
      <c r="O97" s="423">
        <v>0</v>
      </c>
      <c r="P97" s="423">
        <v>0</v>
      </c>
      <c r="Q97" s="423">
        <v>0</v>
      </c>
      <c r="R97" s="423">
        <v>0</v>
      </c>
      <c r="S97" s="423">
        <v>2037970.86</v>
      </c>
      <c r="T97" s="423">
        <v>705285.65</v>
      </c>
      <c r="U97" s="423">
        <v>2037970.86</v>
      </c>
      <c r="V97" s="423">
        <v>717411.58</v>
      </c>
      <c r="W97" s="423">
        <v>2037970.86</v>
      </c>
      <c r="X97" s="423">
        <v>729537.51</v>
      </c>
      <c r="Y97" s="423">
        <v>2037970.86</v>
      </c>
      <c r="Z97" s="423">
        <v>741663.44000000006</v>
      </c>
      <c r="AA97" s="423">
        <v>2037970.86</v>
      </c>
      <c r="AB97" s="423">
        <v>753789.37</v>
      </c>
      <c r="AC97" s="423">
        <v>2037970.86</v>
      </c>
      <c r="AD97" s="423">
        <v>765915.3</v>
      </c>
      <c r="AE97" s="423">
        <f t="shared" si="7"/>
        <v>934069.97750000004</v>
      </c>
      <c r="AF97" s="423">
        <f t="shared" si="7"/>
        <v>335887.10000000003</v>
      </c>
    </row>
    <row r="98" spans="1:32">
      <c r="A98" s="35">
        <v>90</v>
      </c>
      <c r="C98" s="6" t="s">
        <v>1883</v>
      </c>
      <c r="D98" s="424" t="s">
        <v>1877</v>
      </c>
      <c r="E98" s="423">
        <v>0</v>
      </c>
      <c r="F98" s="423">
        <v>0</v>
      </c>
      <c r="G98" s="423">
        <v>0</v>
      </c>
      <c r="H98" s="423">
        <v>0</v>
      </c>
      <c r="I98" s="423">
        <v>0</v>
      </c>
      <c r="J98" s="423">
        <v>0</v>
      </c>
      <c r="K98" s="423">
        <v>0</v>
      </c>
      <c r="L98" s="423">
        <v>0</v>
      </c>
      <c r="M98" s="423">
        <v>0</v>
      </c>
      <c r="N98" s="423">
        <v>0</v>
      </c>
      <c r="O98" s="423">
        <v>0</v>
      </c>
      <c r="P98" s="423">
        <v>0</v>
      </c>
      <c r="Q98" s="423">
        <v>0</v>
      </c>
      <c r="R98" s="423">
        <v>0</v>
      </c>
      <c r="S98" s="423">
        <v>17063587.219999999</v>
      </c>
      <c r="T98" s="423">
        <v>5112326.0599999996</v>
      </c>
      <c r="U98" s="423">
        <v>17063587.219999999</v>
      </c>
      <c r="V98" s="423">
        <v>5207171.17</v>
      </c>
      <c r="W98" s="423">
        <v>17063587.219999999</v>
      </c>
      <c r="X98" s="423">
        <v>5302016.28</v>
      </c>
      <c r="Y98" s="423">
        <v>17063587.219999999</v>
      </c>
      <c r="Z98" s="423">
        <v>5396861.3899999997</v>
      </c>
      <c r="AA98" s="423">
        <v>17063587.219999999</v>
      </c>
      <c r="AB98" s="423">
        <v>5491706.5</v>
      </c>
      <c r="AC98" s="423">
        <v>17063587.219999999</v>
      </c>
      <c r="AD98" s="423">
        <v>5586551.6100000003</v>
      </c>
      <c r="AE98" s="423">
        <f t="shared" si="7"/>
        <v>7820810.8091666661</v>
      </c>
      <c r="AF98" s="423">
        <f t="shared" si="7"/>
        <v>2441946.4337500003</v>
      </c>
    </row>
    <row r="99" spans="1:32">
      <c r="A99" s="35">
        <v>91</v>
      </c>
      <c r="C99" s="6" t="s">
        <v>1884</v>
      </c>
      <c r="D99" s="424" t="s">
        <v>1877</v>
      </c>
      <c r="E99" s="423">
        <v>0</v>
      </c>
      <c r="F99" s="423">
        <v>0</v>
      </c>
      <c r="G99" s="423">
        <v>0</v>
      </c>
      <c r="H99" s="423">
        <v>0</v>
      </c>
      <c r="I99" s="423">
        <v>0</v>
      </c>
      <c r="J99" s="423">
        <v>0</v>
      </c>
      <c r="K99" s="423">
        <v>0</v>
      </c>
      <c r="L99" s="423">
        <v>0</v>
      </c>
      <c r="M99" s="423">
        <v>0</v>
      </c>
      <c r="N99" s="423">
        <v>0</v>
      </c>
      <c r="O99" s="423">
        <v>0</v>
      </c>
      <c r="P99" s="423">
        <v>0</v>
      </c>
      <c r="Q99" s="423">
        <v>0</v>
      </c>
      <c r="R99" s="423">
        <v>0</v>
      </c>
      <c r="S99" s="423">
        <v>541240.59</v>
      </c>
      <c r="T99" s="423">
        <v>137962.07</v>
      </c>
      <c r="U99" s="423">
        <v>541240.59</v>
      </c>
      <c r="V99" s="423">
        <v>140970.47</v>
      </c>
      <c r="W99" s="423">
        <v>541240.59</v>
      </c>
      <c r="X99" s="423">
        <v>143978.87</v>
      </c>
      <c r="Y99" s="423">
        <v>541240.59</v>
      </c>
      <c r="Z99" s="423">
        <v>146987.26999999999</v>
      </c>
      <c r="AA99" s="423">
        <v>541240.59</v>
      </c>
      <c r="AB99" s="423">
        <v>149995.67000000001</v>
      </c>
      <c r="AC99" s="423">
        <v>541240.59</v>
      </c>
      <c r="AD99" s="423">
        <v>153004.07</v>
      </c>
      <c r="AE99" s="423">
        <f t="shared" si="7"/>
        <v>248068.60374999998</v>
      </c>
      <c r="AF99" s="423">
        <f t="shared" si="7"/>
        <v>66366.365416666682</v>
      </c>
    </row>
    <row r="100" spans="1:32">
      <c r="A100" s="35">
        <v>92</v>
      </c>
      <c r="C100" s="6" t="s">
        <v>1885</v>
      </c>
      <c r="D100" s="424" t="s">
        <v>1877</v>
      </c>
      <c r="E100" s="423">
        <v>0</v>
      </c>
      <c r="F100" s="423">
        <v>0</v>
      </c>
      <c r="G100" s="423">
        <v>0</v>
      </c>
      <c r="H100" s="423">
        <v>0</v>
      </c>
      <c r="I100" s="423">
        <v>0</v>
      </c>
      <c r="J100" s="423">
        <v>0</v>
      </c>
      <c r="K100" s="423">
        <v>0</v>
      </c>
      <c r="L100" s="423">
        <v>0</v>
      </c>
      <c r="M100" s="423">
        <v>0</v>
      </c>
      <c r="N100" s="423">
        <v>0</v>
      </c>
      <c r="O100" s="423">
        <v>0</v>
      </c>
      <c r="P100" s="423">
        <v>0</v>
      </c>
      <c r="Q100" s="423">
        <v>0</v>
      </c>
      <c r="R100" s="423">
        <v>0</v>
      </c>
      <c r="S100" s="423">
        <v>7720.22</v>
      </c>
      <c r="T100" s="423">
        <v>7720.22</v>
      </c>
      <c r="U100" s="423">
        <v>7720.22</v>
      </c>
      <c r="V100" s="423">
        <v>7720.22</v>
      </c>
      <c r="W100" s="423">
        <v>7720.22</v>
      </c>
      <c r="X100" s="423">
        <v>7720.22</v>
      </c>
      <c r="Y100" s="423">
        <v>7720.22</v>
      </c>
      <c r="Z100" s="423">
        <v>7720.22</v>
      </c>
      <c r="AA100" s="423">
        <v>7720.22</v>
      </c>
      <c r="AB100" s="423">
        <v>7720.22</v>
      </c>
      <c r="AC100" s="423">
        <v>7720.22</v>
      </c>
      <c r="AD100" s="423">
        <v>7720.22</v>
      </c>
      <c r="AE100" s="423">
        <f t="shared" si="7"/>
        <v>3538.4341666666664</v>
      </c>
      <c r="AF100" s="423">
        <f t="shared" si="7"/>
        <v>3538.4341666666664</v>
      </c>
    </row>
    <row r="101" spans="1:32">
      <c r="A101" s="35">
        <v>93</v>
      </c>
      <c r="C101" s="6" t="s">
        <v>1886</v>
      </c>
      <c r="D101" s="424" t="s">
        <v>1877</v>
      </c>
      <c r="E101" s="423">
        <v>0</v>
      </c>
      <c r="F101" s="423">
        <v>0</v>
      </c>
      <c r="G101" s="423">
        <v>0</v>
      </c>
      <c r="H101" s="423">
        <v>0</v>
      </c>
      <c r="I101" s="423">
        <v>0</v>
      </c>
      <c r="J101" s="423">
        <v>0</v>
      </c>
      <c r="K101" s="423">
        <v>0</v>
      </c>
      <c r="L101" s="423">
        <v>0</v>
      </c>
      <c r="M101" s="423">
        <v>0</v>
      </c>
      <c r="N101" s="423">
        <v>0</v>
      </c>
      <c r="O101" s="423">
        <v>0</v>
      </c>
      <c r="P101" s="423">
        <v>0</v>
      </c>
      <c r="Q101" s="423">
        <v>0</v>
      </c>
      <c r="R101" s="423">
        <v>0</v>
      </c>
      <c r="S101" s="423">
        <v>14271.5</v>
      </c>
      <c r="T101" s="423">
        <v>13082.23</v>
      </c>
      <c r="U101" s="423">
        <v>14271.5</v>
      </c>
      <c r="V101" s="423">
        <v>13320.09</v>
      </c>
      <c r="W101" s="423">
        <v>14271.5</v>
      </c>
      <c r="X101" s="423">
        <v>13557.95</v>
      </c>
      <c r="Y101" s="423">
        <v>14271.5</v>
      </c>
      <c r="Z101" s="423">
        <v>13795.81</v>
      </c>
      <c r="AA101" s="423">
        <v>14271.5</v>
      </c>
      <c r="AB101" s="423">
        <v>14033.67</v>
      </c>
      <c r="AC101" s="423">
        <v>14271.5</v>
      </c>
      <c r="AD101" s="423">
        <v>14271.5</v>
      </c>
      <c r="AE101" s="423">
        <f t="shared" si="7"/>
        <v>6541.104166666667</v>
      </c>
      <c r="AF101" s="423">
        <f t="shared" si="7"/>
        <v>6243.791666666667</v>
      </c>
    </row>
    <row r="102" spans="1:32">
      <c r="A102" s="35">
        <v>94</v>
      </c>
      <c r="C102" s="6" t="s">
        <v>1887</v>
      </c>
      <c r="D102" s="424" t="s">
        <v>1877</v>
      </c>
      <c r="E102" s="423">
        <v>0</v>
      </c>
      <c r="F102" s="423">
        <v>0</v>
      </c>
      <c r="G102" s="423">
        <v>0</v>
      </c>
      <c r="H102" s="423">
        <v>0</v>
      </c>
      <c r="I102" s="423">
        <v>0</v>
      </c>
      <c r="J102" s="423">
        <v>0</v>
      </c>
      <c r="K102" s="423">
        <v>0</v>
      </c>
      <c r="L102" s="423">
        <v>0</v>
      </c>
      <c r="M102" s="423">
        <v>0</v>
      </c>
      <c r="N102" s="423">
        <v>0</v>
      </c>
      <c r="O102" s="423">
        <v>0</v>
      </c>
      <c r="P102" s="423">
        <v>0</v>
      </c>
      <c r="Q102" s="423">
        <v>0</v>
      </c>
      <c r="R102" s="423">
        <v>0</v>
      </c>
      <c r="S102" s="423">
        <v>131168.49</v>
      </c>
      <c r="T102" s="423">
        <v>70938.94</v>
      </c>
      <c r="U102" s="423">
        <v>131168.49</v>
      </c>
      <c r="V102" s="423">
        <v>72500.94</v>
      </c>
      <c r="W102" s="423">
        <v>131168.49</v>
      </c>
      <c r="X102" s="423">
        <v>74062.94</v>
      </c>
      <c r="Y102" s="423">
        <v>131168.49</v>
      </c>
      <c r="Z102" s="423">
        <v>75624.94</v>
      </c>
      <c r="AA102" s="423">
        <v>131168.49</v>
      </c>
      <c r="AB102" s="423">
        <v>77186.94</v>
      </c>
      <c r="AC102" s="423">
        <v>131168.49</v>
      </c>
      <c r="AD102" s="423">
        <v>78748.94</v>
      </c>
      <c r="AE102" s="423">
        <f t="shared" si="7"/>
        <v>60118.891249999993</v>
      </c>
      <c r="AF102" s="423">
        <f t="shared" si="7"/>
        <v>34140.764166666668</v>
      </c>
    </row>
    <row r="103" spans="1:32">
      <c r="A103" s="35">
        <v>95</v>
      </c>
      <c r="C103" s="6" t="s">
        <v>1888</v>
      </c>
      <c r="D103" s="424" t="s">
        <v>1877</v>
      </c>
      <c r="E103" s="423">
        <v>0</v>
      </c>
      <c r="F103" s="423">
        <v>0</v>
      </c>
      <c r="G103" s="423">
        <v>0</v>
      </c>
      <c r="H103" s="423">
        <v>0</v>
      </c>
      <c r="I103" s="423">
        <v>0</v>
      </c>
      <c r="J103" s="423">
        <v>0</v>
      </c>
      <c r="K103" s="423">
        <v>0</v>
      </c>
      <c r="L103" s="423">
        <v>0</v>
      </c>
      <c r="M103" s="423">
        <v>0</v>
      </c>
      <c r="N103" s="423">
        <v>0</v>
      </c>
      <c r="O103" s="423">
        <v>0</v>
      </c>
      <c r="P103" s="423">
        <v>0</v>
      </c>
      <c r="Q103" s="423">
        <v>0</v>
      </c>
      <c r="R103" s="423">
        <v>0</v>
      </c>
      <c r="S103" s="423">
        <v>3004957.37</v>
      </c>
      <c r="T103" s="423">
        <v>1192409.98</v>
      </c>
      <c r="U103" s="423">
        <v>3004957.37</v>
      </c>
      <c r="V103" s="423">
        <v>1228194.01</v>
      </c>
      <c r="W103" s="423">
        <v>3004957.37</v>
      </c>
      <c r="X103" s="423">
        <v>1263978.04</v>
      </c>
      <c r="Y103" s="423">
        <v>3004957.37</v>
      </c>
      <c r="Z103" s="423">
        <v>1299762.07</v>
      </c>
      <c r="AA103" s="423">
        <v>3004957.37</v>
      </c>
      <c r="AB103" s="423">
        <v>1335546.1000000001</v>
      </c>
      <c r="AC103" s="423">
        <v>3004957.37</v>
      </c>
      <c r="AD103" s="423">
        <v>1371330.13</v>
      </c>
      <c r="AE103" s="423">
        <f t="shared" si="7"/>
        <v>1377272.1279166669</v>
      </c>
      <c r="AF103" s="423">
        <f t="shared" si="7"/>
        <v>583796.27208333334</v>
      </c>
    </row>
    <row r="104" spans="1:32">
      <c r="A104" s="35">
        <v>96</v>
      </c>
      <c r="C104" s="6" t="s">
        <v>1889</v>
      </c>
      <c r="D104" s="424" t="s">
        <v>1877</v>
      </c>
      <c r="E104" s="423">
        <v>0</v>
      </c>
      <c r="F104" s="423">
        <v>0</v>
      </c>
      <c r="G104" s="423">
        <v>0</v>
      </c>
      <c r="H104" s="423">
        <v>0</v>
      </c>
      <c r="I104" s="423">
        <v>0</v>
      </c>
      <c r="J104" s="423">
        <v>0</v>
      </c>
      <c r="K104" s="423">
        <v>0</v>
      </c>
      <c r="L104" s="423">
        <v>0</v>
      </c>
      <c r="M104" s="423">
        <v>0</v>
      </c>
      <c r="N104" s="423">
        <v>0</v>
      </c>
      <c r="O104" s="423">
        <v>0</v>
      </c>
      <c r="P104" s="423">
        <v>0</v>
      </c>
      <c r="Q104" s="423">
        <v>0</v>
      </c>
      <c r="R104" s="423">
        <v>0</v>
      </c>
      <c r="S104" s="423">
        <v>585144.89</v>
      </c>
      <c r="T104" s="423">
        <v>151336.06</v>
      </c>
      <c r="U104" s="423">
        <v>585144.89</v>
      </c>
      <c r="V104" s="423">
        <v>158304.16</v>
      </c>
      <c r="W104" s="423">
        <v>585144.89</v>
      </c>
      <c r="X104" s="423">
        <v>165272.26</v>
      </c>
      <c r="Y104" s="423">
        <v>585144.89</v>
      </c>
      <c r="Z104" s="423">
        <v>172240.36000000002</v>
      </c>
      <c r="AA104" s="423">
        <v>585144.89</v>
      </c>
      <c r="AB104" s="423">
        <v>179208.46</v>
      </c>
      <c r="AC104" s="423">
        <v>585144.89</v>
      </c>
      <c r="AD104" s="423">
        <v>186176.56</v>
      </c>
      <c r="AE104" s="423">
        <f t="shared" si="7"/>
        <v>268191.40791666665</v>
      </c>
      <c r="AF104" s="423">
        <f t="shared" si="7"/>
        <v>76620.798333333325</v>
      </c>
    </row>
    <row r="105" spans="1:32">
      <c r="A105" s="35">
        <v>97</v>
      </c>
      <c r="C105" s="6" t="s">
        <v>1890</v>
      </c>
      <c r="D105" s="424" t="s">
        <v>1877</v>
      </c>
      <c r="E105" s="423">
        <v>0</v>
      </c>
      <c r="F105" s="423">
        <v>0</v>
      </c>
      <c r="G105" s="423">
        <v>0</v>
      </c>
      <c r="H105" s="423">
        <v>0</v>
      </c>
      <c r="I105" s="423">
        <v>0</v>
      </c>
      <c r="J105" s="423">
        <v>0</v>
      </c>
      <c r="K105" s="423">
        <v>0</v>
      </c>
      <c r="L105" s="423">
        <v>0</v>
      </c>
      <c r="M105" s="423">
        <v>0</v>
      </c>
      <c r="N105" s="423">
        <v>0</v>
      </c>
      <c r="O105" s="423">
        <v>0</v>
      </c>
      <c r="P105" s="423">
        <v>0</v>
      </c>
      <c r="Q105" s="423">
        <v>0</v>
      </c>
      <c r="R105" s="423">
        <v>0</v>
      </c>
      <c r="S105" s="423">
        <v>20560.650000000001</v>
      </c>
      <c r="T105" s="423">
        <v>4873.57</v>
      </c>
      <c r="U105" s="423">
        <v>20560.650000000001</v>
      </c>
      <c r="V105" s="423">
        <v>5118.41</v>
      </c>
      <c r="W105" s="423">
        <v>20560.650000000001</v>
      </c>
      <c r="X105" s="423">
        <v>5363.25</v>
      </c>
      <c r="Y105" s="423">
        <v>20560.650000000001</v>
      </c>
      <c r="Z105" s="423">
        <v>5608.09</v>
      </c>
      <c r="AA105" s="423">
        <v>20560.650000000001</v>
      </c>
      <c r="AB105" s="423">
        <v>5852.93</v>
      </c>
      <c r="AC105" s="423">
        <v>20560.650000000001</v>
      </c>
      <c r="AD105" s="423">
        <v>6097.77</v>
      </c>
      <c r="AE105" s="423">
        <f t="shared" si="7"/>
        <v>9423.6312500000004</v>
      </c>
      <c r="AF105" s="423">
        <f t="shared" si="7"/>
        <v>2488.76125</v>
      </c>
    </row>
    <row r="106" spans="1:32">
      <c r="A106" s="35">
        <v>98</v>
      </c>
      <c r="C106" s="6" t="s">
        <v>1891</v>
      </c>
      <c r="D106" s="6" t="str">
        <f t="shared" ref="D106:D129" si="8">RIGHT(C106,5)</f>
        <v>00100</v>
      </c>
      <c r="E106" s="423">
        <v>31960507.600000001</v>
      </c>
      <c r="F106" s="423">
        <v>8053426.4299999997</v>
      </c>
      <c r="G106" s="423">
        <v>32108431.690000001</v>
      </c>
      <c r="H106" s="423">
        <v>8284691.1200000001</v>
      </c>
      <c r="I106" s="423">
        <v>32116587.800000001</v>
      </c>
      <c r="J106" s="423">
        <v>8518849.4199999999</v>
      </c>
      <c r="K106" s="423">
        <v>32173607.18</v>
      </c>
      <c r="L106" s="423">
        <v>8751831.6600000001</v>
      </c>
      <c r="M106" s="423">
        <v>32184081.329999998</v>
      </c>
      <c r="N106" s="423">
        <v>8985449.9299999997</v>
      </c>
      <c r="O106" s="423">
        <v>32187271.329999998</v>
      </c>
      <c r="P106" s="423">
        <v>9219219.6500000004</v>
      </c>
      <c r="Q106" s="423">
        <v>32192427.940000001</v>
      </c>
      <c r="R106" s="423">
        <v>9453029.7300000004</v>
      </c>
      <c r="S106" s="423">
        <v>0</v>
      </c>
      <c r="T106" s="423">
        <v>0</v>
      </c>
      <c r="U106" s="423">
        <v>0</v>
      </c>
      <c r="V106" s="423">
        <v>0</v>
      </c>
      <c r="W106" s="423">
        <v>4302.82</v>
      </c>
      <c r="X106" s="423">
        <v>0</v>
      </c>
      <c r="Y106" s="423">
        <v>5733.95</v>
      </c>
      <c r="Z106" s="423">
        <v>563.02</v>
      </c>
      <c r="AA106" s="423">
        <v>0</v>
      </c>
      <c r="AB106" s="423">
        <v>0</v>
      </c>
      <c r="AC106" s="423">
        <v>0</v>
      </c>
      <c r="AD106" s="423">
        <v>0</v>
      </c>
      <c r="AE106" s="423">
        <f t="shared" si="7"/>
        <v>17412724.819999997</v>
      </c>
      <c r="AF106" s="423">
        <f t="shared" si="7"/>
        <v>4770028.9787499988</v>
      </c>
    </row>
    <row r="107" spans="1:32">
      <c r="A107" s="35">
        <v>99</v>
      </c>
      <c r="C107" s="6" t="s">
        <v>1892</v>
      </c>
      <c r="D107" s="6" t="str">
        <f t="shared" si="8"/>
        <v>00100</v>
      </c>
      <c r="E107" s="423">
        <v>94899.76</v>
      </c>
      <c r="F107" s="423">
        <v>0</v>
      </c>
      <c r="G107" s="423">
        <v>94899.76</v>
      </c>
      <c r="H107" s="423">
        <v>0</v>
      </c>
      <c r="I107" s="423">
        <v>94899.76</v>
      </c>
      <c r="J107" s="423">
        <v>0</v>
      </c>
      <c r="K107" s="423">
        <v>94899.76</v>
      </c>
      <c r="L107" s="423">
        <v>0</v>
      </c>
      <c r="M107" s="423">
        <v>94899.76</v>
      </c>
      <c r="N107" s="423">
        <v>0</v>
      </c>
      <c r="O107" s="423">
        <v>94899.76</v>
      </c>
      <c r="P107" s="423">
        <v>0</v>
      </c>
      <c r="Q107" s="423">
        <v>94899.76</v>
      </c>
      <c r="R107" s="423">
        <v>0</v>
      </c>
      <c r="S107" s="423">
        <v>94899.76</v>
      </c>
      <c r="T107" s="423">
        <v>0</v>
      </c>
      <c r="U107" s="423">
        <v>94899.76</v>
      </c>
      <c r="V107" s="423">
        <v>0</v>
      </c>
      <c r="W107" s="423">
        <v>94899.76</v>
      </c>
      <c r="X107" s="423">
        <v>0</v>
      </c>
      <c r="Y107" s="423">
        <v>94899.76</v>
      </c>
      <c r="Z107" s="423">
        <v>0</v>
      </c>
      <c r="AA107" s="423">
        <v>94899.76</v>
      </c>
      <c r="AB107" s="423">
        <v>0</v>
      </c>
      <c r="AC107" s="423">
        <v>94899.76</v>
      </c>
      <c r="AD107" s="423">
        <v>0</v>
      </c>
      <c r="AE107" s="423">
        <f t="shared" si="7"/>
        <v>94899.76</v>
      </c>
      <c r="AF107" s="423">
        <f t="shared" si="7"/>
        <v>0</v>
      </c>
    </row>
    <row r="108" spans="1:32">
      <c r="A108" s="35">
        <v>100</v>
      </c>
      <c r="C108" s="6" t="s">
        <v>1893</v>
      </c>
      <c r="D108" s="6" t="str">
        <f t="shared" si="8"/>
        <v>00100</v>
      </c>
      <c r="E108" s="423">
        <v>399189.10000000003</v>
      </c>
      <c r="F108" s="423">
        <v>419149.75</v>
      </c>
      <c r="G108" s="423">
        <v>399189.10000000003</v>
      </c>
      <c r="H108" s="423">
        <v>419149.75</v>
      </c>
      <c r="I108" s="423">
        <v>399189.10000000003</v>
      </c>
      <c r="J108" s="423">
        <v>419149.75</v>
      </c>
      <c r="K108" s="423">
        <v>399189.10000000003</v>
      </c>
      <c r="L108" s="423">
        <v>419149.75</v>
      </c>
      <c r="M108" s="423">
        <v>399189.10000000003</v>
      </c>
      <c r="N108" s="423">
        <v>419149.75</v>
      </c>
      <c r="O108" s="423">
        <v>399189.10000000003</v>
      </c>
      <c r="P108" s="423">
        <v>419149.75</v>
      </c>
      <c r="Q108" s="423">
        <v>399189.10000000003</v>
      </c>
      <c r="R108" s="423">
        <v>419149.75</v>
      </c>
      <c r="S108" s="423">
        <v>399189.10000000003</v>
      </c>
      <c r="T108" s="423">
        <v>419149.75</v>
      </c>
      <c r="U108" s="423">
        <v>399189.10000000003</v>
      </c>
      <c r="V108" s="423">
        <v>419149.75</v>
      </c>
      <c r="W108" s="423">
        <v>399189.10000000003</v>
      </c>
      <c r="X108" s="423">
        <v>419228.09</v>
      </c>
      <c r="Y108" s="423">
        <v>399189.10000000003</v>
      </c>
      <c r="Z108" s="423">
        <v>419228.09</v>
      </c>
      <c r="AA108" s="423">
        <v>399189.10000000003</v>
      </c>
      <c r="AB108" s="423">
        <v>419228.09</v>
      </c>
      <c r="AC108" s="423">
        <v>399189.10000000003</v>
      </c>
      <c r="AD108" s="423">
        <v>419228.09</v>
      </c>
      <c r="AE108" s="423">
        <f t="shared" si="7"/>
        <v>399189.10000000003</v>
      </c>
      <c r="AF108" s="423">
        <f t="shared" si="7"/>
        <v>419172.59916666662</v>
      </c>
    </row>
    <row r="109" spans="1:32">
      <c r="A109" s="35">
        <v>101</v>
      </c>
      <c r="C109" s="6" t="s">
        <v>1894</v>
      </c>
      <c r="D109" s="6" t="str">
        <f t="shared" si="8"/>
        <v>00100</v>
      </c>
      <c r="E109" s="423">
        <v>954713.11</v>
      </c>
      <c r="F109" s="423">
        <v>696776.97</v>
      </c>
      <c r="G109" s="423">
        <v>954713.11</v>
      </c>
      <c r="H109" s="423">
        <v>696776.97</v>
      </c>
      <c r="I109" s="423">
        <v>954713.11</v>
      </c>
      <c r="J109" s="423">
        <v>696776.97</v>
      </c>
      <c r="K109" s="423">
        <v>954713.11</v>
      </c>
      <c r="L109" s="423">
        <v>696776.97</v>
      </c>
      <c r="M109" s="423">
        <v>954713.11</v>
      </c>
      <c r="N109" s="423">
        <v>696776.97</v>
      </c>
      <c r="O109" s="423">
        <v>954713.11</v>
      </c>
      <c r="P109" s="423">
        <v>696776.97</v>
      </c>
      <c r="Q109" s="423">
        <v>954713.11</v>
      </c>
      <c r="R109" s="423">
        <v>696776.97</v>
      </c>
      <c r="S109" s="423">
        <v>954713.11</v>
      </c>
      <c r="T109" s="423">
        <v>696776.97</v>
      </c>
      <c r="U109" s="423">
        <v>954713.11</v>
      </c>
      <c r="V109" s="423">
        <v>696776.97</v>
      </c>
      <c r="W109" s="423">
        <v>954713.11</v>
      </c>
      <c r="X109" s="423">
        <v>696776.97</v>
      </c>
      <c r="Y109" s="423">
        <v>954713.11</v>
      </c>
      <c r="Z109" s="423">
        <v>696776.97</v>
      </c>
      <c r="AA109" s="423">
        <v>954713.11</v>
      </c>
      <c r="AB109" s="423">
        <v>696776.97</v>
      </c>
      <c r="AC109" s="423">
        <v>954713.11</v>
      </c>
      <c r="AD109" s="423">
        <v>696776.97</v>
      </c>
      <c r="AE109" s="423">
        <f t="shared" si="7"/>
        <v>954713.10999999987</v>
      </c>
      <c r="AF109" s="423">
        <f t="shared" si="7"/>
        <v>696776.96999999986</v>
      </c>
    </row>
    <row r="110" spans="1:32">
      <c r="A110" s="35">
        <v>102</v>
      </c>
      <c r="C110" s="6" t="s">
        <v>1895</v>
      </c>
      <c r="D110" s="6" t="str">
        <f t="shared" si="8"/>
        <v>00100</v>
      </c>
      <c r="E110" s="423">
        <v>5807881.5899999999</v>
      </c>
      <c r="F110" s="423">
        <v>5322633.72</v>
      </c>
      <c r="G110" s="423">
        <v>5807881.5899999999</v>
      </c>
      <c r="H110" s="423">
        <v>5328635.2</v>
      </c>
      <c r="I110" s="423">
        <v>5819580.5999999996</v>
      </c>
      <c r="J110" s="423">
        <v>5334636.68</v>
      </c>
      <c r="K110" s="423">
        <v>5819580.5999999996</v>
      </c>
      <c r="L110" s="423">
        <v>5340650.25</v>
      </c>
      <c r="M110" s="423">
        <v>5819580.5999999996</v>
      </c>
      <c r="N110" s="423">
        <v>5346663.82</v>
      </c>
      <c r="O110" s="423">
        <v>5819148.3499999996</v>
      </c>
      <c r="P110" s="423">
        <v>5352677.3899999997</v>
      </c>
      <c r="Q110" s="423">
        <v>5819148.3499999996</v>
      </c>
      <c r="R110" s="423">
        <v>5358690.51</v>
      </c>
      <c r="S110" s="423">
        <v>5819148.3499999996</v>
      </c>
      <c r="T110" s="423">
        <v>5364703.63</v>
      </c>
      <c r="U110" s="423">
        <v>5862351.0199999996</v>
      </c>
      <c r="V110" s="423">
        <v>5370716.75</v>
      </c>
      <c r="W110" s="423">
        <v>5862351.0199999996</v>
      </c>
      <c r="X110" s="423">
        <v>5376774.5099999998</v>
      </c>
      <c r="Y110" s="423">
        <v>5862351.0199999996</v>
      </c>
      <c r="Z110" s="423">
        <v>5382832.2699999996</v>
      </c>
      <c r="AA110" s="423">
        <v>5862351.0199999996</v>
      </c>
      <c r="AB110" s="423">
        <v>5388890.0300000003</v>
      </c>
      <c r="AC110" s="423">
        <v>5862351.0199999996</v>
      </c>
      <c r="AD110" s="423">
        <v>5394947.79</v>
      </c>
      <c r="AE110" s="423">
        <f t="shared" si="7"/>
        <v>5834049.0687499987</v>
      </c>
      <c r="AF110" s="423">
        <f t="shared" si="7"/>
        <v>5358721.8162500011</v>
      </c>
    </row>
    <row r="111" spans="1:32">
      <c r="A111" s="35">
        <v>103</v>
      </c>
      <c r="C111" s="6" t="s">
        <v>1896</v>
      </c>
      <c r="D111" s="6" t="str">
        <f t="shared" si="8"/>
        <v>00100</v>
      </c>
      <c r="E111" s="423">
        <v>2184217.88</v>
      </c>
      <c r="F111" s="423">
        <v>-128808.1</v>
      </c>
      <c r="G111" s="423">
        <v>2306513.11</v>
      </c>
      <c r="H111" s="423">
        <v>-99248.35</v>
      </c>
      <c r="I111" s="423">
        <v>2308364.84</v>
      </c>
      <c r="J111" s="423">
        <v>-68033.540000000008</v>
      </c>
      <c r="K111" s="423">
        <v>2308364.84</v>
      </c>
      <c r="L111" s="423">
        <v>-36793.67</v>
      </c>
      <c r="M111" s="423">
        <v>2359058.62</v>
      </c>
      <c r="N111" s="423">
        <v>-5553.8</v>
      </c>
      <c r="O111" s="423">
        <v>2359058.62</v>
      </c>
      <c r="P111" s="423">
        <v>26372.13</v>
      </c>
      <c r="Q111" s="423">
        <v>2350808.7800000003</v>
      </c>
      <c r="R111" s="423">
        <v>58298.06</v>
      </c>
      <c r="S111" s="423">
        <v>2356168.14</v>
      </c>
      <c r="T111" s="423">
        <v>90355.94</v>
      </c>
      <c r="U111" s="423">
        <v>2356168.14</v>
      </c>
      <c r="V111" s="423">
        <v>122242.75</v>
      </c>
      <c r="W111" s="423">
        <v>2356168.14</v>
      </c>
      <c r="X111" s="423">
        <v>154129.56</v>
      </c>
      <c r="Y111" s="423">
        <v>2356168.14</v>
      </c>
      <c r="Z111" s="423">
        <v>186016.37</v>
      </c>
      <c r="AA111" s="423">
        <v>2356168.14</v>
      </c>
      <c r="AB111" s="423">
        <v>217903.18</v>
      </c>
      <c r="AC111" s="423">
        <v>2400564.7000000002</v>
      </c>
      <c r="AD111" s="423">
        <v>249789.99</v>
      </c>
      <c r="AE111" s="423">
        <f t="shared" si="7"/>
        <v>2338783.4000000004</v>
      </c>
      <c r="AF111" s="423">
        <f t="shared" si="7"/>
        <v>58848.297916666663</v>
      </c>
    </row>
    <row r="112" spans="1:32">
      <c r="A112" s="35">
        <v>104</v>
      </c>
      <c r="C112" s="6" t="s">
        <v>1897</v>
      </c>
      <c r="D112" s="6" t="str">
        <f t="shared" si="8"/>
        <v>00100</v>
      </c>
      <c r="E112" s="423">
        <v>0</v>
      </c>
      <c r="F112" s="423">
        <v>-5509.99</v>
      </c>
      <c r="G112" s="423">
        <v>0</v>
      </c>
      <c r="H112" s="423">
        <v>-5509.99</v>
      </c>
      <c r="I112" s="423">
        <v>0</v>
      </c>
      <c r="J112" s="423">
        <v>-5509.99</v>
      </c>
      <c r="K112" s="423">
        <v>0</v>
      </c>
      <c r="L112" s="423">
        <v>-5509.99</v>
      </c>
      <c r="M112" s="423">
        <v>0</v>
      </c>
      <c r="N112" s="423">
        <v>-5509.99</v>
      </c>
      <c r="O112" s="423">
        <v>0</v>
      </c>
      <c r="P112" s="423">
        <v>-5509.99</v>
      </c>
      <c r="Q112" s="423">
        <v>0</v>
      </c>
      <c r="R112" s="423">
        <v>-5509.99</v>
      </c>
      <c r="S112" s="423">
        <v>0</v>
      </c>
      <c r="T112" s="423">
        <v>-5509.99</v>
      </c>
      <c r="U112" s="423">
        <v>0</v>
      </c>
      <c r="V112" s="423">
        <v>0</v>
      </c>
      <c r="W112" s="423">
        <v>0</v>
      </c>
      <c r="X112" s="423">
        <v>0</v>
      </c>
      <c r="Y112" s="423">
        <v>0</v>
      </c>
      <c r="Z112" s="423">
        <v>0</v>
      </c>
      <c r="AA112" s="423">
        <v>0</v>
      </c>
      <c r="AB112" s="423">
        <v>0</v>
      </c>
      <c r="AC112" s="423">
        <v>0</v>
      </c>
      <c r="AD112" s="423">
        <v>0</v>
      </c>
      <c r="AE112" s="423">
        <f t="shared" si="7"/>
        <v>0</v>
      </c>
      <c r="AF112" s="423">
        <f t="shared" si="7"/>
        <v>-3443.7437499999996</v>
      </c>
    </row>
    <row r="113" spans="1:32">
      <c r="A113" s="35">
        <v>105</v>
      </c>
      <c r="C113" s="6" t="s">
        <v>1898</v>
      </c>
      <c r="D113" s="6" t="str">
        <f t="shared" si="8"/>
        <v>00100</v>
      </c>
      <c r="E113" s="423">
        <v>156470.54</v>
      </c>
      <c r="F113" s="423">
        <v>-275066.16000000003</v>
      </c>
      <c r="G113" s="423">
        <v>156470.54</v>
      </c>
      <c r="H113" s="423">
        <v>-272801.25</v>
      </c>
      <c r="I113" s="423">
        <v>156470.54</v>
      </c>
      <c r="J113" s="423">
        <v>-270536.34000000003</v>
      </c>
      <c r="K113" s="423">
        <v>156470.54</v>
      </c>
      <c r="L113" s="423">
        <v>-268271.43</v>
      </c>
      <c r="M113" s="423">
        <v>156470.54</v>
      </c>
      <c r="N113" s="423">
        <v>-266006.52</v>
      </c>
      <c r="O113" s="423">
        <v>156470.54</v>
      </c>
      <c r="P113" s="423">
        <v>-263741.61</v>
      </c>
      <c r="Q113" s="423">
        <v>156470.54</v>
      </c>
      <c r="R113" s="423">
        <v>-261476.7</v>
      </c>
      <c r="S113" s="423">
        <v>156470.54</v>
      </c>
      <c r="T113" s="423">
        <v>-259211.79</v>
      </c>
      <c r="U113" s="423">
        <v>156470.54</v>
      </c>
      <c r="V113" s="423">
        <v>-256946.88</v>
      </c>
      <c r="W113" s="423">
        <v>156470.54</v>
      </c>
      <c r="X113" s="423">
        <v>-254681.97</v>
      </c>
      <c r="Y113" s="423">
        <v>156470.54</v>
      </c>
      <c r="Z113" s="423">
        <v>-252417.06</v>
      </c>
      <c r="AA113" s="423">
        <v>156470.54</v>
      </c>
      <c r="AB113" s="423">
        <v>-250152.15</v>
      </c>
      <c r="AC113" s="423">
        <v>156470.54</v>
      </c>
      <c r="AD113" s="423">
        <v>-247887.24</v>
      </c>
      <c r="AE113" s="423">
        <f t="shared" si="7"/>
        <v>156470.54</v>
      </c>
      <c r="AF113" s="423">
        <f t="shared" si="7"/>
        <v>-261476.70000000004</v>
      </c>
    </row>
    <row r="114" spans="1:32">
      <c r="A114" s="35">
        <v>106</v>
      </c>
      <c r="C114" s="6" t="s">
        <v>1899</v>
      </c>
      <c r="D114" s="6" t="str">
        <f t="shared" si="8"/>
        <v>00100</v>
      </c>
      <c r="E114" s="423">
        <v>1276603.8500000001</v>
      </c>
      <c r="F114" s="423">
        <v>-130311.46</v>
      </c>
      <c r="G114" s="423">
        <v>1276603.8500000001</v>
      </c>
      <c r="H114" s="423">
        <v>-125013.55</v>
      </c>
      <c r="I114" s="423">
        <v>1276603.8500000001</v>
      </c>
      <c r="J114" s="423">
        <v>-119715.64</v>
      </c>
      <c r="K114" s="423">
        <v>1276603.8500000001</v>
      </c>
      <c r="L114" s="423">
        <v>-114417.73</v>
      </c>
      <c r="M114" s="423">
        <v>1276603.8500000001</v>
      </c>
      <c r="N114" s="423">
        <v>-109119.82</v>
      </c>
      <c r="O114" s="423">
        <v>1276603.8500000001</v>
      </c>
      <c r="P114" s="423">
        <v>-103821.91</v>
      </c>
      <c r="Q114" s="423">
        <v>1276603.8500000001</v>
      </c>
      <c r="R114" s="423">
        <v>-98524</v>
      </c>
      <c r="S114" s="423">
        <v>1276603.8500000001</v>
      </c>
      <c r="T114" s="423">
        <v>-93226.09</v>
      </c>
      <c r="U114" s="423">
        <v>1276603.8500000001</v>
      </c>
      <c r="V114" s="423">
        <v>-87928.180000000008</v>
      </c>
      <c r="W114" s="423">
        <v>1276603.8500000001</v>
      </c>
      <c r="X114" s="423">
        <v>-82630.27</v>
      </c>
      <c r="Y114" s="423">
        <v>1276603.8500000001</v>
      </c>
      <c r="Z114" s="423">
        <v>-77332.36</v>
      </c>
      <c r="AA114" s="423">
        <v>1276603.8500000001</v>
      </c>
      <c r="AB114" s="423">
        <v>-72034.45</v>
      </c>
      <c r="AC114" s="423">
        <v>1276603.8500000001</v>
      </c>
      <c r="AD114" s="423">
        <v>-66736.540000000008</v>
      </c>
      <c r="AE114" s="423">
        <f t="shared" si="7"/>
        <v>1276603.8499999999</v>
      </c>
      <c r="AF114" s="423">
        <f t="shared" si="7"/>
        <v>-98524</v>
      </c>
    </row>
    <row r="115" spans="1:32">
      <c r="A115" s="35">
        <v>107</v>
      </c>
      <c r="C115" s="6" t="s">
        <v>1900</v>
      </c>
      <c r="D115" s="6" t="str">
        <f t="shared" si="8"/>
        <v>00100</v>
      </c>
      <c r="E115" s="423">
        <v>2994409.61</v>
      </c>
      <c r="F115" s="423">
        <v>2994409.62</v>
      </c>
      <c r="G115" s="423">
        <v>2994409.61</v>
      </c>
      <c r="H115" s="423">
        <v>2994409.62</v>
      </c>
      <c r="I115" s="423">
        <v>2994409.61</v>
      </c>
      <c r="J115" s="423">
        <v>2994409.62</v>
      </c>
      <c r="K115" s="423">
        <v>2994409.61</v>
      </c>
      <c r="L115" s="423">
        <v>2994409.62</v>
      </c>
      <c r="M115" s="423">
        <v>2994409.61</v>
      </c>
      <c r="N115" s="423">
        <v>2994409.62</v>
      </c>
      <c r="O115" s="423">
        <v>2994409.61</v>
      </c>
      <c r="P115" s="423">
        <v>2994409.62</v>
      </c>
      <c r="Q115" s="423">
        <v>2994409.61</v>
      </c>
      <c r="R115" s="423">
        <v>2994409.62</v>
      </c>
      <c r="S115" s="423">
        <v>2994409.61</v>
      </c>
      <c r="T115" s="423">
        <v>2994409.62</v>
      </c>
      <c r="U115" s="423">
        <v>2994409.61</v>
      </c>
      <c r="V115" s="423">
        <v>2994409.62</v>
      </c>
      <c r="W115" s="423">
        <v>2994409.61</v>
      </c>
      <c r="X115" s="423">
        <v>2994409.62</v>
      </c>
      <c r="Y115" s="423">
        <v>2994409.61</v>
      </c>
      <c r="Z115" s="423">
        <v>2994409.62</v>
      </c>
      <c r="AA115" s="423">
        <v>2994409.61</v>
      </c>
      <c r="AB115" s="423">
        <v>2994409.62</v>
      </c>
      <c r="AC115" s="423">
        <v>2994409.61</v>
      </c>
      <c r="AD115" s="423">
        <v>2994409.62</v>
      </c>
      <c r="AE115" s="423">
        <f t="shared" si="7"/>
        <v>2994409.61</v>
      </c>
      <c r="AF115" s="423">
        <f t="shared" si="7"/>
        <v>2994409.6200000006</v>
      </c>
    </row>
    <row r="116" spans="1:32">
      <c r="A116" s="35">
        <v>108</v>
      </c>
      <c r="C116" s="6" t="s">
        <v>1901</v>
      </c>
      <c r="D116" s="6" t="str">
        <f t="shared" si="8"/>
        <v>00100</v>
      </c>
      <c r="E116" s="423">
        <v>48394.18</v>
      </c>
      <c r="F116" s="423">
        <v>34697.26</v>
      </c>
      <c r="G116" s="423">
        <v>48394.18</v>
      </c>
      <c r="H116" s="423">
        <v>34824.300000000003</v>
      </c>
      <c r="I116" s="423">
        <v>48394.18</v>
      </c>
      <c r="J116" s="423">
        <v>34951.340000000004</v>
      </c>
      <c r="K116" s="423">
        <v>48394.18</v>
      </c>
      <c r="L116" s="423">
        <v>35078.379999999997</v>
      </c>
      <c r="M116" s="423">
        <v>48394.18</v>
      </c>
      <c r="N116" s="423">
        <v>35205.42</v>
      </c>
      <c r="O116" s="423">
        <v>48394.18</v>
      </c>
      <c r="P116" s="423">
        <v>35332.46</v>
      </c>
      <c r="Q116" s="423">
        <v>48394.18</v>
      </c>
      <c r="R116" s="423">
        <v>35459.5</v>
      </c>
      <c r="S116" s="423">
        <v>48394.18</v>
      </c>
      <c r="T116" s="423">
        <v>35586.54</v>
      </c>
      <c r="U116" s="423">
        <v>48394.18</v>
      </c>
      <c r="V116" s="423">
        <v>35713.58</v>
      </c>
      <c r="W116" s="423">
        <v>48394.18</v>
      </c>
      <c r="X116" s="423">
        <v>35840.620000000003</v>
      </c>
      <c r="Y116" s="423">
        <v>48394.18</v>
      </c>
      <c r="Z116" s="423">
        <v>35967.660000000003</v>
      </c>
      <c r="AA116" s="423">
        <v>48394.18</v>
      </c>
      <c r="AB116" s="423">
        <v>36094.700000000004</v>
      </c>
      <c r="AC116" s="423">
        <v>48394.18</v>
      </c>
      <c r="AD116" s="423">
        <v>36221.74</v>
      </c>
      <c r="AE116" s="423">
        <f t="shared" si="7"/>
        <v>48394.18</v>
      </c>
      <c r="AF116" s="423">
        <f t="shared" si="7"/>
        <v>35459.500000000007</v>
      </c>
    </row>
    <row r="117" spans="1:32">
      <c r="A117" s="35">
        <v>109</v>
      </c>
      <c r="C117" s="6" t="s">
        <v>1902</v>
      </c>
      <c r="D117" s="6" t="str">
        <f t="shared" si="8"/>
        <v>00100</v>
      </c>
      <c r="E117" s="423">
        <v>1862879.1099999999</v>
      </c>
      <c r="F117" s="423">
        <v>610375.21</v>
      </c>
      <c r="G117" s="423">
        <v>1862879.1099999999</v>
      </c>
      <c r="H117" s="423">
        <v>619922.46</v>
      </c>
      <c r="I117" s="423">
        <v>1862879.1099999999</v>
      </c>
      <c r="J117" s="423">
        <v>629469.71</v>
      </c>
      <c r="K117" s="423">
        <v>1823644.54</v>
      </c>
      <c r="L117" s="423">
        <v>610782.39</v>
      </c>
      <c r="M117" s="423">
        <v>1690581.07</v>
      </c>
      <c r="N117" s="423">
        <v>560189.69000000006</v>
      </c>
      <c r="O117" s="423">
        <v>1727369.21</v>
      </c>
      <c r="P117" s="423">
        <v>568853.92000000004</v>
      </c>
      <c r="Q117" s="423">
        <v>1705419.3900000001</v>
      </c>
      <c r="R117" s="423">
        <v>557907.29</v>
      </c>
      <c r="S117" s="423">
        <v>1705435.58</v>
      </c>
      <c r="T117" s="423">
        <v>566647.56000000006</v>
      </c>
      <c r="U117" s="423">
        <v>1892475.26</v>
      </c>
      <c r="V117" s="423">
        <v>575387.91</v>
      </c>
      <c r="W117" s="423">
        <v>1893123.4500000002</v>
      </c>
      <c r="X117" s="423">
        <v>595086.85</v>
      </c>
      <c r="Y117" s="423">
        <v>1885880.23</v>
      </c>
      <c r="Z117" s="423">
        <v>604789.11</v>
      </c>
      <c r="AA117" s="423">
        <v>1889123.29</v>
      </c>
      <c r="AB117" s="423">
        <v>614454.24</v>
      </c>
      <c r="AC117" s="423">
        <v>1889123.29</v>
      </c>
      <c r="AD117" s="423">
        <v>624136</v>
      </c>
      <c r="AE117" s="423">
        <f t="shared" si="7"/>
        <v>1817900.9533333331</v>
      </c>
      <c r="AF117" s="423">
        <f t="shared" si="7"/>
        <v>593395.56124999991</v>
      </c>
    </row>
    <row r="118" spans="1:32">
      <c r="A118" s="35">
        <v>110</v>
      </c>
      <c r="C118" s="6" t="s">
        <v>1903</v>
      </c>
      <c r="D118" s="6" t="str">
        <f t="shared" si="8"/>
        <v>00100</v>
      </c>
      <c r="E118" s="423">
        <v>43088.19</v>
      </c>
      <c r="F118" s="423">
        <v>11433.29</v>
      </c>
      <c r="G118" s="423">
        <v>43088.19</v>
      </c>
      <c r="H118" s="423">
        <v>11625.03</v>
      </c>
      <c r="I118" s="423">
        <v>43088.19</v>
      </c>
      <c r="J118" s="423">
        <v>11816.77</v>
      </c>
      <c r="K118" s="423">
        <v>43088.19</v>
      </c>
      <c r="L118" s="423">
        <v>12008.51</v>
      </c>
      <c r="M118" s="423">
        <v>43088.19</v>
      </c>
      <c r="N118" s="423">
        <v>12200.25</v>
      </c>
      <c r="O118" s="423">
        <v>43088.19</v>
      </c>
      <c r="P118" s="423">
        <v>12391.99</v>
      </c>
      <c r="Q118" s="423">
        <v>43088.19</v>
      </c>
      <c r="R118" s="423">
        <v>12583.73</v>
      </c>
      <c r="S118" s="423">
        <v>43088.19</v>
      </c>
      <c r="T118" s="423">
        <v>12775.470000000001</v>
      </c>
      <c r="U118" s="423">
        <v>43088.19</v>
      </c>
      <c r="V118" s="423">
        <v>12967.210000000001</v>
      </c>
      <c r="W118" s="423">
        <v>43088.19</v>
      </c>
      <c r="X118" s="423">
        <v>13158.95</v>
      </c>
      <c r="Y118" s="423">
        <v>43088.19</v>
      </c>
      <c r="Z118" s="423">
        <v>13350.69</v>
      </c>
      <c r="AA118" s="423">
        <v>43088.19</v>
      </c>
      <c r="AB118" s="423">
        <v>13542.43</v>
      </c>
      <c r="AC118" s="423">
        <v>43088.19</v>
      </c>
      <c r="AD118" s="423">
        <v>13734.17</v>
      </c>
      <c r="AE118" s="423">
        <f t="shared" si="7"/>
        <v>43088.19</v>
      </c>
      <c r="AF118" s="423">
        <f t="shared" si="7"/>
        <v>12583.730000000001</v>
      </c>
    </row>
    <row r="119" spans="1:32">
      <c r="A119" s="35">
        <v>111</v>
      </c>
      <c r="C119" s="6" t="s">
        <v>1904</v>
      </c>
      <c r="D119" s="6" t="str">
        <f t="shared" si="8"/>
        <v>00100</v>
      </c>
      <c r="E119" s="423">
        <v>1807005.17</v>
      </c>
      <c r="F119" s="423">
        <v>407255.12</v>
      </c>
      <c r="G119" s="423">
        <v>1771449.29</v>
      </c>
      <c r="H119" s="423">
        <v>372322.8</v>
      </c>
      <c r="I119" s="423">
        <v>1773147.3599999999</v>
      </c>
      <c r="J119" s="423">
        <v>377578.10000000003</v>
      </c>
      <c r="K119" s="423">
        <v>1797236.25</v>
      </c>
      <c r="L119" s="423">
        <v>369616.56</v>
      </c>
      <c r="M119" s="423">
        <v>1797236.25</v>
      </c>
      <c r="N119" s="423">
        <v>374948.36</v>
      </c>
      <c r="O119" s="423">
        <v>1797236.25</v>
      </c>
      <c r="P119" s="423">
        <v>380280.16000000003</v>
      </c>
      <c r="Q119" s="423">
        <v>1797236.25</v>
      </c>
      <c r="R119" s="423">
        <v>385611.96</v>
      </c>
      <c r="S119" s="423">
        <v>1803466.4300000002</v>
      </c>
      <c r="T119" s="423">
        <v>390943.76</v>
      </c>
      <c r="U119" s="423">
        <v>1807125.4300000002</v>
      </c>
      <c r="V119" s="423">
        <v>396294.04000000004</v>
      </c>
      <c r="W119" s="423">
        <v>1807125.4300000002</v>
      </c>
      <c r="X119" s="423">
        <v>401655.18</v>
      </c>
      <c r="Y119" s="423">
        <v>1831828.1</v>
      </c>
      <c r="Z119" s="423">
        <v>407016.32</v>
      </c>
      <c r="AA119" s="423">
        <v>1832746.1600000001</v>
      </c>
      <c r="AB119" s="423">
        <v>412450.74</v>
      </c>
      <c r="AC119" s="423">
        <v>1832745.72</v>
      </c>
      <c r="AD119" s="423">
        <v>417887.89</v>
      </c>
      <c r="AE119" s="423">
        <f t="shared" si="7"/>
        <v>1802975.7204166667</v>
      </c>
      <c r="AF119" s="423">
        <f t="shared" si="7"/>
        <v>390107.45708333334</v>
      </c>
    </row>
    <row r="120" spans="1:32">
      <c r="A120" s="35">
        <v>112</v>
      </c>
      <c r="C120" s="6" t="s">
        <v>1905</v>
      </c>
      <c r="D120" s="6" t="str">
        <f t="shared" si="8"/>
        <v>00100</v>
      </c>
      <c r="E120" s="423">
        <v>96880.82</v>
      </c>
      <c r="F120" s="423">
        <v>35862.69</v>
      </c>
      <c r="G120" s="423">
        <v>96880.82</v>
      </c>
      <c r="H120" s="423">
        <v>36234.07</v>
      </c>
      <c r="I120" s="423">
        <v>96880.82</v>
      </c>
      <c r="J120" s="423">
        <v>36605.450000000004</v>
      </c>
      <c r="K120" s="423">
        <v>96880.82</v>
      </c>
      <c r="L120" s="423">
        <v>36976.83</v>
      </c>
      <c r="M120" s="423">
        <v>96880.82</v>
      </c>
      <c r="N120" s="423">
        <v>37348.21</v>
      </c>
      <c r="O120" s="423">
        <v>96880.82</v>
      </c>
      <c r="P120" s="423">
        <v>37719.590000000004</v>
      </c>
      <c r="Q120" s="423">
        <v>96880.82</v>
      </c>
      <c r="R120" s="423">
        <v>38090.97</v>
      </c>
      <c r="S120" s="423">
        <v>96880.82</v>
      </c>
      <c r="T120" s="423">
        <v>38462.35</v>
      </c>
      <c r="U120" s="423">
        <v>96880.82</v>
      </c>
      <c r="V120" s="423">
        <v>38833.730000000003</v>
      </c>
      <c r="W120" s="423">
        <v>96880.82</v>
      </c>
      <c r="X120" s="423">
        <v>39205.11</v>
      </c>
      <c r="Y120" s="423">
        <v>96880.82</v>
      </c>
      <c r="Z120" s="423">
        <v>39576.49</v>
      </c>
      <c r="AA120" s="423">
        <v>96880.82</v>
      </c>
      <c r="AB120" s="423">
        <v>39947.870000000003</v>
      </c>
      <c r="AC120" s="423">
        <v>96880.82</v>
      </c>
      <c r="AD120" s="423">
        <v>40319.25</v>
      </c>
      <c r="AE120" s="423">
        <f t="shared" si="7"/>
        <v>96880.820000000022</v>
      </c>
      <c r="AF120" s="423">
        <f t="shared" si="7"/>
        <v>38090.97</v>
      </c>
    </row>
    <row r="121" spans="1:32">
      <c r="A121" s="35">
        <v>113</v>
      </c>
      <c r="C121" s="6" t="s">
        <v>1906</v>
      </c>
      <c r="D121" s="6" t="str">
        <f t="shared" si="8"/>
        <v>00100</v>
      </c>
      <c r="E121" s="423">
        <v>-101377.08</v>
      </c>
      <c r="F121" s="423">
        <v>14178.11</v>
      </c>
      <c r="G121" s="423">
        <v>-101377.08</v>
      </c>
      <c r="H121" s="423">
        <v>13740.5</v>
      </c>
      <c r="I121" s="423">
        <v>-101377.08</v>
      </c>
      <c r="J121" s="423">
        <v>13302.89</v>
      </c>
      <c r="K121" s="423">
        <v>-101377.08</v>
      </c>
      <c r="L121" s="423">
        <v>12865.28</v>
      </c>
      <c r="M121" s="423">
        <v>-95577.35</v>
      </c>
      <c r="N121" s="423">
        <v>12095.300000000001</v>
      </c>
      <c r="O121" s="423">
        <v>-95577.35</v>
      </c>
      <c r="P121" s="423">
        <v>11682.73</v>
      </c>
      <c r="Q121" s="423">
        <v>-95577.35</v>
      </c>
      <c r="R121" s="423">
        <v>11270.16</v>
      </c>
      <c r="S121" s="423">
        <v>-95577.35</v>
      </c>
      <c r="T121" s="423">
        <v>10857.59</v>
      </c>
      <c r="U121" s="423">
        <v>-95577.35</v>
      </c>
      <c r="V121" s="423">
        <v>10445.02</v>
      </c>
      <c r="W121" s="423">
        <v>-95577.35</v>
      </c>
      <c r="X121" s="423">
        <v>10032.450000000001</v>
      </c>
      <c r="Y121" s="423">
        <v>-95577.35</v>
      </c>
      <c r="Z121" s="423">
        <v>9619.880000000001</v>
      </c>
      <c r="AA121" s="423">
        <v>-95577.35</v>
      </c>
      <c r="AB121" s="423">
        <v>9207.31</v>
      </c>
      <c r="AC121" s="423">
        <v>-95577.35</v>
      </c>
      <c r="AD121" s="423">
        <v>8794.74</v>
      </c>
      <c r="AE121" s="423">
        <f t="shared" si="7"/>
        <v>-97268.937916666662</v>
      </c>
      <c r="AF121" s="423">
        <f t="shared" si="7"/>
        <v>11383.794583333334</v>
      </c>
    </row>
    <row r="122" spans="1:32">
      <c r="A122" s="35">
        <v>114</v>
      </c>
      <c r="C122" s="6" t="s">
        <v>1907</v>
      </c>
      <c r="D122" s="6" t="str">
        <f t="shared" si="8"/>
        <v>00100</v>
      </c>
      <c r="E122" s="423">
        <v>26798.560000000001</v>
      </c>
      <c r="F122" s="423">
        <v>-2175.2600000000002</v>
      </c>
      <c r="G122" s="423">
        <v>26798.560000000001</v>
      </c>
      <c r="H122" s="423">
        <v>-2105.59</v>
      </c>
      <c r="I122" s="423">
        <v>26798.560000000001</v>
      </c>
      <c r="J122" s="423">
        <v>-2035.92</v>
      </c>
      <c r="K122" s="423">
        <v>26798.560000000001</v>
      </c>
      <c r="L122" s="423">
        <v>-1966.25</v>
      </c>
      <c r="M122" s="423">
        <v>26798.560000000001</v>
      </c>
      <c r="N122" s="423">
        <v>-1896.58</v>
      </c>
      <c r="O122" s="423">
        <v>26798.560000000001</v>
      </c>
      <c r="P122" s="423">
        <v>-1826.91</v>
      </c>
      <c r="Q122" s="423">
        <v>26798.560000000001</v>
      </c>
      <c r="R122" s="423">
        <v>-1757.24</v>
      </c>
      <c r="S122" s="423">
        <v>26798.560000000001</v>
      </c>
      <c r="T122" s="423">
        <v>-1687.57</v>
      </c>
      <c r="U122" s="423">
        <v>26798.560000000001</v>
      </c>
      <c r="V122" s="423">
        <v>-1617.9</v>
      </c>
      <c r="W122" s="423">
        <v>26798.560000000001</v>
      </c>
      <c r="X122" s="423">
        <v>-1548.23</v>
      </c>
      <c r="Y122" s="423">
        <v>26798.560000000001</v>
      </c>
      <c r="Z122" s="423">
        <v>-1478.56</v>
      </c>
      <c r="AA122" s="423">
        <v>26798.560000000001</v>
      </c>
      <c r="AB122" s="423">
        <v>-1408.89</v>
      </c>
      <c r="AC122" s="423">
        <v>26798.560000000001</v>
      </c>
      <c r="AD122" s="423">
        <v>-1339.22</v>
      </c>
      <c r="AE122" s="423">
        <f t="shared" si="7"/>
        <v>26798.560000000001</v>
      </c>
      <c r="AF122" s="423">
        <f t="shared" si="7"/>
        <v>-1757.24</v>
      </c>
    </row>
    <row r="123" spans="1:32">
      <c r="A123" s="35">
        <v>115</v>
      </c>
      <c r="C123" s="6" t="s">
        <v>1908</v>
      </c>
      <c r="D123" s="6" t="str">
        <f t="shared" si="8"/>
        <v>00100</v>
      </c>
      <c r="E123" s="423">
        <v>10882.89</v>
      </c>
      <c r="F123" s="423">
        <v>2068.25</v>
      </c>
      <c r="G123" s="423">
        <v>10882.89</v>
      </c>
      <c r="H123" s="423">
        <v>2153.23</v>
      </c>
      <c r="I123" s="423">
        <v>10882.89</v>
      </c>
      <c r="J123" s="423">
        <v>2238.21</v>
      </c>
      <c r="K123" s="423">
        <v>10882.89</v>
      </c>
      <c r="L123" s="423">
        <v>2323.19</v>
      </c>
      <c r="M123" s="423">
        <v>10882.89</v>
      </c>
      <c r="N123" s="423">
        <v>2408.17</v>
      </c>
      <c r="O123" s="423">
        <v>10882.89</v>
      </c>
      <c r="P123" s="423">
        <v>2493.15</v>
      </c>
      <c r="Q123" s="423">
        <v>10882.89</v>
      </c>
      <c r="R123" s="423">
        <v>2578.13</v>
      </c>
      <c r="S123" s="423">
        <v>10882.89</v>
      </c>
      <c r="T123" s="423">
        <v>2663.11</v>
      </c>
      <c r="U123" s="423">
        <v>10882.89</v>
      </c>
      <c r="V123" s="423">
        <v>2748.09</v>
      </c>
      <c r="W123" s="423">
        <v>10882.89</v>
      </c>
      <c r="X123" s="423">
        <v>2833.07</v>
      </c>
      <c r="Y123" s="423">
        <v>10882.89</v>
      </c>
      <c r="Z123" s="423">
        <v>2918.05</v>
      </c>
      <c r="AA123" s="423">
        <v>10882.89</v>
      </c>
      <c r="AB123" s="423">
        <v>3003.03</v>
      </c>
      <c r="AC123" s="423">
        <v>10882.89</v>
      </c>
      <c r="AD123" s="423">
        <v>3088.01</v>
      </c>
      <c r="AE123" s="423">
        <f t="shared" si="7"/>
        <v>10882.89</v>
      </c>
      <c r="AF123" s="423">
        <f t="shared" si="7"/>
        <v>2578.13</v>
      </c>
    </row>
    <row r="124" spans="1:32">
      <c r="A124" s="35">
        <v>116</v>
      </c>
      <c r="C124" s="6" t="s">
        <v>1909</v>
      </c>
      <c r="D124" s="6" t="str">
        <f t="shared" si="8"/>
        <v>00100</v>
      </c>
      <c r="E124" s="423">
        <v>699164.71</v>
      </c>
      <c r="F124" s="423">
        <v>658405.49</v>
      </c>
      <c r="G124" s="423">
        <v>699164.71</v>
      </c>
      <c r="H124" s="423">
        <v>658481.23</v>
      </c>
      <c r="I124" s="423">
        <v>699164.71</v>
      </c>
      <c r="J124" s="423">
        <v>658556.97</v>
      </c>
      <c r="K124" s="423">
        <v>699164.71</v>
      </c>
      <c r="L124" s="423">
        <v>658632.71</v>
      </c>
      <c r="M124" s="423">
        <v>699164.71</v>
      </c>
      <c r="N124" s="423">
        <v>658708.45000000007</v>
      </c>
      <c r="O124" s="423">
        <v>699164.71</v>
      </c>
      <c r="P124" s="423">
        <v>658784.19000000006</v>
      </c>
      <c r="Q124" s="423">
        <v>699164.71</v>
      </c>
      <c r="R124" s="423">
        <v>658859.93000000005</v>
      </c>
      <c r="S124" s="423">
        <v>699164.71</v>
      </c>
      <c r="T124" s="423">
        <v>658935.67000000004</v>
      </c>
      <c r="U124" s="423">
        <v>699164.71</v>
      </c>
      <c r="V124" s="423">
        <v>659011.41</v>
      </c>
      <c r="W124" s="423">
        <v>699164.71</v>
      </c>
      <c r="X124" s="423">
        <v>659087.15</v>
      </c>
      <c r="Y124" s="423">
        <v>699164.71</v>
      </c>
      <c r="Z124" s="423">
        <v>659162.89</v>
      </c>
      <c r="AA124" s="423">
        <v>755929.81</v>
      </c>
      <c r="AB124" s="423">
        <v>659238.63</v>
      </c>
      <c r="AC124" s="423">
        <v>755929.81</v>
      </c>
      <c r="AD124" s="423">
        <v>659320.52</v>
      </c>
      <c r="AE124" s="423">
        <f t="shared" si="7"/>
        <v>706260.34750000003</v>
      </c>
      <c r="AF124" s="423">
        <f t="shared" si="7"/>
        <v>658860.18625000003</v>
      </c>
    </row>
    <row r="125" spans="1:32">
      <c r="A125" s="35">
        <v>117</v>
      </c>
      <c r="C125" s="6" t="s">
        <v>1910</v>
      </c>
      <c r="D125" s="6" t="str">
        <f t="shared" si="8"/>
        <v>00100</v>
      </c>
      <c r="E125" s="423">
        <v>134305.54</v>
      </c>
      <c r="F125" s="423">
        <v>-70992.490000000005</v>
      </c>
      <c r="G125" s="423">
        <v>134305.54</v>
      </c>
      <c r="H125" s="423">
        <v>-69965.05</v>
      </c>
      <c r="I125" s="423">
        <v>134305.54</v>
      </c>
      <c r="J125" s="423">
        <v>-68937.61</v>
      </c>
      <c r="K125" s="423">
        <v>134305.54</v>
      </c>
      <c r="L125" s="423">
        <v>-67910.17</v>
      </c>
      <c r="M125" s="423">
        <v>134305.54</v>
      </c>
      <c r="N125" s="423">
        <v>-66882.73</v>
      </c>
      <c r="O125" s="423">
        <v>134305.54</v>
      </c>
      <c r="P125" s="423">
        <v>-65855.290000000008</v>
      </c>
      <c r="Q125" s="423">
        <v>134305.54</v>
      </c>
      <c r="R125" s="423">
        <v>-64827.85</v>
      </c>
      <c r="S125" s="423">
        <v>134305.54</v>
      </c>
      <c r="T125" s="423">
        <v>-63800.41</v>
      </c>
      <c r="U125" s="423">
        <v>134305.54</v>
      </c>
      <c r="V125" s="423">
        <v>-62772.97</v>
      </c>
      <c r="W125" s="423">
        <v>134305.54</v>
      </c>
      <c r="X125" s="423">
        <v>-61745.53</v>
      </c>
      <c r="Y125" s="423">
        <v>134305.54</v>
      </c>
      <c r="Z125" s="423">
        <v>-60718.090000000004</v>
      </c>
      <c r="AA125" s="423">
        <v>134305.54</v>
      </c>
      <c r="AB125" s="423">
        <v>-59690.65</v>
      </c>
      <c r="AC125" s="423">
        <v>134305.54</v>
      </c>
      <c r="AD125" s="423">
        <v>-58663.21</v>
      </c>
      <c r="AE125" s="423">
        <f t="shared" si="7"/>
        <v>134305.54</v>
      </c>
      <c r="AF125" s="423">
        <f t="shared" si="7"/>
        <v>-64827.85</v>
      </c>
    </row>
    <row r="126" spans="1:32">
      <c r="A126" s="35">
        <v>118</v>
      </c>
      <c r="C126" s="6" t="s">
        <v>1911</v>
      </c>
      <c r="D126" s="6" t="str">
        <f t="shared" si="8"/>
        <v>00100</v>
      </c>
      <c r="E126" s="423">
        <v>59484.53</v>
      </c>
      <c r="F126" s="423">
        <v>-749.38</v>
      </c>
      <c r="G126" s="423">
        <v>59484.53</v>
      </c>
      <c r="H126" s="423">
        <v>-228.39000000000001</v>
      </c>
      <c r="I126" s="423">
        <v>59484.53</v>
      </c>
      <c r="J126" s="423">
        <v>292.60000000000002</v>
      </c>
      <c r="K126" s="423">
        <v>59484.53</v>
      </c>
      <c r="L126" s="423">
        <v>813.59</v>
      </c>
      <c r="M126" s="423">
        <v>59484.53</v>
      </c>
      <c r="N126" s="423">
        <v>1334.58</v>
      </c>
      <c r="O126" s="423">
        <v>59484.53</v>
      </c>
      <c r="P126" s="423">
        <v>1855.57</v>
      </c>
      <c r="Q126" s="423">
        <v>59484.53</v>
      </c>
      <c r="R126" s="423">
        <v>2376.56</v>
      </c>
      <c r="S126" s="423">
        <v>59484.53</v>
      </c>
      <c r="T126" s="423">
        <v>2897.55</v>
      </c>
      <c r="U126" s="423">
        <v>59484.53</v>
      </c>
      <c r="V126" s="423">
        <v>3418.54</v>
      </c>
      <c r="W126" s="423">
        <v>59484.53</v>
      </c>
      <c r="X126" s="423">
        <v>3939.53</v>
      </c>
      <c r="Y126" s="423">
        <v>59484.53</v>
      </c>
      <c r="Z126" s="423">
        <v>4460.5200000000004</v>
      </c>
      <c r="AA126" s="423">
        <v>59484.53</v>
      </c>
      <c r="AB126" s="423">
        <v>4981.51</v>
      </c>
      <c r="AC126" s="423">
        <v>59484.53</v>
      </c>
      <c r="AD126" s="423">
        <v>5502.5</v>
      </c>
      <c r="AE126" s="423">
        <f t="shared" si="7"/>
        <v>59484.530000000021</v>
      </c>
      <c r="AF126" s="423">
        <f t="shared" si="7"/>
        <v>2376.5600000000004</v>
      </c>
    </row>
    <row r="127" spans="1:32">
      <c r="A127" s="35">
        <v>119</v>
      </c>
      <c r="C127" s="6" t="s">
        <v>1912</v>
      </c>
      <c r="D127" s="6" t="str">
        <f t="shared" si="8"/>
        <v>00101</v>
      </c>
      <c r="E127" s="423">
        <v>152895.69</v>
      </c>
      <c r="F127" s="423">
        <v>877.88</v>
      </c>
      <c r="G127" s="423">
        <v>152895.69</v>
      </c>
      <c r="H127" s="423">
        <v>1755.76</v>
      </c>
      <c r="I127" s="423">
        <v>152895.69</v>
      </c>
      <c r="J127" s="423">
        <v>2633.64</v>
      </c>
      <c r="K127" s="423">
        <v>160441.69</v>
      </c>
      <c r="L127" s="423">
        <v>-5239.4800000000005</v>
      </c>
      <c r="M127" s="423">
        <v>1711691.02</v>
      </c>
      <c r="N127" s="423">
        <v>-4318.28</v>
      </c>
      <c r="O127" s="423">
        <v>1814160.85</v>
      </c>
      <c r="P127" s="423">
        <v>5501.22</v>
      </c>
      <c r="Q127" s="423">
        <v>1841077.5899999999</v>
      </c>
      <c r="R127" s="423">
        <v>15917.53</v>
      </c>
      <c r="S127" s="423">
        <v>1841077.5899999999</v>
      </c>
      <c r="T127" s="423">
        <v>26470.74</v>
      </c>
      <c r="U127" s="423">
        <v>1932569.9300000002</v>
      </c>
      <c r="V127" s="423">
        <v>37041.590000000004</v>
      </c>
      <c r="W127" s="423">
        <v>2015329.4</v>
      </c>
      <c r="X127" s="423">
        <v>52694.76</v>
      </c>
      <c r="Y127" s="423">
        <v>2093935.68</v>
      </c>
      <c r="Z127" s="423">
        <v>64266.11</v>
      </c>
      <c r="AA127" s="423">
        <v>2094021.05</v>
      </c>
      <c r="AB127" s="423">
        <v>76288.790000000008</v>
      </c>
      <c r="AC127" s="423">
        <v>2097605.38</v>
      </c>
      <c r="AD127" s="423">
        <v>88311.96</v>
      </c>
      <c r="AE127" s="423">
        <f t="shared" si="7"/>
        <v>1411278.8929166666</v>
      </c>
      <c r="AF127" s="423">
        <f t="shared" si="7"/>
        <v>26467.274999999998</v>
      </c>
    </row>
    <row r="128" spans="1:32">
      <c r="A128" s="35">
        <v>120</v>
      </c>
      <c r="C128" s="6" t="s">
        <v>1913</v>
      </c>
      <c r="D128" s="6" t="str">
        <f t="shared" si="8"/>
        <v>00101</v>
      </c>
      <c r="E128" s="423">
        <v>51182030.329999998</v>
      </c>
      <c r="F128" s="423">
        <v>16837378.149999999</v>
      </c>
      <c r="G128" s="423">
        <v>51160208.359999999</v>
      </c>
      <c r="H128" s="423">
        <v>16899812.190000001</v>
      </c>
      <c r="I128" s="423">
        <v>51060135.469999999</v>
      </c>
      <c r="J128" s="423">
        <v>16852905.27</v>
      </c>
      <c r="K128" s="423">
        <v>51639163.960000001</v>
      </c>
      <c r="L128" s="423">
        <v>16920899.539999999</v>
      </c>
      <c r="M128" s="423">
        <v>50406543.200000003</v>
      </c>
      <c r="N128" s="423">
        <v>16957899.129999999</v>
      </c>
      <c r="O128" s="423">
        <v>51892286.270000003</v>
      </c>
      <c r="P128" s="423">
        <v>17019364.969999999</v>
      </c>
      <c r="Q128" s="423">
        <v>52379921.789999999</v>
      </c>
      <c r="R128" s="423">
        <v>17013189.66</v>
      </c>
      <c r="S128" s="423">
        <v>52727038.460000001</v>
      </c>
      <c r="T128" s="423">
        <v>17083649.920000002</v>
      </c>
      <c r="U128" s="423">
        <v>52882327.759999998</v>
      </c>
      <c r="V128" s="423">
        <v>17183391.899999999</v>
      </c>
      <c r="W128" s="423">
        <v>53103996.219999999</v>
      </c>
      <c r="X128" s="423">
        <v>17141518.27</v>
      </c>
      <c r="Y128" s="423">
        <v>53335011</v>
      </c>
      <c r="Z128" s="423">
        <v>17129958.969999999</v>
      </c>
      <c r="AA128" s="423">
        <v>53897711.869999997</v>
      </c>
      <c r="AB128" s="423">
        <v>17190421.510000002</v>
      </c>
      <c r="AC128" s="423">
        <v>54174250</v>
      </c>
      <c r="AD128" s="423">
        <v>17253698.82</v>
      </c>
      <c r="AE128" s="423">
        <f t="shared" si="7"/>
        <v>52263540.377083331</v>
      </c>
      <c r="AF128" s="423">
        <f t="shared" si="7"/>
        <v>17036545.817916665</v>
      </c>
    </row>
    <row r="129" spans="1:32">
      <c r="A129" s="35">
        <v>121</v>
      </c>
      <c r="C129" s="6" t="s">
        <v>1914</v>
      </c>
      <c r="D129" s="6" t="str">
        <f t="shared" si="8"/>
        <v>00101</v>
      </c>
      <c r="E129" s="423">
        <v>10358744.91</v>
      </c>
      <c r="F129" s="423">
        <v>3715135.11</v>
      </c>
      <c r="G129" s="423">
        <v>10355536.439999999</v>
      </c>
      <c r="H129" s="423">
        <v>3726929.45</v>
      </c>
      <c r="I129" s="423">
        <v>10315040.960000001</v>
      </c>
      <c r="J129" s="423">
        <v>3706454.67</v>
      </c>
      <c r="K129" s="423">
        <v>10333469.91</v>
      </c>
      <c r="L129" s="423">
        <v>3719301.89</v>
      </c>
      <c r="M129" s="423">
        <v>10338986.5</v>
      </c>
      <c r="N129" s="423">
        <v>3725738.58</v>
      </c>
      <c r="O129" s="423">
        <v>10366133.07</v>
      </c>
      <c r="P129" s="423">
        <v>3725109.34</v>
      </c>
      <c r="Q129" s="423">
        <v>10339476.75</v>
      </c>
      <c r="R129" s="423">
        <v>3712275.58</v>
      </c>
      <c r="S129" s="423">
        <v>10339574.16</v>
      </c>
      <c r="T129" s="423">
        <v>3722128.14</v>
      </c>
      <c r="U129" s="423">
        <v>10368697.16</v>
      </c>
      <c r="V129" s="423">
        <v>3742117.98</v>
      </c>
      <c r="W129" s="423">
        <v>10393997.16</v>
      </c>
      <c r="X129" s="423">
        <v>3729577.88</v>
      </c>
      <c r="Y129" s="423">
        <v>10378396.300000001</v>
      </c>
      <c r="Z129" s="423">
        <v>3703590.21</v>
      </c>
      <c r="AA129" s="423">
        <v>10373562.83</v>
      </c>
      <c r="AB129" s="423">
        <v>3707805.92</v>
      </c>
      <c r="AC129" s="423">
        <v>10387456.75</v>
      </c>
      <c r="AD129" s="423">
        <v>3712345.17</v>
      </c>
      <c r="AE129" s="423">
        <f t="shared" si="7"/>
        <v>10356331.005833333</v>
      </c>
      <c r="AF129" s="423">
        <f t="shared" si="7"/>
        <v>3719564.1483333334</v>
      </c>
    </row>
    <row r="130" spans="1:32">
      <c r="A130" s="35">
        <v>122</v>
      </c>
      <c r="B130" s="425" t="s">
        <v>1873</v>
      </c>
      <c r="C130" s="426"/>
      <c r="D130" s="425" t="s">
        <v>1915</v>
      </c>
      <c r="E130" s="427">
        <f>SUM(E91:E129)</f>
        <v>112362136.67000002</v>
      </c>
      <c r="F130" s="427">
        <f t="shared" ref="F130:AF130" si="9">SUM(F91:F129)</f>
        <v>39200450.210000001</v>
      </c>
      <c r="G130" s="427">
        <f t="shared" si="9"/>
        <v>112571769.66999999</v>
      </c>
      <c r="H130" s="427">
        <f t="shared" si="9"/>
        <v>39526591.510000013</v>
      </c>
      <c r="I130" s="427">
        <f t="shared" si="9"/>
        <v>112454606.22</v>
      </c>
      <c r="J130" s="427">
        <f t="shared" si="9"/>
        <v>39755859.020000003</v>
      </c>
      <c r="K130" s="427">
        <f t="shared" si="9"/>
        <v>113101483.36</v>
      </c>
      <c r="L130" s="427">
        <f t="shared" si="9"/>
        <v>40082008.399999999</v>
      </c>
      <c r="M130" s="427">
        <f t="shared" si="9"/>
        <v>113359532.71000001</v>
      </c>
      <c r="N130" s="427">
        <f t="shared" si="9"/>
        <v>40361238.510000005</v>
      </c>
      <c r="O130" s="427">
        <f t="shared" si="9"/>
        <v>115014438.06999999</v>
      </c>
      <c r="P130" s="427">
        <f t="shared" si="9"/>
        <v>40727219.090000004</v>
      </c>
      <c r="Q130" s="427">
        <f t="shared" si="9"/>
        <v>115477290.96000001</v>
      </c>
      <c r="R130" s="427">
        <f t="shared" si="9"/>
        <v>40994379.859999999</v>
      </c>
      <c r="S130" s="427">
        <f t="shared" si="9"/>
        <v>115830751.41</v>
      </c>
      <c r="T130" s="427">
        <f t="shared" si="9"/>
        <v>41364992.230000004</v>
      </c>
      <c r="U130" s="427">
        <f t="shared" si="9"/>
        <v>116340557.40000001</v>
      </c>
      <c r="V130" s="427">
        <f t="shared" si="9"/>
        <v>41780642.32</v>
      </c>
      <c r="W130" s="427">
        <f t="shared" si="9"/>
        <v>116675236.34</v>
      </c>
      <c r="X130" s="427">
        <f t="shared" si="9"/>
        <v>42032811.619999997</v>
      </c>
      <c r="Y130" s="427">
        <f t="shared" si="9"/>
        <v>116988147.11999999</v>
      </c>
      <c r="Z130" s="427">
        <f t="shared" si="9"/>
        <v>42288253.859999999</v>
      </c>
      <c r="AA130" s="427">
        <f t="shared" si="9"/>
        <v>117607026.10999998</v>
      </c>
      <c r="AB130" s="427">
        <f t="shared" si="9"/>
        <v>42645845.780000001</v>
      </c>
      <c r="AC130" s="427">
        <f t="shared" si="9"/>
        <v>117946720.29000001</v>
      </c>
      <c r="AD130" s="427">
        <f t="shared" si="9"/>
        <v>43006649.770000011</v>
      </c>
      <c r="AE130" s="427">
        <f t="shared" si="9"/>
        <v>115047938.98749998</v>
      </c>
      <c r="AF130" s="427">
        <f t="shared" si="9"/>
        <v>41055282.682499997</v>
      </c>
    </row>
    <row r="131" spans="1:32">
      <c r="A131" s="35">
        <v>123</v>
      </c>
      <c r="B131" s="1046" t="s">
        <v>1916</v>
      </c>
      <c r="C131" s="1046"/>
      <c r="D131" s="428"/>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row>
    <row r="132" spans="1:32">
      <c r="A132" s="35">
        <v>124</v>
      </c>
      <c r="C132" s="6" t="s">
        <v>1917</v>
      </c>
      <c r="E132" s="423">
        <v>0</v>
      </c>
      <c r="F132" s="423">
        <v>0</v>
      </c>
      <c r="G132" s="423">
        <v>0</v>
      </c>
      <c r="H132" s="423">
        <v>0</v>
      </c>
      <c r="I132" s="423">
        <v>0</v>
      </c>
      <c r="J132" s="423">
        <v>0</v>
      </c>
      <c r="K132" s="423">
        <v>0</v>
      </c>
      <c r="L132" s="423">
        <v>0</v>
      </c>
      <c r="M132" s="423">
        <v>0</v>
      </c>
      <c r="N132" s="423">
        <v>0</v>
      </c>
      <c r="O132" s="423">
        <v>0</v>
      </c>
      <c r="P132" s="423">
        <v>0</v>
      </c>
      <c r="Q132" s="423">
        <v>0</v>
      </c>
      <c r="R132" s="423">
        <v>0</v>
      </c>
      <c r="S132" s="423">
        <v>0</v>
      </c>
      <c r="T132" s="423">
        <v>0</v>
      </c>
      <c r="U132" s="423">
        <v>87147.19</v>
      </c>
      <c r="V132" s="423">
        <v>30084.41</v>
      </c>
      <c r="W132" s="423">
        <v>87147.19</v>
      </c>
      <c r="X132" s="423">
        <v>30154.9</v>
      </c>
      <c r="Y132" s="423">
        <v>87147.19</v>
      </c>
      <c r="Z132" s="423">
        <v>30225.39</v>
      </c>
      <c r="AA132" s="423">
        <v>87147.19</v>
      </c>
      <c r="AB132" s="423">
        <v>30295.88</v>
      </c>
      <c r="AC132" s="423">
        <v>87147.19</v>
      </c>
      <c r="AD132" s="423">
        <v>30366.37</v>
      </c>
      <c r="AE132" s="423">
        <f t="shared" ref="AE132:AF134" si="10">+(E132+AC132+(+G132+I132+K132+M132+O132+Q132+S132+U132+W132+Y132+AA132)*2)/24</f>
        <v>32680.196249999997</v>
      </c>
      <c r="AF132" s="423">
        <f t="shared" si="10"/>
        <v>11328.647083333335</v>
      </c>
    </row>
    <row r="133" spans="1:32">
      <c r="A133" s="35">
        <v>125</v>
      </c>
      <c r="C133" s="6" t="s">
        <v>1918</v>
      </c>
      <c r="E133" s="423">
        <v>4535.99</v>
      </c>
      <c r="F133" s="423">
        <v>2551.4299999999998</v>
      </c>
      <c r="G133" s="423">
        <v>4535.99</v>
      </c>
      <c r="H133" s="423">
        <v>2559.54</v>
      </c>
      <c r="I133" s="423">
        <v>4535.99</v>
      </c>
      <c r="J133" s="423">
        <v>2567.65</v>
      </c>
      <c r="K133" s="423">
        <v>4535.99</v>
      </c>
      <c r="L133" s="423">
        <v>2575.75</v>
      </c>
      <c r="M133" s="423">
        <v>4535.99</v>
      </c>
      <c r="N133" s="423">
        <v>2583.86</v>
      </c>
      <c r="O133" s="423">
        <v>4535.99</v>
      </c>
      <c r="P133" s="423">
        <v>2591.96</v>
      </c>
      <c r="Q133" s="423">
        <v>4535.99</v>
      </c>
      <c r="R133" s="423">
        <v>2600.0700000000002</v>
      </c>
      <c r="S133" s="423">
        <v>4535.99</v>
      </c>
      <c r="T133" s="423">
        <v>2608.17</v>
      </c>
      <c r="U133" s="423">
        <v>4535.99</v>
      </c>
      <c r="V133" s="423">
        <v>2616.27</v>
      </c>
      <c r="W133" s="423">
        <v>0</v>
      </c>
      <c r="X133" s="423">
        <v>0</v>
      </c>
      <c r="Y133" s="423">
        <v>0</v>
      </c>
      <c r="Z133" s="423">
        <v>0</v>
      </c>
      <c r="AA133" s="423">
        <v>0</v>
      </c>
      <c r="AB133" s="423">
        <v>0</v>
      </c>
      <c r="AC133" s="423">
        <v>0</v>
      </c>
      <c r="AD133" s="423">
        <v>0</v>
      </c>
      <c r="AE133" s="423">
        <f t="shared" si="10"/>
        <v>3212.9929166666661</v>
      </c>
      <c r="AF133" s="423">
        <f t="shared" si="10"/>
        <v>1831.5820833333335</v>
      </c>
    </row>
    <row r="134" spans="1:32">
      <c r="A134" s="35">
        <v>126</v>
      </c>
      <c r="C134" s="6" t="s">
        <v>1919</v>
      </c>
      <c r="E134" s="423">
        <v>15387550.01</v>
      </c>
      <c r="F134" s="423">
        <v>8466077.3900000341</v>
      </c>
      <c r="G134" s="423">
        <v>15387550.01</v>
      </c>
      <c r="H134" s="423">
        <v>3731275.7599998023</v>
      </c>
      <c r="I134" s="423">
        <v>15387550.01</v>
      </c>
      <c r="J134" s="423">
        <v>3731319.9400000405</v>
      </c>
      <c r="K134" s="423">
        <v>15428541.02</v>
      </c>
      <c r="L134" s="423">
        <v>3756741.1300001</v>
      </c>
      <c r="M134" s="423">
        <v>15428541.02</v>
      </c>
      <c r="N134" s="423">
        <v>3756785.3299999214</v>
      </c>
      <c r="O134" s="423">
        <v>15428541.02</v>
      </c>
      <c r="P134" s="423">
        <v>3756829.5099999215</v>
      </c>
      <c r="Q134" s="423">
        <v>15513606.02</v>
      </c>
      <c r="R134" s="423">
        <v>3751844.7100001597</v>
      </c>
      <c r="S134" s="423">
        <v>15513606.02</v>
      </c>
      <c r="T134" s="423">
        <v>3751888.8900000406</v>
      </c>
      <c r="U134" s="423">
        <v>15349364.130000001</v>
      </c>
      <c r="V134" s="423">
        <v>3897392.37</v>
      </c>
      <c r="W134" s="423">
        <v>15304937.890000001</v>
      </c>
      <c r="X134" s="423">
        <v>3875947.42</v>
      </c>
      <c r="Y134" s="423">
        <v>15304937.890000001</v>
      </c>
      <c r="Z134" s="423">
        <v>3893544.55</v>
      </c>
      <c r="AA134" s="423">
        <v>15304937.890000001</v>
      </c>
      <c r="AB134" s="423">
        <v>3911141.64</v>
      </c>
      <c r="AC134" s="423">
        <v>16492357.26</v>
      </c>
      <c r="AD134" s="423">
        <v>3912178.58</v>
      </c>
      <c r="AE134" s="423">
        <f t="shared" si="10"/>
        <v>15441005.546249995</v>
      </c>
      <c r="AF134" s="423">
        <f t="shared" si="10"/>
        <v>4000319.9362499998</v>
      </c>
    </row>
    <row r="135" spans="1:32">
      <c r="A135" s="35">
        <v>127</v>
      </c>
      <c r="B135" s="1047" t="s">
        <v>1916</v>
      </c>
      <c r="C135" s="1047"/>
      <c r="D135" s="425"/>
      <c r="E135" s="427">
        <f>SUM(E132:E134)</f>
        <v>15392086</v>
      </c>
      <c r="F135" s="427">
        <f t="shared" ref="F135:AF135" si="11">SUM(F132:F134)</f>
        <v>8468628.8200000338</v>
      </c>
      <c r="G135" s="427">
        <f t="shared" si="11"/>
        <v>15392086</v>
      </c>
      <c r="H135" s="427">
        <f t="shared" si="11"/>
        <v>3733835.2999998024</v>
      </c>
      <c r="I135" s="427">
        <f t="shared" si="11"/>
        <v>15392086</v>
      </c>
      <c r="J135" s="427">
        <f t="shared" si="11"/>
        <v>3733887.5900000404</v>
      </c>
      <c r="K135" s="427">
        <f t="shared" si="11"/>
        <v>15433077.01</v>
      </c>
      <c r="L135" s="427">
        <f t="shared" si="11"/>
        <v>3759316.8800001</v>
      </c>
      <c r="M135" s="427">
        <f t="shared" si="11"/>
        <v>15433077.01</v>
      </c>
      <c r="N135" s="427">
        <f t="shared" si="11"/>
        <v>3759369.1899999212</v>
      </c>
      <c r="O135" s="427">
        <f t="shared" si="11"/>
        <v>15433077.01</v>
      </c>
      <c r="P135" s="427">
        <f t="shared" si="11"/>
        <v>3759421.4699999215</v>
      </c>
      <c r="Q135" s="427">
        <f t="shared" si="11"/>
        <v>15518142.01</v>
      </c>
      <c r="R135" s="427">
        <f t="shared" si="11"/>
        <v>3754444.7800001595</v>
      </c>
      <c r="S135" s="427">
        <f t="shared" si="11"/>
        <v>15518142.01</v>
      </c>
      <c r="T135" s="427">
        <f t="shared" si="11"/>
        <v>3754497.0600000406</v>
      </c>
      <c r="U135" s="427">
        <f t="shared" si="11"/>
        <v>15441047.310000001</v>
      </c>
      <c r="V135" s="427">
        <f t="shared" si="11"/>
        <v>3930093.0500000003</v>
      </c>
      <c r="W135" s="427">
        <f t="shared" si="11"/>
        <v>15392085.08</v>
      </c>
      <c r="X135" s="427">
        <f t="shared" si="11"/>
        <v>3906102.32</v>
      </c>
      <c r="Y135" s="427">
        <f t="shared" si="11"/>
        <v>15392085.08</v>
      </c>
      <c r="Z135" s="427">
        <f t="shared" si="11"/>
        <v>3923769.94</v>
      </c>
      <c r="AA135" s="427">
        <f t="shared" si="11"/>
        <v>15392085.08</v>
      </c>
      <c r="AB135" s="427">
        <f t="shared" si="11"/>
        <v>3941437.52</v>
      </c>
      <c r="AC135" s="427">
        <f t="shared" si="11"/>
        <v>16579504.449999999</v>
      </c>
      <c r="AD135" s="427">
        <f t="shared" si="11"/>
        <v>3942544.95</v>
      </c>
      <c r="AE135" s="427">
        <f t="shared" si="11"/>
        <v>15476898.735416662</v>
      </c>
      <c r="AF135" s="427">
        <f t="shared" si="11"/>
        <v>4013480.1654166663</v>
      </c>
    </row>
    <row r="136" spans="1:32">
      <c r="A136" s="35">
        <v>128</v>
      </c>
    </row>
    <row r="137" spans="1:32" ht="16.5" thickBot="1">
      <c r="A137" s="35">
        <v>129</v>
      </c>
      <c r="B137" s="430"/>
      <c r="C137" s="431" t="s">
        <v>1920</v>
      </c>
      <c r="D137" s="430"/>
      <c r="E137" s="432">
        <f>SUM(E135,E130,E89,E46)</f>
        <v>870184135.21000016</v>
      </c>
      <c r="F137" s="433">
        <f t="shared" ref="F137:AF137" si="12">SUM(F135,F130,F89,F46)</f>
        <v>433067740.01999992</v>
      </c>
      <c r="G137" s="432">
        <f t="shared" si="12"/>
        <v>871816436.24000001</v>
      </c>
      <c r="H137" s="433">
        <f t="shared" si="12"/>
        <v>434697330.28999996</v>
      </c>
      <c r="I137" s="432">
        <f t="shared" si="12"/>
        <v>873088659.97000015</v>
      </c>
      <c r="J137" s="433">
        <f t="shared" si="12"/>
        <v>436498576.22000003</v>
      </c>
      <c r="K137" s="432">
        <f t="shared" si="12"/>
        <v>876255017.16999996</v>
      </c>
      <c r="L137" s="433">
        <f t="shared" si="12"/>
        <v>437711221.13999999</v>
      </c>
      <c r="M137" s="432">
        <f t="shared" si="12"/>
        <v>879184494.24000001</v>
      </c>
      <c r="N137" s="433">
        <f t="shared" si="12"/>
        <v>439640788.68000001</v>
      </c>
      <c r="O137" s="432">
        <f t="shared" si="12"/>
        <v>882225235.36000013</v>
      </c>
      <c r="P137" s="433">
        <f t="shared" si="12"/>
        <v>441710249.43999994</v>
      </c>
      <c r="Q137" s="432">
        <f t="shared" si="12"/>
        <v>884981171.16999984</v>
      </c>
      <c r="R137" s="433">
        <f t="shared" si="12"/>
        <v>443227594.39000005</v>
      </c>
      <c r="S137" s="432">
        <f t="shared" si="12"/>
        <v>888699901.63</v>
      </c>
      <c r="T137" s="433">
        <f t="shared" si="12"/>
        <v>445185388.59000003</v>
      </c>
      <c r="U137" s="432">
        <f t="shared" si="12"/>
        <v>900821526.50999999</v>
      </c>
      <c r="V137" s="433">
        <f t="shared" si="12"/>
        <v>447162143.47000003</v>
      </c>
      <c r="W137" s="432">
        <f t="shared" si="12"/>
        <v>904664746.21999979</v>
      </c>
      <c r="X137" s="433">
        <f t="shared" si="12"/>
        <v>448787560.88999999</v>
      </c>
      <c r="Y137" s="432">
        <f t="shared" si="12"/>
        <v>910978182.97999966</v>
      </c>
      <c r="Z137" s="433">
        <f t="shared" si="12"/>
        <v>450672015.14999998</v>
      </c>
      <c r="AA137" s="432">
        <f t="shared" si="12"/>
        <v>913158696.38999975</v>
      </c>
      <c r="AB137" s="433">
        <f t="shared" si="12"/>
        <v>452561850.26000011</v>
      </c>
      <c r="AC137" s="432">
        <f t="shared" si="12"/>
        <v>922694563.90999997</v>
      </c>
      <c r="AD137" s="433">
        <f t="shared" si="12"/>
        <v>454336084.94999993</v>
      </c>
      <c r="AE137" s="433">
        <f t="shared" si="12"/>
        <v>890192784.78666639</v>
      </c>
      <c r="AF137" s="433">
        <f t="shared" si="12"/>
        <v>443463052.58374989</v>
      </c>
    </row>
    <row r="138" spans="1:32" ht="16.5" thickTop="1">
      <c r="A138" s="35">
        <v>130</v>
      </c>
      <c r="F138" s="91"/>
      <c r="H138" s="91"/>
      <c r="J138" s="91"/>
      <c r="L138" s="91"/>
      <c r="N138" s="91"/>
      <c r="P138" s="91"/>
      <c r="R138" s="91"/>
      <c r="T138" s="91"/>
    </row>
    <row r="139" spans="1:32">
      <c r="A139" s="35">
        <v>131</v>
      </c>
      <c r="F139" s="91"/>
      <c r="H139" s="91"/>
      <c r="I139" s="91"/>
      <c r="J139" s="91"/>
      <c r="K139" s="91"/>
      <c r="L139" s="91"/>
      <c r="M139" s="91"/>
      <c r="N139" s="91"/>
      <c r="O139" s="91"/>
      <c r="P139" s="91"/>
      <c r="Q139" s="91"/>
      <c r="R139" s="91"/>
      <c r="S139" s="91"/>
      <c r="T139" s="91"/>
      <c r="X139" s="434" t="s">
        <v>1983</v>
      </c>
      <c r="Y139" s="434"/>
      <c r="Z139" s="434"/>
      <c r="AC139" s="435"/>
      <c r="AD139" s="435"/>
      <c r="AE139" s="91">
        <f>+'Working Capital Work Paper'!S11+'Working Capital Work Paper'!S12</f>
        <v>890192784.78249991</v>
      </c>
    </row>
    <row r="140" spans="1:32" ht="30">
      <c r="A140" s="35">
        <v>132</v>
      </c>
      <c r="B140" s="991" t="s">
        <v>2130</v>
      </c>
      <c r="D140" s="10"/>
      <c r="X140" s="434" t="s">
        <v>1984</v>
      </c>
      <c r="AA140" s="436"/>
      <c r="AB140" s="436"/>
      <c r="AC140" s="435"/>
      <c r="AD140" s="435"/>
      <c r="AE140" s="91"/>
      <c r="AF140" s="91">
        <f>-'Working Capital Work Paper'!S27+'Working Capital Work Paper'!S17</f>
        <v>443463061.80874997</v>
      </c>
    </row>
    <row r="141" spans="1:32">
      <c r="A141" s="35">
        <v>133</v>
      </c>
    </row>
    <row r="142" spans="1:32">
      <c r="A142" s="35">
        <v>134</v>
      </c>
      <c r="Q142" s="91"/>
    </row>
    <row r="143" spans="1:32">
      <c r="A143" s="35">
        <v>135</v>
      </c>
      <c r="D143" s="436" t="s">
        <v>1921</v>
      </c>
      <c r="F143" s="91">
        <f>E89</f>
        <v>576210019.71000016</v>
      </c>
      <c r="H143" s="91">
        <f>G89</f>
        <v>577681602.6400001</v>
      </c>
      <c r="J143" s="91">
        <f>I89</f>
        <v>578887129.49000013</v>
      </c>
      <c r="L143" s="91">
        <f>K89</f>
        <v>580920985.41999996</v>
      </c>
      <c r="N143" s="91">
        <f>M89</f>
        <v>583272418.28999996</v>
      </c>
      <c r="P143" s="91">
        <f>O89</f>
        <v>584216840.6500001</v>
      </c>
      <c r="R143" s="91">
        <f>Q89</f>
        <v>585599739.0799998</v>
      </c>
      <c r="T143" s="91">
        <f>S89</f>
        <v>588618364.70000005</v>
      </c>
      <c r="V143" s="91">
        <f>U89</f>
        <v>598832328.44999993</v>
      </c>
      <c r="X143" s="91">
        <f>W89</f>
        <v>601967532.84999979</v>
      </c>
      <c r="Z143" s="91">
        <f>Y89</f>
        <v>607446404.66999972</v>
      </c>
      <c r="AB143" s="91">
        <f>AA89</f>
        <v>608700709.48999977</v>
      </c>
      <c r="AD143" s="91">
        <f>AC89</f>
        <v>614373017.27999997</v>
      </c>
    </row>
    <row r="144" spans="1:32">
      <c r="A144" s="35">
        <v>136</v>
      </c>
      <c r="D144" s="436" t="s">
        <v>1922</v>
      </c>
      <c r="E144" s="437">
        <v>0.75729999999999997</v>
      </c>
      <c r="F144" s="91">
        <f>E144*SUM(E91:E126)</f>
        <v>38371229.104902014</v>
      </c>
      <c r="G144" s="437">
        <v>0.75270000000000004</v>
      </c>
      <c r="H144" s="91">
        <f>G144*SUM(G91:G126)</f>
        <v>38314785.333786003</v>
      </c>
      <c r="I144" s="437">
        <v>0.75270000000000004</v>
      </c>
      <c r="J144" s="91">
        <f>I144*SUM(I91:I126)</f>
        <v>38332402.217070006</v>
      </c>
      <c r="K144" s="437">
        <v>0.75270000000000004</v>
      </c>
      <c r="L144" s="91">
        <f>K144*SUM(K91:K126)</f>
        <v>38363920.551060006</v>
      </c>
      <c r="M144" s="437">
        <v>0.75270000000000004</v>
      </c>
      <c r="N144" s="91">
        <f>M144*SUM(M91:M126)</f>
        <v>38314170.234873004</v>
      </c>
      <c r="O144" s="437">
        <v>0.75270000000000004</v>
      </c>
      <c r="P144" s="91">
        <f>O144*SUM(O91:O126)</f>
        <v>38343936.426276006</v>
      </c>
      <c r="Q144" s="437">
        <v>0.75270000000000004</v>
      </c>
      <c r="R144" s="91">
        <f>Q144*SUM(Q91:Q126)</f>
        <v>38325086.522541009</v>
      </c>
      <c r="S144" s="437">
        <v>0.75270000000000004</v>
      </c>
      <c r="T144" s="91">
        <f>S144*SUM(S91:S126)</f>
        <v>38329788.165240005</v>
      </c>
      <c r="U144" s="437">
        <v>0.75270000000000004</v>
      </c>
      <c r="V144" s="91">
        <f>U144*SUM(U91:U126)</f>
        <v>38505845.711385004</v>
      </c>
      <c r="W144" s="437">
        <v>0.75270000000000004</v>
      </c>
      <c r="X144" s="91">
        <f>W144*SUM(W91:W126)</f>
        <v>38509572.336612001</v>
      </c>
      <c r="Y144" s="437">
        <v>0.75270000000000004</v>
      </c>
      <c r="Z144" s="91">
        <f>Y144*SUM(Y91:Y126)</f>
        <v>38523791.276177995</v>
      </c>
      <c r="AA144" s="437">
        <v>0.75270000000000004</v>
      </c>
      <c r="AB144" s="91">
        <f>AA144*SUM(AA91:AA126)</f>
        <v>38569650.441971995</v>
      </c>
      <c r="AC144" s="437">
        <v>0.75270000000000004</v>
      </c>
      <c r="AD144" s="91">
        <f>AC144*SUM(AC91:AC126)</f>
        <v>38604032.122032002</v>
      </c>
      <c r="AE144" s="91"/>
    </row>
    <row r="145" spans="1:32">
      <c r="A145" s="35">
        <v>137</v>
      </c>
      <c r="D145" s="436" t="s">
        <v>1923</v>
      </c>
      <c r="E145" s="437">
        <v>0.75060000000000004</v>
      </c>
      <c r="F145" s="91">
        <f>SUM(E127:E129)*E145</f>
        <v>46307269.400057994</v>
      </c>
      <c r="G145" s="437">
        <v>0.74880000000000002</v>
      </c>
      <c r="H145" s="91">
        <f>SUM(G127:G129)*G145</f>
        <v>46177477.998911999</v>
      </c>
      <c r="I145" s="437">
        <v>0.74880000000000002</v>
      </c>
      <c r="J145" s="91">
        <f>SUM(I127:I129)*I145</f>
        <v>46072220.403456002</v>
      </c>
      <c r="K145" s="437">
        <v>0.74880000000000002</v>
      </c>
      <c r="L145" s="91">
        <f>SUM(K127:K129)*K145</f>
        <v>46525246.979328007</v>
      </c>
      <c r="M145" s="437">
        <v>0.74880000000000002</v>
      </c>
      <c r="N145" s="91">
        <f>SUM(M127:M129)*M145</f>
        <v>46767966.875136003</v>
      </c>
      <c r="O145" s="437">
        <v>0.74880000000000002</v>
      </c>
      <c r="P145" s="91">
        <f>SUM(O127:O129)*O145</f>
        <v>47977548.046272002</v>
      </c>
      <c r="Q145" s="437">
        <v>0.74880000000000002</v>
      </c>
      <c r="R145" s="91">
        <f>SUM(Q127:Q129)*Q145</f>
        <v>48342884.526143998</v>
      </c>
      <c r="S145" s="437">
        <v>0.74880000000000002</v>
      </c>
      <c r="T145" s="91">
        <f>SUM(S127:S129)*S145</f>
        <v>48602878.429247998</v>
      </c>
      <c r="U145" s="437">
        <v>0.74880000000000002</v>
      </c>
      <c r="V145" s="91">
        <f>SUM(U127:U129)*U145</f>
        <v>48809475.823679999</v>
      </c>
      <c r="W145" s="437">
        <v>0.74880000000000002</v>
      </c>
      <c r="X145" s="91">
        <f>SUM(W127:W129)*W145</f>
        <v>49056376.097663999</v>
      </c>
      <c r="Y145" s="437">
        <v>0.74880000000000002</v>
      </c>
      <c r="Z145" s="91">
        <f>SUM(Y127:Y129)*Y145</f>
        <v>49276538.423424006</v>
      </c>
      <c r="AA145" s="437">
        <v>0.74880000000000002</v>
      </c>
      <c r="AB145" s="91">
        <f>SUM(AA127:AA129)*AA145</f>
        <v>49694333.457599998</v>
      </c>
      <c r="AC145" s="437">
        <v>0.74880000000000002</v>
      </c>
      <c r="AD145" s="91">
        <f>SUM(AC127:AC129)*AC145</f>
        <v>49914492.922944002</v>
      </c>
    </row>
    <row r="146" spans="1:32">
      <c r="A146" s="35">
        <v>138</v>
      </c>
      <c r="F146" s="91"/>
      <c r="H146" s="91"/>
      <c r="J146" s="91"/>
      <c r="L146" s="91"/>
      <c r="N146" s="91"/>
      <c r="P146" s="91"/>
      <c r="R146" s="91"/>
      <c r="T146" s="91"/>
      <c r="V146" s="91"/>
      <c r="X146" s="91"/>
      <c r="Z146" s="91"/>
      <c r="AB146" s="91"/>
      <c r="AD146" s="91"/>
    </row>
    <row r="147" spans="1:32">
      <c r="A147" s="35">
        <v>139</v>
      </c>
      <c r="D147" s="436" t="s">
        <v>1924</v>
      </c>
      <c r="F147" s="91">
        <f>SUM(F143:F145)</f>
        <v>660888518.21496022</v>
      </c>
      <c r="H147" s="91">
        <f>SUM(H143:H145)</f>
        <v>662173865.97269809</v>
      </c>
      <c r="J147" s="91">
        <f>SUM(J143:J145)</f>
        <v>663291752.11052608</v>
      </c>
      <c r="L147" s="91">
        <f>SUM(L143:L145)</f>
        <v>665810152.95038795</v>
      </c>
      <c r="N147" s="91">
        <f>SUM(N143:N145)</f>
        <v>668354555.40000904</v>
      </c>
      <c r="P147" s="91">
        <f>SUM(P143:P145)</f>
        <v>670538325.1225481</v>
      </c>
      <c r="R147" s="91">
        <f>SUM(R143:R145)</f>
        <v>672267710.12868488</v>
      </c>
      <c r="T147" s="91">
        <f>SUM(T143:T145)</f>
        <v>675551031.29448807</v>
      </c>
      <c r="V147" s="91">
        <f>SUM(V143:V145)</f>
        <v>686147649.98506498</v>
      </c>
      <c r="X147" s="91">
        <f>SUM(X143:X145)</f>
        <v>689533481.28427577</v>
      </c>
      <c r="Z147" s="91">
        <f>SUM(Z143:Z145)</f>
        <v>695246734.36960173</v>
      </c>
      <c r="AB147" s="91">
        <f>SUM(AB143:AB145)</f>
        <v>696964693.38957179</v>
      </c>
      <c r="AD147" s="91">
        <f>SUM(AD143:AD145)</f>
        <v>702891542.32497597</v>
      </c>
      <c r="AE147" s="6" t="s">
        <v>1932</v>
      </c>
      <c r="AF147" s="438">
        <f t="shared" ref="AF147" si="13">+(F147+AD147+(+H147+J147+L147+N147+P147+R147+T147+V147+X147+Z147+AB147)*2)/24</f>
        <v>677314165.18981874</v>
      </c>
    </row>
    <row r="148" spans="1:32">
      <c r="A148" s="35">
        <v>140</v>
      </c>
      <c r="AB148" s="91"/>
      <c r="AD148" s="91"/>
    </row>
    <row r="149" spans="1:32">
      <c r="A149" s="35">
        <v>141</v>
      </c>
      <c r="D149" s="436" t="s">
        <v>1921</v>
      </c>
      <c r="F149" s="91">
        <f>F89</f>
        <v>304692694.86999989</v>
      </c>
      <c r="H149" s="91">
        <f>H89</f>
        <v>309480837.00000012</v>
      </c>
      <c r="J149" s="91">
        <f>J89</f>
        <v>310705295.72999996</v>
      </c>
      <c r="L149" s="91">
        <f>L89</f>
        <v>311239204.5999999</v>
      </c>
      <c r="N149" s="91">
        <f>N89</f>
        <v>312471439.2100001</v>
      </c>
      <c r="P149" s="91">
        <f>P89</f>
        <v>313749995.52000004</v>
      </c>
      <c r="R149" s="91">
        <f>R89</f>
        <v>314596173.39999992</v>
      </c>
      <c r="T149" s="91">
        <f>T89</f>
        <v>315768871.25</v>
      </c>
      <c r="V149" s="91">
        <f>V89</f>
        <v>316875748.73000002</v>
      </c>
      <c r="X149" s="91">
        <f>X89</f>
        <v>317897034.14999998</v>
      </c>
      <c r="Z149" s="91">
        <f>Z89</f>
        <v>319107740.81999993</v>
      </c>
      <c r="AB149" s="91">
        <f>AB89</f>
        <v>320289045.50000006</v>
      </c>
      <c r="AD149" s="91">
        <f>AD89</f>
        <v>321296055.43999994</v>
      </c>
    </row>
    <row r="150" spans="1:32">
      <c r="A150" s="35">
        <v>142</v>
      </c>
      <c r="D150" s="436" t="s">
        <v>1922</v>
      </c>
      <c r="F150" s="91">
        <f>E144*SUM(F91:F126)</f>
        <v>14121417.833711002</v>
      </c>
      <c r="H150" s="91">
        <f>G144*SUM(H91:H126)</f>
        <v>14224595.436597006</v>
      </c>
      <c r="J150" s="91">
        <f>I144*SUM(J91:J126)</f>
        <v>14447222.516688002</v>
      </c>
      <c r="L150" s="91">
        <f>K144*SUM(L91:L126)</f>
        <v>14637791.862915</v>
      </c>
      <c r="N150" s="91">
        <f>M144*SUM(N91:N126)</f>
        <v>14814580.491516005</v>
      </c>
      <c r="P150" s="91">
        <f>O144*SUM(P91:P126)</f>
        <v>15036871.227612006</v>
      </c>
      <c r="R150" s="91">
        <f>Q144*SUM(R91:R126)</f>
        <v>15244430.909643</v>
      </c>
      <c r="T150" s="91">
        <f>S144*SUM(T91:T126)</f>
        <v>15454995.979761003</v>
      </c>
      <c r="V150" s="91">
        <f>U144*SUM(V91:V126)</f>
        <v>15669776.982795002</v>
      </c>
      <c r="X150" s="91">
        <f>W144*SUM(X91:X126)</f>
        <v>15888759.888416998</v>
      </c>
      <c r="Z150" s="91">
        <f>Y144*SUM(Z91:Z126)</f>
        <v>16100583.111639</v>
      </c>
      <c r="AB150" s="91">
        <f>AA144*SUM(AB91:AB126)</f>
        <v>16312009.759812003</v>
      </c>
      <c r="AD150" s="91">
        <f>AC144*SUM(AD91:AD126)</f>
        <v>16523491.558314003</v>
      </c>
    </row>
    <row r="151" spans="1:32">
      <c r="A151" s="35">
        <v>143</v>
      </c>
      <c r="D151" s="436" t="s">
        <v>1923</v>
      </c>
      <c r="F151" s="91">
        <f>SUM(F127:F129)*E145</f>
        <v>15427375.389683999</v>
      </c>
      <c r="H151" s="91">
        <f>SUM(H127:H129)*G145</f>
        <v>15446618.853120003</v>
      </c>
      <c r="J151" s="91">
        <f>SUM(J127:J129)*I145</f>
        <v>15396820.792703999</v>
      </c>
      <c r="L151" s="91">
        <f>SUM(L127:L129)*K145</f>
        <v>15451459.508160001</v>
      </c>
      <c r="N151" s="91">
        <f>SUM(N127:N129)*M145</f>
        <v>15484674.389184</v>
      </c>
      <c r="P151" s="91">
        <f>SUM(P127:P129)*O145</f>
        <v>15537581.676863998</v>
      </c>
      <c r="R151" s="91">
        <f>SUM(R127:R129)*Q145</f>
        <v>15531147.418176003</v>
      </c>
      <c r="T151" s="91">
        <f>SUM(T127:T129)*S145</f>
        <v>15599187.90144</v>
      </c>
      <c r="V151" s="91">
        <f>SUM(V127:V129)*U145</f>
        <v>15696758.540735999</v>
      </c>
      <c r="X151" s="91">
        <f>SUM(X127:X129)*W145</f>
        <v>15667734.633408001</v>
      </c>
      <c r="Z151" s="91">
        <f>SUM(Z127:Z129)*Y145</f>
        <v>15648284.089151999</v>
      </c>
      <c r="AB151" s="91">
        <f>SUM(AB127:AB129)*AA145</f>
        <v>15705717.745536</v>
      </c>
      <c r="AD151" s="91">
        <f>SUM(AD127:AD129)*AC145</f>
        <v>15765501.735360002</v>
      </c>
    </row>
    <row r="152" spans="1:32">
      <c r="A152" s="35">
        <v>144</v>
      </c>
      <c r="F152" s="91"/>
      <c r="H152" s="91"/>
      <c r="J152" s="91"/>
      <c r="L152" s="91"/>
      <c r="N152" s="91"/>
      <c r="P152" s="91"/>
      <c r="R152" s="91"/>
      <c r="T152" s="91"/>
      <c r="V152" s="91"/>
      <c r="X152" s="91"/>
      <c r="Z152" s="91"/>
      <c r="AB152" s="91"/>
      <c r="AD152" s="91"/>
    </row>
    <row r="153" spans="1:32">
      <c r="A153" s="35">
        <v>145</v>
      </c>
      <c r="D153" s="436" t="s">
        <v>1925</v>
      </c>
      <c r="F153" s="91">
        <f>SUM(F149:F151)</f>
        <v>334241488.09339494</v>
      </c>
      <c r="H153" s="91">
        <f>SUM(H149:H151)</f>
        <v>339152051.28971714</v>
      </c>
      <c r="J153" s="91">
        <f>SUM(J149:J151)</f>
        <v>340549339.03939193</v>
      </c>
      <c r="L153" s="91">
        <f>SUM(L149:L151)</f>
        <v>341328455.97107488</v>
      </c>
      <c r="N153" s="91">
        <f>SUM(N149:N151)</f>
        <v>342770694.09070009</v>
      </c>
      <c r="P153" s="91">
        <f>SUM(P149:P151)</f>
        <v>344324448.42447603</v>
      </c>
      <c r="R153" s="91">
        <f>SUM(R149:R151)</f>
        <v>345371751.72781891</v>
      </c>
      <c r="T153" s="91">
        <f>SUM(T149:T151)</f>
        <v>346823055.13120103</v>
      </c>
      <c r="V153" s="91">
        <f>SUM(V149:V151)</f>
        <v>348242284.25353104</v>
      </c>
      <c r="X153" s="91">
        <f>SUM(X149:X151)</f>
        <v>349453528.67182499</v>
      </c>
      <c r="Z153" s="91">
        <f>SUM(Z149:Z151)</f>
        <v>350856608.02079093</v>
      </c>
      <c r="AB153" s="91">
        <f>SUM(AB149:AB151)</f>
        <v>352306773.00534809</v>
      </c>
      <c r="AD153" s="91">
        <f>SUM(AD149:AD151)</f>
        <v>353585048.73367399</v>
      </c>
      <c r="AE153" s="6" t="s">
        <v>1933</v>
      </c>
      <c r="AF153" s="438">
        <f t="shared" ref="AF153" si="14">+(F153+AD153+(+H153+J153+L153+N153+P153+R153+T153+V153+X153+Z153+AB153)*2)/24</f>
        <v>345424354.83661753</v>
      </c>
    </row>
  </sheetData>
  <mergeCells count="22">
    <mergeCell ref="B131:C131"/>
    <mergeCell ref="B135:C135"/>
    <mergeCell ref="A5:G5"/>
    <mergeCell ref="A1:G1"/>
    <mergeCell ref="A2:G2"/>
    <mergeCell ref="A3:G3"/>
    <mergeCell ref="A4:G4"/>
    <mergeCell ref="Y5:AA5"/>
    <mergeCell ref="J5:L5"/>
    <mergeCell ref="R1:S1"/>
    <mergeCell ref="R2:S2"/>
    <mergeCell ref="R3:S3"/>
    <mergeCell ref="R4:S4"/>
    <mergeCell ref="R5:S5"/>
    <mergeCell ref="J1:L1"/>
    <mergeCell ref="J2:L2"/>
    <mergeCell ref="J3:L3"/>
    <mergeCell ref="J4:L4"/>
    <mergeCell ref="Y1:AA1"/>
    <mergeCell ref="Y2:AA2"/>
    <mergeCell ref="Y3:AA3"/>
    <mergeCell ref="Y4:AA4"/>
  </mergeCells>
  <printOptions horizontalCentered="1"/>
  <pageMargins left="0.7" right="0.7" top="0.75" bottom="0.75" header="0.3" footer="0.3"/>
  <pageSetup scale="52" orientation="landscape" r:id="rId1"/>
  <headerFooter scaleWithDoc="0" alignWithMargins="0">
    <oddHeader>&amp;RPage &amp;P of &amp;N</oddHeader>
    <oddFooter>&amp;LElectronic Tab Name:&amp;A</oddFooter>
  </headerFooter>
  <rowBreaks count="1" manualBreakCount="1">
    <brk id="54" max="16383" man="1"/>
  </rowBreaks>
  <colBreaks count="4" manualBreakCount="4">
    <brk id="7" max="1048575" man="1"/>
    <brk id="14" max="1048575" man="1"/>
    <brk id="22"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61"/>
  <sheetViews>
    <sheetView view="pageBreakPreview" zoomScale="60" zoomScaleNormal="100" workbookViewId="0">
      <selection activeCell="A3" sqref="A3:H3"/>
    </sheetView>
  </sheetViews>
  <sheetFormatPr defaultRowHeight="15.75"/>
  <cols>
    <col min="1" max="1" width="9.42578125" style="35" bestFit="1" customWidth="1"/>
    <col min="2" max="2" width="22.140625" style="6" bestFit="1" customWidth="1"/>
    <col min="3" max="3" width="9.140625" style="6"/>
    <col min="4" max="4" width="4.5703125" style="6" customWidth="1"/>
    <col min="5" max="9" width="9.140625" style="6"/>
    <col min="10" max="10" width="21.28515625" style="6" bestFit="1" customWidth="1"/>
    <col min="11" max="12" width="20.42578125" style="6" bestFit="1" customWidth="1"/>
    <col min="13" max="13" width="21.85546875" style="6" bestFit="1" customWidth="1"/>
    <col min="14" max="14" width="20.42578125" style="6" bestFit="1" customWidth="1"/>
    <col min="15" max="15" width="19.85546875" style="6" bestFit="1" customWidth="1"/>
    <col min="16" max="16" width="21.28515625" style="6" bestFit="1" customWidth="1"/>
    <col min="17" max="18" width="20.42578125" style="6" bestFit="1" customWidth="1"/>
    <col min="19" max="19" width="20.5703125" style="6" bestFit="1" customWidth="1"/>
    <col min="20" max="21" width="19.85546875" style="6" bestFit="1" customWidth="1"/>
    <col min="22" max="22" width="20.42578125" style="6" bestFit="1" customWidth="1"/>
    <col min="23" max="23" width="19.85546875" style="6" bestFit="1" customWidth="1"/>
    <col min="24" max="24" width="20.42578125" style="6" bestFit="1" customWidth="1"/>
    <col min="25" max="25" width="20.5703125" style="6" bestFit="1" customWidth="1"/>
    <col min="26" max="27" width="20.42578125" style="6" bestFit="1" customWidth="1"/>
    <col min="28" max="28" width="20.5703125" style="6" bestFit="1" customWidth="1"/>
    <col min="29" max="30" width="20.42578125" style="6" bestFit="1" customWidth="1"/>
    <col min="31" max="31" width="20.5703125" style="6" bestFit="1" customWidth="1"/>
    <col min="32" max="32" width="19.42578125" style="6" bestFit="1" customWidth="1"/>
    <col min="33" max="34" width="19.85546875" style="6" bestFit="1" customWidth="1"/>
    <col min="35" max="36" width="20.42578125" style="6" bestFit="1" customWidth="1"/>
    <col min="37" max="37" width="21.85546875" style="6" bestFit="1" customWidth="1"/>
    <col min="38" max="38" width="19.85546875" style="6" bestFit="1" customWidth="1"/>
    <col min="39" max="39" width="20.42578125" style="6" bestFit="1" customWidth="1"/>
    <col min="40" max="40" width="21.28515625" style="6" bestFit="1" customWidth="1"/>
    <col min="41" max="41" width="20.42578125" style="6" bestFit="1" customWidth="1"/>
    <col min="42" max="42" width="19.85546875" style="6" bestFit="1" customWidth="1"/>
    <col min="43" max="43" width="21.28515625" style="6" bestFit="1" customWidth="1"/>
    <col min="44" max="44" width="19.85546875" style="6" bestFit="1" customWidth="1"/>
    <col min="45" max="45" width="19.42578125" style="6" bestFit="1" customWidth="1"/>
    <col min="46" max="46" width="21.85546875" style="6" bestFit="1" customWidth="1"/>
    <col min="47" max="47" width="20.42578125" style="6" bestFit="1" customWidth="1"/>
    <col min="48" max="48" width="19.85546875" style="6" bestFit="1" customWidth="1"/>
    <col min="49" max="49" width="20.5703125" style="6" bestFit="1" customWidth="1"/>
    <col min="50" max="50" width="17.5703125" style="6" bestFit="1" customWidth="1"/>
    <col min="51" max="51" width="16.5703125" style="6" customWidth="1"/>
    <col min="52" max="16384" width="9.140625" style="6"/>
  </cols>
  <sheetData>
    <row r="1" spans="1:51">
      <c r="E1" s="1025" t="s">
        <v>61</v>
      </c>
      <c r="F1" s="1025"/>
      <c r="G1" s="1025"/>
      <c r="H1" s="1025"/>
      <c r="I1" s="1025"/>
      <c r="J1" s="1025"/>
      <c r="K1" s="1025"/>
      <c r="R1" s="1025" t="s">
        <v>61</v>
      </c>
      <c r="S1" s="1025"/>
      <c r="T1" s="1025"/>
      <c r="U1" s="1025"/>
      <c r="V1" s="5"/>
      <c r="W1" s="5"/>
      <c r="X1" s="5"/>
      <c r="Y1" s="5"/>
      <c r="AB1" s="1025" t="s">
        <v>61</v>
      </c>
      <c r="AC1" s="1025"/>
      <c r="AD1" s="1025"/>
      <c r="AE1" s="1025"/>
      <c r="AF1" s="5"/>
      <c r="AG1" s="5"/>
      <c r="AK1" s="1025" t="s">
        <v>61</v>
      </c>
      <c r="AL1" s="1025"/>
      <c r="AM1" s="1025"/>
      <c r="AN1" s="1025"/>
      <c r="AO1" s="1025"/>
      <c r="AU1" s="1025" t="s">
        <v>61</v>
      </c>
      <c r="AV1" s="1025"/>
      <c r="AW1" s="1025"/>
      <c r="AX1" s="1025"/>
      <c r="AY1" s="1025"/>
    </row>
    <row r="2" spans="1:51">
      <c r="E2" s="8"/>
      <c r="F2" s="1025" t="s">
        <v>1690</v>
      </c>
      <c r="G2" s="1025"/>
      <c r="H2" s="1025"/>
      <c r="I2" s="1025"/>
      <c r="J2" s="1025"/>
      <c r="K2" s="8"/>
      <c r="R2" s="1025" t="s">
        <v>1690</v>
      </c>
      <c r="S2" s="1025"/>
      <c r="T2" s="1025"/>
      <c r="U2" s="1025"/>
      <c r="V2" s="5"/>
      <c r="W2" s="5"/>
      <c r="X2" s="5"/>
      <c r="Y2" s="8"/>
      <c r="AA2" s="8"/>
      <c r="AB2" s="1025" t="s">
        <v>1690</v>
      </c>
      <c r="AC2" s="1025"/>
      <c r="AD2" s="1025"/>
      <c r="AE2" s="1025"/>
      <c r="AF2" s="5"/>
      <c r="AG2" s="8"/>
      <c r="AK2" s="1025" t="s">
        <v>1690</v>
      </c>
      <c r="AL2" s="1025"/>
      <c r="AM2" s="1025"/>
      <c r="AN2" s="1025"/>
      <c r="AO2" s="1025"/>
      <c r="AS2" s="8"/>
      <c r="AU2" s="1025" t="s">
        <v>1690</v>
      </c>
      <c r="AV2" s="1025"/>
      <c r="AW2" s="1025"/>
      <c r="AX2" s="1025"/>
      <c r="AY2" s="1025"/>
    </row>
    <row r="3" spans="1:51">
      <c r="E3" s="8"/>
      <c r="F3" s="1025" t="s">
        <v>1699</v>
      </c>
      <c r="G3" s="1025"/>
      <c r="H3" s="1025"/>
      <c r="I3" s="1025"/>
      <c r="J3" s="1025"/>
      <c r="K3" s="8"/>
      <c r="R3" s="1025" t="s">
        <v>1699</v>
      </c>
      <c r="S3" s="1025"/>
      <c r="T3" s="1025"/>
      <c r="U3" s="1025"/>
      <c r="V3" s="5"/>
      <c r="W3" s="5"/>
      <c r="X3" s="5"/>
      <c r="Y3" s="8"/>
      <c r="AA3" s="8"/>
      <c r="AB3" s="1025" t="s">
        <v>1699</v>
      </c>
      <c r="AC3" s="1025"/>
      <c r="AD3" s="1025"/>
      <c r="AE3" s="1025"/>
      <c r="AF3" s="5"/>
      <c r="AG3" s="8"/>
      <c r="AK3" s="1025" t="s">
        <v>1699</v>
      </c>
      <c r="AL3" s="1025"/>
      <c r="AM3" s="1025"/>
      <c r="AN3" s="1025"/>
      <c r="AO3" s="1025"/>
      <c r="AS3" s="8"/>
      <c r="AU3" s="1025" t="s">
        <v>1699</v>
      </c>
      <c r="AV3" s="1025"/>
      <c r="AW3" s="1025"/>
      <c r="AX3" s="1025"/>
      <c r="AY3" s="1025"/>
    </row>
    <row r="4" spans="1:51">
      <c r="E4" s="1025" t="s">
        <v>2061</v>
      </c>
      <c r="F4" s="1025"/>
      <c r="G4" s="1025"/>
      <c r="H4" s="1025"/>
      <c r="I4" s="1025"/>
      <c r="J4" s="1025"/>
      <c r="K4" s="1025"/>
      <c r="R4" s="1025" t="s">
        <v>2061</v>
      </c>
      <c r="S4" s="1025"/>
      <c r="T4" s="1025"/>
      <c r="U4" s="1025"/>
      <c r="V4" s="5"/>
      <c r="W4" s="5"/>
      <c r="X4" s="5"/>
      <c r="Y4" s="5"/>
      <c r="AB4" s="1025" t="s">
        <v>2061</v>
      </c>
      <c r="AC4" s="1025"/>
      <c r="AD4" s="1025"/>
      <c r="AE4" s="1025"/>
      <c r="AF4" s="5"/>
      <c r="AG4" s="5"/>
      <c r="AK4" s="1025" t="s">
        <v>2061</v>
      </c>
      <c r="AL4" s="1025"/>
      <c r="AM4" s="1025"/>
      <c r="AN4" s="1025"/>
      <c r="AO4" s="1025"/>
      <c r="AU4" s="1025" t="s">
        <v>2061</v>
      </c>
      <c r="AV4" s="1025"/>
      <c r="AW4" s="1025"/>
      <c r="AX4" s="1025"/>
      <c r="AY4" s="1025"/>
    </row>
    <row r="5" spans="1:51">
      <c r="F5" s="1025" t="s">
        <v>985</v>
      </c>
      <c r="G5" s="1025"/>
      <c r="H5" s="1025"/>
      <c r="I5" s="1025"/>
      <c r="J5" s="1025"/>
      <c r="R5" s="1025" t="s">
        <v>985</v>
      </c>
      <c r="S5" s="1025"/>
      <c r="T5" s="1025"/>
      <c r="U5" s="1025"/>
      <c r="V5" s="5"/>
      <c r="W5" s="5"/>
      <c r="X5" s="5"/>
      <c r="AB5" s="1025" t="s">
        <v>985</v>
      </c>
      <c r="AC5" s="1025"/>
      <c r="AD5" s="1025"/>
      <c r="AE5" s="1025"/>
      <c r="AF5" s="5"/>
      <c r="AK5" s="1025" t="s">
        <v>985</v>
      </c>
      <c r="AL5" s="1025"/>
      <c r="AM5" s="1025"/>
      <c r="AN5" s="1025"/>
      <c r="AO5" s="1025"/>
      <c r="AU5" s="1025" t="s">
        <v>985</v>
      </c>
      <c r="AV5" s="1025"/>
      <c r="AW5" s="1025"/>
      <c r="AX5" s="1025"/>
      <c r="AY5" s="1025"/>
    </row>
    <row r="8" spans="1:51" s="35" customFormat="1" ht="16.5" thickBot="1">
      <c r="A8" s="35" t="s">
        <v>891</v>
      </c>
      <c r="B8" s="35" t="s">
        <v>1731</v>
      </c>
      <c r="C8" s="35" t="s">
        <v>1729</v>
      </c>
      <c r="E8" s="35" t="s">
        <v>1730</v>
      </c>
      <c r="F8" s="35" t="s">
        <v>1733</v>
      </c>
      <c r="G8" s="35" t="s">
        <v>1734</v>
      </c>
      <c r="H8" s="35" t="s">
        <v>1743</v>
      </c>
      <c r="I8" s="35" t="s">
        <v>1744</v>
      </c>
      <c r="J8" s="35" t="s">
        <v>1745</v>
      </c>
      <c r="K8" s="35" t="s">
        <v>1746</v>
      </c>
      <c r="L8" s="35" t="s">
        <v>1747</v>
      </c>
      <c r="M8" s="35" t="s">
        <v>1748</v>
      </c>
      <c r="N8" s="35" t="s">
        <v>1938</v>
      </c>
      <c r="O8" s="35" t="s">
        <v>1750</v>
      </c>
      <c r="P8" s="35" t="s">
        <v>1751</v>
      </c>
      <c r="Q8" s="35" t="s">
        <v>1752</v>
      </c>
      <c r="R8" s="35" t="s">
        <v>2026</v>
      </c>
      <c r="S8" s="35" t="s">
        <v>2027</v>
      </c>
      <c r="T8" s="35" t="s">
        <v>2028</v>
      </c>
      <c r="U8" s="35" t="s">
        <v>2029</v>
      </c>
      <c r="V8" s="35" t="s">
        <v>2030</v>
      </c>
      <c r="W8" s="35" t="s">
        <v>2031</v>
      </c>
      <c r="X8" s="35" t="s">
        <v>2032</v>
      </c>
      <c r="Y8" s="35" t="s">
        <v>2033</v>
      </c>
      <c r="Z8" s="35" t="s">
        <v>2034</v>
      </c>
      <c r="AA8" s="35" t="s">
        <v>2035</v>
      </c>
      <c r="AB8" s="35" t="s">
        <v>2036</v>
      </c>
      <c r="AC8" s="35" t="s">
        <v>1181</v>
      </c>
      <c r="AD8" s="35" t="s">
        <v>2037</v>
      </c>
      <c r="AE8" s="35" t="s">
        <v>2038</v>
      </c>
      <c r="AF8" s="35" t="s">
        <v>2039</v>
      </c>
      <c r="AG8" s="35" t="s">
        <v>2040</v>
      </c>
      <c r="AH8" s="35" t="s">
        <v>2044</v>
      </c>
      <c r="AI8" s="35" t="s">
        <v>2045</v>
      </c>
      <c r="AJ8" s="35" t="s">
        <v>2046</v>
      </c>
      <c r="AK8" s="35" t="s">
        <v>2047</v>
      </c>
      <c r="AL8" s="35" t="s">
        <v>2048</v>
      </c>
      <c r="AM8" s="35" t="s">
        <v>2049</v>
      </c>
      <c r="AN8" s="35" t="s">
        <v>2050</v>
      </c>
      <c r="AO8" s="35" t="s">
        <v>2051</v>
      </c>
      <c r="AP8" s="35" t="s">
        <v>2052</v>
      </c>
      <c r="AQ8" s="35" t="s">
        <v>2053</v>
      </c>
      <c r="AR8" s="35" t="s">
        <v>2054</v>
      </c>
      <c r="AS8" s="35" t="s">
        <v>2055</v>
      </c>
      <c r="AT8" s="35" t="s">
        <v>2056</v>
      </c>
      <c r="AU8" s="35" t="s">
        <v>1873</v>
      </c>
      <c r="AV8" s="35" t="s">
        <v>2057</v>
      </c>
      <c r="AW8" s="35" t="s">
        <v>2058</v>
      </c>
      <c r="AX8" s="35" t="s">
        <v>2059</v>
      </c>
      <c r="AY8" s="35" t="s">
        <v>2060</v>
      </c>
    </row>
    <row r="9" spans="1:51">
      <c r="A9" s="35">
        <v>1</v>
      </c>
      <c r="B9" s="1050" t="s">
        <v>2129</v>
      </c>
      <c r="C9" s="1051"/>
      <c r="D9" s="1051"/>
      <c r="E9" s="1052"/>
      <c r="F9" s="1062" t="s">
        <v>395</v>
      </c>
      <c r="G9" s="1062"/>
      <c r="H9" s="1062"/>
      <c r="I9" s="1063"/>
      <c r="J9" s="439" t="s">
        <v>1181</v>
      </c>
      <c r="K9" s="440" t="s">
        <v>1934</v>
      </c>
      <c r="L9" s="441" t="s">
        <v>1935</v>
      </c>
      <c r="M9" s="439" t="s">
        <v>1181</v>
      </c>
      <c r="N9" s="440" t="s">
        <v>1934</v>
      </c>
      <c r="O9" s="441" t="s">
        <v>1935</v>
      </c>
      <c r="P9" s="439" t="s">
        <v>1181</v>
      </c>
      <c r="Q9" s="440" t="s">
        <v>1934</v>
      </c>
      <c r="R9" s="441" t="s">
        <v>1935</v>
      </c>
      <c r="S9" s="439" t="s">
        <v>1181</v>
      </c>
      <c r="T9" s="440" t="s">
        <v>1934</v>
      </c>
      <c r="U9" s="441" t="s">
        <v>1935</v>
      </c>
      <c r="V9" s="439" t="s">
        <v>1181</v>
      </c>
      <c r="W9" s="440" t="s">
        <v>1934</v>
      </c>
      <c r="X9" s="441" t="s">
        <v>1935</v>
      </c>
      <c r="Y9" s="439" t="s">
        <v>1181</v>
      </c>
      <c r="Z9" s="440" t="s">
        <v>1934</v>
      </c>
      <c r="AA9" s="441" t="s">
        <v>1935</v>
      </c>
      <c r="AB9" s="439" t="s">
        <v>1181</v>
      </c>
      <c r="AC9" s="440" t="s">
        <v>1934</v>
      </c>
      <c r="AD9" s="441" t="s">
        <v>1935</v>
      </c>
      <c r="AE9" s="439" t="s">
        <v>1181</v>
      </c>
      <c r="AF9" s="440" t="s">
        <v>1934</v>
      </c>
      <c r="AG9" s="441" t="s">
        <v>1935</v>
      </c>
      <c r="AH9" s="439" t="s">
        <v>1181</v>
      </c>
      <c r="AI9" s="440" t="s">
        <v>1934</v>
      </c>
      <c r="AJ9" s="441" t="s">
        <v>1935</v>
      </c>
      <c r="AK9" s="439" t="s">
        <v>1181</v>
      </c>
      <c r="AL9" s="440" t="s">
        <v>1934</v>
      </c>
      <c r="AM9" s="441" t="s">
        <v>1935</v>
      </c>
      <c r="AN9" s="439" t="s">
        <v>1181</v>
      </c>
      <c r="AO9" s="440" t="s">
        <v>1934</v>
      </c>
      <c r="AP9" s="441" t="s">
        <v>1935</v>
      </c>
      <c r="AQ9" s="439" t="s">
        <v>1181</v>
      </c>
      <c r="AR9" s="440" t="s">
        <v>1934</v>
      </c>
      <c r="AS9" s="441" t="s">
        <v>1935</v>
      </c>
      <c r="AT9" s="439" t="s">
        <v>1181</v>
      </c>
      <c r="AU9" s="440" t="s">
        <v>1934</v>
      </c>
      <c r="AV9" s="441" t="s">
        <v>1935</v>
      </c>
      <c r="AW9" s="442" t="s">
        <v>1976</v>
      </c>
      <c r="AX9" s="442" t="s">
        <v>112</v>
      </c>
      <c r="AY9" s="442" t="s">
        <v>86</v>
      </c>
    </row>
    <row r="10" spans="1:51">
      <c r="A10" s="35">
        <v>2</v>
      </c>
      <c r="B10" s="1053"/>
      <c r="C10" s="1054"/>
      <c r="D10" s="1054"/>
      <c r="E10" s="1055"/>
      <c r="F10" s="1048" t="s">
        <v>396</v>
      </c>
      <c r="G10" s="1048"/>
      <c r="H10" s="1048"/>
      <c r="I10" s="1049"/>
      <c r="J10" s="443" t="s">
        <v>1936</v>
      </c>
      <c r="K10" s="444" t="s">
        <v>1936</v>
      </c>
      <c r="L10" s="445" t="s">
        <v>1936</v>
      </c>
      <c r="M10" s="443" t="s">
        <v>1937</v>
      </c>
      <c r="N10" s="444" t="s">
        <v>1937</v>
      </c>
      <c r="O10" s="445" t="s">
        <v>1937</v>
      </c>
      <c r="P10" s="443" t="s">
        <v>1937</v>
      </c>
      <c r="Q10" s="444" t="s">
        <v>1937</v>
      </c>
      <c r="R10" s="445" t="s">
        <v>1937</v>
      </c>
      <c r="S10" s="443" t="s">
        <v>1937</v>
      </c>
      <c r="T10" s="444" t="s">
        <v>1937</v>
      </c>
      <c r="U10" s="445" t="s">
        <v>1937</v>
      </c>
      <c r="V10" s="443" t="s">
        <v>1937</v>
      </c>
      <c r="W10" s="444" t="s">
        <v>1937</v>
      </c>
      <c r="X10" s="445" t="s">
        <v>1937</v>
      </c>
      <c r="Y10" s="443" t="s">
        <v>1937</v>
      </c>
      <c r="Z10" s="444" t="s">
        <v>1937</v>
      </c>
      <c r="AA10" s="445" t="s">
        <v>1937</v>
      </c>
      <c r="AB10" s="443" t="s">
        <v>1937</v>
      </c>
      <c r="AC10" s="444" t="s">
        <v>1937</v>
      </c>
      <c r="AD10" s="445" t="s">
        <v>1937</v>
      </c>
      <c r="AE10" s="443" t="s">
        <v>1937</v>
      </c>
      <c r="AF10" s="444" t="s">
        <v>1937</v>
      </c>
      <c r="AG10" s="445" t="s">
        <v>1937</v>
      </c>
      <c r="AH10" s="443" t="s">
        <v>1937</v>
      </c>
      <c r="AI10" s="444" t="s">
        <v>1937</v>
      </c>
      <c r="AJ10" s="445" t="s">
        <v>1937</v>
      </c>
      <c r="AK10" s="443" t="s">
        <v>1937</v>
      </c>
      <c r="AL10" s="444" t="s">
        <v>1937</v>
      </c>
      <c r="AM10" s="445" t="s">
        <v>1937</v>
      </c>
      <c r="AN10" s="443" t="s">
        <v>1937</v>
      </c>
      <c r="AO10" s="444" t="s">
        <v>1937</v>
      </c>
      <c r="AP10" s="445" t="s">
        <v>1937</v>
      </c>
      <c r="AQ10" s="443" t="s">
        <v>1937</v>
      </c>
      <c r="AR10" s="444" t="s">
        <v>1937</v>
      </c>
      <c r="AS10" s="445" t="s">
        <v>1937</v>
      </c>
      <c r="AT10" s="443" t="s">
        <v>1937</v>
      </c>
      <c r="AU10" s="444" t="s">
        <v>1937</v>
      </c>
      <c r="AV10" s="445" t="s">
        <v>1937</v>
      </c>
    </row>
    <row r="11" spans="1:51">
      <c r="A11" s="35">
        <v>3</v>
      </c>
      <c r="B11" s="1053"/>
      <c r="C11" s="1054"/>
      <c r="D11" s="1054"/>
      <c r="E11" s="1055"/>
      <c r="F11" s="1048" t="s">
        <v>397</v>
      </c>
      <c r="G11" s="1048"/>
      <c r="H11" s="1048"/>
      <c r="I11" s="1049"/>
      <c r="J11" s="443" t="s">
        <v>1938</v>
      </c>
      <c r="K11" s="444" t="s">
        <v>1938</v>
      </c>
      <c r="L11" s="445" t="s">
        <v>1938</v>
      </c>
      <c r="M11" s="443" t="s">
        <v>1938</v>
      </c>
      <c r="N11" s="444" t="s">
        <v>1938</v>
      </c>
      <c r="O11" s="445" t="s">
        <v>1938</v>
      </c>
      <c r="P11" s="443" t="s">
        <v>1938</v>
      </c>
      <c r="Q11" s="444" t="s">
        <v>1938</v>
      </c>
      <c r="R11" s="445" t="s">
        <v>1938</v>
      </c>
      <c r="S11" s="443" t="s">
        <v>1938</v>
      </c>
      <c r="T11" s="444" t="s">
        <v>1938</v>
      </c>
      <c r="U11" s="445" t="s">
        <v>1938</v>
      </c>
      <c r="V11" s="443" t="s">
        <v>1938</v>
      </c>
      <c r="W11" s="444" t="s">
        <v>1938</v>
      </c>
      <c r="X11" s="445" t="s">
        <v>1938</v>
      </c>
      <c r="Y11" s="443" t="s">
        <v>1938</v>
      </c>
      <c r="Z11" s="444" t="s">
        <v>1938</v>
      </c>
      <c r="AA11" s="445" t="s">
        <v>1938</v>
      </c>
      <c r="AB11" s="443" t="s">
        <v>1938</v>
      </c>
      <c r="AC11" s="444" t="s">
        <v>1938</v>
      </c>
      <c r="AD11" s="445" t="s">
        <v>1938</v>
      </c>
      <c r="AE11" s="443" t="s">
        <v>1938</v>
      </c>
      <c r="AF11" s="444" t="s">
        <v>1938</v>
      </c>
      <c r="AG11" s="445" t="s">
        <v>1938</v>
      </c>
      <c r="AH11" s="443" t="s">
        <v>1938</v>
      </c>
      <c r="AI11" s="444" t="s">
        <v>1938</v>
      </c>
      <c r="AJ11" s="445" t="s">
        <v>1938</v>
      </c>
      <c r="AK11" s="443" t="s">
        <v>1938</v>
      </c>
      <c r="AL11" s="444" t="s">
        <v>1938</v>
      </c>
      <c r="AM11" s="445" t="s">
        <v>1938</v>
      </c>
      <c r="AN11" s="443" t="s">
        <v>1938</v>
      </c>
      <c r="AO11" s="444" t="s">
        <v>1938</v>
      </c>
      <c r="AP11" s="445" t="s">
        <v>1938</v>
      </c>
      <c r="AQ11" s="443" t="s">
        <v>1938</v>
      </c>
      <c r="AR11" s="444" t="s">
        <v>1938</v>
      </c>
      <c r="AS11" s="445" t="s">
        <v>1938</v>
      </c>
      <c r="AT11" s="443" t="s">
        <v>1938</v>
      </c>
      <c r="AU11" s="444" t="s">
        <v>1938</v>
      </c>
      <c r="AV11" s="445" t="s">
        <v>1938</v>
      </c>
      <c r="AX11" s="442" t="s">
        <v>377</v>
      </c>
    </row>
    <row r="12" spans="1:51">
      <c r="A12" s="327">
        <v>4</v>
      </c>
      <c r="B12" s="1053"/>
      <c r="C12" s="1054"/>
      <c r="D12" s="1054"/>
      <c r="E12" s="1055"/>
      <c r="F12" s="1048" t="s">
        <v>398</v>
      </c>
      <c r="G12" s="1048"/>
      <c r="H12" s="1048"/>
      <c r="I12" s="1049"/>
      <c r="J12" s="443" t="s">
        <v>541</v>
      </c>
      <c r="K12" s="444" t="s">
        <v>541</v>
      </c>
      <c r="L12" s="445" t="s">
        <v>541</v>
      </c>
      <c r="M12" s="443" t="s">
        <v>627</v>
      </c>
      <c r="N12" s="444" t="s">
        <v>627</v>
      </c>
      <c r="O12" s="445" t="s">
        <v>627</v>
      </c>
      <c r="P12" s="443" t="s">
        <v>681</v>
      </c>
      <c r="Q12" s="444" t="s">
        <v>681</v>
      </c>
      <c r="R12" s="445" t="s">
        <v>681</v>
      </c>
      <c r="S12" s="443" t="s">
        <v>683</v>
      </c>
      <c r="T12" s="444" t="s">
        <v>683</v>
      </c>
      <c r="U12" s="445" t="s">
        <v>683</v>
      </c>
      <c r="V12" s="443" t="s">
        <v>1939</v>
      </c>
      <c r="W12" s="444" t="s">
        <v>1939</v>
      </c>
      <c r="X12" s="445" t="s">
        <v>1939</v>
      </c>
      <c r="Y12" s="443" t="s">
        <v>1940</v>
      </c>
      <c r="Z12" s="444" t="s">
        <v>1940</v>
      </c>
      <c r="AA12" s="445" t="s">
        <v>1940</v>
      </c>
      <c r="AB12" s="443" t="s">
        <v>1941</v>
      </c>
      <c r="AC12" s="444" t="s">
        <v>1941</v>
      </c>
      <c r="AD12" s="445" t="s">
        <v>1941</v>
      </c>
      <c r="AE12" s="443" t="s">
        <v>1942</v>
      </c>
      <c r="AF12" s="444" t="s">
        <v>1942</v>
      </c>
      <c r="AG12" s="445" t="s">
        <v>1942</v>
      </c>
      <c r="AH12" s="443" t="s">
        <v>418</v>
      </c>
      <c r="AI12" s="444" t="s">
        <v>418</v>
      </c>
      <c r="AJ12" s="445" t="s">
        <v>418</v>
      </c>
      <c r="AK12" s="443" t="s">
        <v>1943</v>
      </c>
      <c r="AL12" s="444" t="s">
        <v>1943</v>
      </c>
      <c r="AM12" s="445" t="s">
        <v>1943</v>
      </c>
      <c r="AN12" s="443" t="s">
        <v>1944</v>
      </c>
      <c r="AO12" s="444" t="s">
        <v>1944</v>
      </c>
      <c r="AP12" s="445" t="s">
        <v>1944</v>
      </c>
      <c r="AQ12" s="443" t="s">
        <v>1945</v>
      </c>
      <c r="AR12" s="444" t="s">
        <v>1945</v>
      </c>
      <c r="AS12" s="445" t="s">
        <v>1945</v>
      </c>
      <c r="AT12" s="443" t="s">
        <v>541</v>
      </c>
      <c r="AU12" s="444" t="s">
        <v>541</v>
      </c>
      <c r="AV12" s="445" t="s">
        <v>541</v>
      </c>
    </row>
    <row r="13" spans="1:51" ht="16.5" thickBot="1">
      <c r="A13" s="327">
        <v>5</v>
      </c>
      <c r="B13" s="1056"/>
      <c r="C13" s="1057"/>
      <c r="D13" s="1057"/>
      <c r="E13" s="1058"/>
      <c r="F13" s="1048" t="s">
        <v>399</v>
      </c>
      <c r="G13" s="1048"/>
      <c r="H13" s="1048"/>
      <c r="I13" s="1049"/>
      <c r="J13" s="443" t="s">
        <v>992</v>
      </c>
      <c r="K13" s="444" t="s">
        <v>992</v>
      </c>
      <c r="L13" s="445" t="s">
        <v>992</v>
      </c>
      <c r="M13" s="443" t="s">
        <v>992</v>
      </c>
      <c r="N13" s="444" t="s">
        <v>992</v>
      </c>
      <c r="O13" s="445" t="s">
        <v>992</v>
      </c>
      <c r="P13" s="443" t="s">
        <v>992</v>
      </c>
      <c r="Q13" s="444" t="s">
        <v>992</v>
      </c>
      <c r="R13" s="445" t="s">
        <v>992</v>
      </c>
      <c r="S13" s="443" t="s">
        <v>992</v>
      </c>
      <c r="T13" s="444" t="s">
        <v>992</v>
      </c>
      <c r="U13" s="445" t="s">
        <v>992</v>
      </c>
      <c r="V13" s="443" t="s">
        <v>992</v>
      </c>
      <c r="W13" s="444" t="s">
        <v>992</v>
      </c>
      <c r="X13" s="445" t="s">
        <v>992</v>
      </c>
      <c r="Y13" s="443" t="s">
        <v>992</v>
      </c>
      <c r="Z13" s="444" t="s">
        <v>992</v>
      </c>
      <c r="AA13" s="445" t="s">
        <v>992</v>
      </c>
      <c r="AB13" s="443" t="s">
        <v>992</v>
      </c>
      <c r="AC13" s="444" t="s">
        <v>992</v>
      </c>
      <c r="AD13" s="445" t="s">
        <v>992</v>
      </c>
      <c r="AE13" s="443" t="s">
        <v>992</v>
      </c>
      <c r="AF13" s="444" t="s">
        <v>992</v>
      </c>
      <c r="AG13" s="445" t="s">
        <v>992</v>
      </c>
      <c r="AH13" s="443" t="s">
        <v>992</v>
      </c>
      <c r="AI13" s="444" t="s">
        <v>992</v>
      </c>
      <c r="AJ13" s="445" t="s">
        <v>992</v>
      </c>
      <c r="AK13" s="443" t="s">
        <v>992</v>
      </c>
      <c r="AL13" s="444" t="s">
        <v>992</v>
      </c>
      <c r="AM13" s="445" t="s">
        <v>992</v>
      </c>
      <c r="AN13" s="443" t="s">
        <v>992</v>
      </c>
      <c r="AO13" s="444" t="s">
        <v>992</v>
      </c>
      <c r="AP13" s="445" t="s">
        <v>992</v>
      </c>
      <c r="AQ13" s="443" t="s">
        <v>992</v>
      </c>
      <c r="AR13" s="444" t="s">
        <v>992</v>
      </c>
      <c r="AS13" s="445" t="s">
        <v>992</v>
      </c>
      <c r="AT13" s="443" t="s">
        <v>992</v>
      </c>
      <c r="AU13" s="444" t="s">
        <v>992</v>
      </c>
      <c r="AV13" s="445" t="s">
        <v>992</v>
      </c>
    </row>
    <row r="14" spans="1:51">
      <c r="A14" s="327">
        <v>6</v>
      </c>
      <c r="B14" s="446"/>
      <c r="C14" s="447"/>
      <c r="D14" s="447"/>
      <c r="E14" s="447"/>
      <c r="F14" s="447"/>
      <c r="G14" s="447"/>
      <c r="H14" s="447"/>
      <c r="I14" s="448"/>
      <c r="J14" s="446"/>
      <c r="K14" s="447"/>
      <c r="L14" s="448"/>
      <c r="M14" s="446"/>
      <c r="N14" s="447"/>
      <c r="O14" s="448"/>
      <c r="P14" s="446"/>
      <c r="Q14" s="447"/>
      <c r="R14" s="448"/>
      <c r="S14" s="446"/>
      <c r="T14" s="447"/>
      <c r="U14" s="448"/>
      <c r="V14" s="446"/>
      <c r="W14" s="447"/>
      <c r="X14" s="448"/>
      <c r="Y14" s="446"/>
      <c r="Z14" s="447"/>
      <c r="AA14" s="448"/>
      <c r="AB14" s="446"/>
      <c r="AC14" s="447"/>
      <c r="AD14" s="448"/>
      <c r="AE14" s="446"/>
      <c r="AF14" s="447"/>
      <c r="AG14" s="448"/>
      <c r="AH14" s="446"/>
      <c r="AI14" s="447"/>
      <c r="AJ14" s="448"/>
      <c r="AK14" s="446"/>
      <c r="AL14" s="447"/>
      <c r="AM14" s="448"/>
      <c r="AN14" s="446"/>
      <c r="AO14" s="447"/>
      <c r="AP14" s="448"/>
      <c r="AQ14" s="446"/>
      <c r="AR14" s="447"/>
      <c r="AS14" s="448"/>
      <c r="AT14" s="446"/>
      <c r="AU14" s="447"/>
      <c r="AV14" s="448"/>
      <c r="AW14" s="448"/>
      <c r="AX14" s="448"/>
      <c r="AY14" s="448"/>
    </row>
    <row r="15" spans="1:51" ht="31.5">
      <c r="A15" s="327">
        <v>7</v>
      </c>
      <c r="B15" s="451"/>
      <c r="C15" s="452" t="s">
        <v>1946</v>
      </c>
      <c r="D15" s="452"/>
      <c r="E15" s="452" t="s">
        <v>1947</v>
      </c>
      <c r="F15" s="452" t="s">
        <v>1948</v>
      </c>
      <c r="G15" s="452" t="s">
        <v>1949</v>
      </c>
      <c r="H15" s="452" t="s">
        <v>1950</v>
      </c>
      <c r="I15" s="453" t="s">
        <v>1951</v>
      </c>
      <c r="J15" s="451"/>
      <c r="K15" s="454"/>
      <c r="L15" s="455"/>
      <c r="M15" s="451"/>
      <c r="N15" s="454"/>
      <c r="O15" s="455"/>
      <c r="P15" s="451"/>
      <c r="Q15" s="454"/>
      <c r="R15" s="455"/>
      <c r="S15" s="451"/>
      <c r="T15" s="454"/>
      <c r="U15" s="455"/>
      <c r="V15" s="451"/>
      <c r="W15" s="454"/>
      <c r="X15" s="455"/>
      <c r="Y15" s="451"/>
      <c r="Z15" s="454"/>
      <c r="AA15" s="455"/>
      <c r="AB15" s="451"/>
      <c r="AC15" s="454"/>
      <c r="AD15" s="455"/>
      <c r="AE15" s="451"/>
      <c r="AF15" s="454"/>
      <c r="AG15" s="455"/>
      <c r="AH15" s="451"/>
      <c r="AI15" s="454"/>
      <c r="AJ15" s="455"/>
      <c r="AK15" s="451"/>
      <c r="AL15" s="454"/>
      <c r="AM15" s="455"/>
      <c r="AN15" s="451"/>
      <c r="AO15" s="454"/>
      <c r="AP15" s="455"/>
      <c r="AQ15" s="451"/>
      <c r="AR15" s="454"/>
      <c r="AS15" s="455"/>
      <c r="AT15" s="451"/>
      <c r="AU15" s="454"/>
      <c r="AV15" s="455"/>
    </row>
    <row r="16" spans="1:51">
      <c r="A16" s="327">
        <v>8</v>
      </c>
      <c r="B16" s="1059" t="s">
        <v>1953</v>
      </c>
      <c r="C16" s="1060"/>
      <c r="D16" s="1060"/>
      <c r="E16" s="1060"/>
      <c r="F16" s="1060"/>
      <c r="G16" s="1060"/>
      <c r="H16" s="1060"/>
      <c r="I16" s="1061"/>
      <c r="J16" s="456"/>
      <c r="K16" s="457"/>
      <c r="L16" s="458"/>
      <c r="M16" s="456"/>
      <c r="N16" s="457"/>
      <c r="O16" s="458"/>
      <c r="P16" s="456"/>
      <c r="Q16" s="457"/>
      <c r="R16" s="458"/>
      <c r="S16" s="456"/>
      <c r="T16" s="457"/>
      <c r="U16" s="458"/>
      <c r="V16" s="456"/>
      <c r="W16" s="457"/>
      <c r="X16" s="458"/>
      <c r="Y16" s="456"/>
      <c r="Z16" s="457"/>
      <c r="AA16" s="458"/>
      <c r="AB16" s="456"/>
      <c r="AC16" s="457"/>
      <c r="AD16" s="458"/>
      <c r="AE16" s="456"/>
      <c r="AF16" s="457"/>
      <c r="AG16" s="458"/>
      <c r="AH16" s="456"/>
      <c r="AI16" s="457"/>
      <c r="AJ16" s="458"/>
      <c r="AK16" s="456"/>
      <c r="AL16" s="457"/>
      <c r="AM16" s="458"/>
      <c r="AN16" s="456"/>
      <c r="AO16" s="457"/>
      <c r="AP16" s="458"/>
      <c r="AQ16" s="456"/>
      <c r="AR16" s="457"/>
      <c r="AS16" s="458"/>
      <c r="AT16" s="456"/>
      <c r="AU16" s="457"/>
      <c r="AV16" s="458"/>
    </row>
    <row r="17" spans="1:56">
      <c r="A17" s="327">
        <v>9</v>
      </c>
      <c r="B17" s="449" t="s">
        <v>1954</v>
      </c>
      <c r="C17" s="444" t="s">
        <v>1184</v>
      </c>
      <c r="D17" s="444"/>
      <c r="E17" s="444" t="s">
        <v>1955</v>
      </c>
      <c r="F17" s="444" t="s">
        <v>829</v>
      </c>
      <c r="G17" s="444" t="s">
        <v>1956</v>
      </c>
      <c r="H17" s="444" t="s">
        <v>410</v>
      </c>
      <c r="I17" s="445" t="s">
        <v>410</v>
      </c>
      <c r="J17" s="456">
        <v>0</v>
      </c>
      <c r="K17" s="457">
        <v>0</v>
      </c>
      <c r="L17" s="458"/>
      <c r="M17" s="456">
        <v>0</v>
      </c>
      <c r="N17" s="457">
        <v>0</v>
      </c>
      <c r="O17" s="458"/>
      <c r="P17" s="456">
        <v>0</v>
      </c>
      <c r="Q17" s="457">
        <v>0</v>
      </c>
      <c r="R17" s="458"/>
      <c r="S17" s="456">
        <v>0</v>
      </c>
      <c r="T17" s="457">
        <v>0</v>
      </c>
      <c r="U17" s="458"/>
      <c r="V17" s="456">
        <v>0</v>
      </c>
      <c r="W17" s="457">
        <v>0</v>
      </c>
      <c r="X17" s="458"/>
      <c r="Y17" s="456">
        <v>0</v>
      </c>
      <c r="Z17" s="457">
        <v>0</v>
      </c>
      <c r="AA17" s="458"/>
      <c r="AB17" s="456">
        <v>0</v>
      </c>
      <c r="AC17" s="457">
        <v>0</v>
      </c>
      <c r="AD17" s="458"/>
      <c r="AE17" s="456">
        <v>0</v>
      </c>
      <c r="AF17" s="457">
        <v>0</v>
      </c>
      <c r="AG17" s="458"/>
      <c r="AH17" s="456">
        <v>0</v>
      </c>
      <c r="AI17" s="457">
        <v>0</v>
      </c>
      <c r="AJ17" s="458"/>
      <c r="AK17" s="456">
        <v>0</v>
      </c>
      <c r="AL17" s="457">
        <v>0</v>
      </c>
      <c r="AM17" s="458"/>
      <c r="AN17" s="456">
        <v>0</v>
      </c>
      <c r="AO17" s="457">
        <v>0</v>
      </c>
      <c r="AP17" s="458"/>
      <c r="AQ17" s="456">
        <v>0</v>
      </c>
      <c r="AR17" s="457">
        <v>0</v>
      </c>
      <c r="AS17" s="458"/>
      <c r="AT17" s="456">
        <v>0</v>
      </c>
      <c r="AU17" s="457">
        <v>0</v>
      </c>
      <c r="AV17" s="458"/>
    </row>
    <row r="18" spans="1:56">
      <c r="A18" s="35">
        <v>10</v>
      </c>
      <c r="B18" s="449" t="s">
        <v>1957</v>
      </c>
      <c r="C18" s="444" t="s">
        <v>1184</v>
      </c>
      <c r="D18" s="444"/>
      <c r="E18" s="444" t="s">
        <v>410</v>
      </c>
      <c r="F18" s="444" t="s">
        <v>829</v>
      </c>
      <c r="G18" s="444" t="s">
        <v>1958</v>
      </c>
      <c r="H18" s="444" t="s">
        <v>410</v>
      </c>
      <c r="I18" s="445" t="s">
        <v>410</v>
      </c>
      <c r="J18" s="456">
        <v>-2279109.5</v>
      </c>
      <c r="K18" s="459">
        <v>-2238048.0300000003</v>
      </c>
      <c r="L18" s="458">
        <v>-41061.47</v>
      </c>
      <c r="M18" s="456">
        <v>-2226742.2999999998</v>
      </c>
      <c r="N18" s="459">
        <v>-2177832.12</v>
      </c>
      <c r="O18" s="458">
        <v>-48910.18</v>
      </c>
      <c r="P18" s="456">
        <v>-2231648.46</v>
      </c>
      <c r="Q18" s="459">
        <v>-2182738.2800000003</v>
      </c>
      <c r="R18" s="458">
        <v>-48910.18</v>
      </c>
      <c r="S18" s="456">
        <v>-2244974.9500000002</v>
      </c>
      <c r="T18" s="459">
        <v>-2196064.77</v>
      </c>
      <c r="U18" s="458">
        <v>-48910.18</v>
      </c>
      <c r="V18" s="456">
        <v>-2238326.9700000002</v>
      </c>
      <c r="W18" s="459">
        <v>-2188576.84</v>
      </c>
      <c r="X18" s="458">
        <v>-49750.13</v>
      </c>
      <c r="Y18" s="456">
        <v>-2236733.9700000002</v>
      </c>
      <c r="Z18" s="459">
        <v>-2188576.84</v>
      </c>
      <c r="AA18" s="458">
        <v>-48157.13</v>
      </c>
      <c r="AB18" s="456">
        <v>-2236210.0699999998</v>
      </c>
      <c r="AC18" s="459">
        <v>-2186613.7000000002</v>
      </c>
      <c r="AD18" s="458">
        <v>-49596.37</v>
      </c>
      <c r="AE18" s="456">
        <v>-2902309.1</v>
      </c>
      <c r="AF18" s="459">
        <v>-2852426.2</v>
      </c>
      <c r="AG18" s="458">
        <v>-49882.9</v>
      </c>
      <c r="AH18" s="456">
        <v>-2962128.58</v>
      </c>
      <c r="AI18" s="459">
        <v>-2864501.58</v>
      </c>
      <c r="AJ18" s="458">
        <v>-97627</v>
      </c>
      <c r="AK18" s="456">
        <v>-2962128.58</v>
      </c>
      <c r="AL18" s="459">
        <v>-2864501.58</v>
      </c>
      <c r="AM18" s="458">
        <v>-97627</v>
      </c>
      <c r="AN18" s="456">
        <v>-2962128.58</v>
      </c>
      <c r="AO18" s="459">
        <v>-2864501.58</v>
      </c>
      <c r="AP18" s="458">
        <v>-97627</v>
      </c>
      <c r="AQ18" s="456">
        <v>-2960940.58</v>
      </c>
      <c r="AR18" s="459">
        <v>-2863313.58</v>
      </c>
      <c r="AS18" s="458">
        <v>-97627</v>
      </c>
      <c r="AT18" s="456">
        <v>-2978881.44</v>
      </c>
      <c r="AU18" s="459">
        <v>-2863313.58</v>
      </c>
      <c r="AV18" s="458">
        <v>-115567.86</v>
      </c>
      <c r="AW18" s="247">
        <f>+(AT18+J18+(M18+P18+S18+V18+Y18+AB18+AE18+AH18+AK18+AN18+AQ18)*2)/24</f>
        <v>-2566105.6341666658</v>
      </c>
      <c r="AX18" s="247">
        <f t="shared" ref="AX18:AY22" si="0">+(AU18+K18+(N18+Q18+T18+W18+Z18+AC18+AF18+AI18+AL18+AO18+AR18)*2)/24</f>
        <v>-2498360.6562499995</v>
      </c>
      <c r="AY18" s="247">
        <f t="shared" si="0"/>
        <v>-67744.97791666667</v>
      </c>
    </row>
    <row r="19" spans="1:56">
      <c r="A19" s="35">
        <v>11</v>
      </c>
      <c r="B19" s="449" t="s">
        <v>1959</v>
      </c>
      <c r="C19" s="444" t="s">
        <v>1184</v>
      </c>
      <c r="D19" s="444"/>
      <c r="E19" s="444" t="s">
        <v>1952</v>
      </c>
      <c r="F19" s="444" t="s">
        <v>829</v>
      </c>
      <c r="G19" s="444" t="s">
        <v>1960</v>
      </c>
      <c r="H19" s="444" t="s">
        <v>410</v>
      </c>
      <c r="I19" s="445" t="s">
        <v>410</v>
      </c>
      <c r="J19" s="456">
        <v>76970.94</v>
      </c>
      <c r="K19" s="457">
        <v>76970.94</v>
      </c>
      <c r="L19" s="458">
        <v>0</v>
      </c>
      <c r="M19" s="456">
        <v>0</v>
      </c>
      <c r="N19" s="457">
        <v>0</v>
      </c>
      <c r="O19" s="458">
        <v>0</v>
      </c>
      <c r="P19" s="456">
        <v>7662.17</v>
      </c>
      <c r="Q19" s="457">
        <v>7662.17</v>
      </c>
      <c r="R19" s="458">
        <v>0</v>
      </c>
      <c r="S19" s="456">
        <v>7662.17</v>
      </c>
      <c r="T19" s="457">
        <v>7662.17</v>
      </c>
      <c r="U19" s="458">
        <v>0</v>
      </c>
      <c r="V19" s="456">
        <v>16274.85</v>
      </c>
      <c r="W19" s="457">
        <v>16274.85</v>
      </c>
      <c r="X19" s="458">
        <v>0</v>
      </c>
      <c r="Y19" s="456">
        <v>46932.4</v>
      </c>
      <c r="Z19" s="457">
        <v>46932.4</v>
      </c>
      <c r="AA19" s="458">
        <v>0</v>
      </c>
      <c r="AB19" s="456">
        <v>111861.2</v>
      </c>
      <c r="AC19" s="457">
        <v>111861.2</v>
      </c>
      <c r="AD19" s="458">
        <v>0</v>
      </c>
      <c r="AE19" s="456">
        <v>111861.2</v>
      </c>
      <c r="AF19" s="457">
        <v>111861.2</v>
      </c>
      <c r="AG19" s="458">
        <v>0</v>
      </c>
      <c r="AH19" s="456">
        <v>111861.2</v>
      </c>
      <c r="AI19" s="457">
        <v>111861.2</v>
      </c>
      <c r="AJ19" s="458">
        <v>0</v>
      </c>
      <c r="AK19" s="456">
        <v>111861.2</v>
      </c>
      <c r="AL19" s="457">
        <v>111861.2</v>
      </c>
      <c r="AM19" s="458">
        <v>0</v>
      </c>
      <c r="AN19" s="456">
        <v>111861.2</v>
      </c>
      <c r="AO19" s="457">
        <v>111861.2</v>
      </c>
      <c r="AP19" s="458">
        <v>0</v>
      </c>
      <c r="AQ19" s="456">
        <v>168335.9</v>
      </c>
      <c r="AR19" s="457">
        <v>168335.9</v>
      </c>
      <c r="AS19" s="458">
        <v>0</v>
      </c>
      <c r="AT19" s="456">
        <v>168335.9</v>
      </c>
      <c r="AU19" s="457">
        <v>168335.9</v>
      </c>
      <c r="AV19" s="458">
        <v>0</v>
      </c>
      <c r="AW19" s="247">
        <f t="shared" ref="AW19:AW22" si="1">+(AT19+J19+(M19+P19+S19+V19+Y19+AB19+AE19+AH19+AK19+AN19+AQ19)*2)/24</f>
        <v>77402.242500000008</v>
      </c>
      <c r="AX19" s="247">
        <f t="shared" si="0"/>
        <v>77402.242500000008</v>
      </c>
      <c r="AY19" s="247">
        <f t="shared" si="0"/>
        <v>0</v>
      </c>
    </row>
    <row r="20" spans="1:56">
      <c r="A20" s="35">
        <v>12</v>
      </c>
      <c r="B20" s="449" t="s">
        <v>1961</v>
      </c>
      <c r="C20" s="444" t="s">
        <v>1184</v>
      </c>
      <c r="D20" s="444"/>
      <c r="E20" s="444" t="s">
        <v>1952</v>
      </c>
      <c r="F20" s="444" t="s">
        <v>829</v>
      </c>
      <c r="G20" s="444" t="s">
        <v>1962</v>
      </c>
      <c r="H20" s="444" t="s">
        <v>410</v>
      </c>
      <c r="I20" s="445" t="s">
        <v>410</v>
      </c>
      <c r="J20" s="460">
        <v>0</v>
      </c>
      <c r="K20" s="461">
        <v>0.01</v>
      </c>
      <c r="L20" s="462">
        <v>-0.01</v>
      </c>
      <c r="M20" s="460">
        <v>0</v>
      </c>
      <c r="N20" s="461">
        <v>0.01</v>
      </c>
      <c r="O20" s="462">
        <v>-0.01</v>
      </c>
      <c r="P20" s="460">
        <v>0</v>
      </c>
      <c r="Q20" s="461">
        <v>0.01</v>
      </c>
      <c r="R20" s="462">
        <v>-0.01</v>
      </c>
      <c r="S20" s="460">
        <v>0</v>
      </c>
      <c r="T20" s="461">
        <v>0.01</v>
      </c>
      <c r="U20" s="462">
        <v>-0.01</v>
      </c>
      <c r="V20" s="460">
        <v>0</v>
      </c>
      <c r="W20" s="461">
        <v>0.01</v>
      </c>
      <c r="X20" s="462">
        <v>-0.01</v>
      </c>
      <c r="Y20" s="460">
        <v>0</v>
      </c>
      <c r="Z20" s="461">
        <v>0.01</v>
      </c>
      <c r="AA20" s="462">
        <v>-0.01</v>
      </c>
      <c r="AB20" s="460">
        <v>0</v>
      </c>
      <c r="AC20" s="461">
        <v>0.01</v>
      </c>
      <c r="AD20" s="462">
        <v>-0.01</v>
      </c>
      <c r="AE20" s="460">
        <v>0</v>
      </c>
      <c r="AF20" s="461">
        <v>0.01</v>
      </c>
      <c r="AG20" s="462">
        <v>-0.01</v>
      </c>
      <c r="AH20" s="460">
        <v>0</v>
      </c>
      <c r="AI20" s="461">
        <v>0.01</v>
      </c>
      <c r="AJ20" s="462">
        <v>-0.01</v>
      </c>
      <c r="AK20" s="460">
        <v>0</v>
      </c>
      <c r="AL20" s="461">
        <v>0.01</v>
      </c>
      <c r="AM20" s="462">
        <v>-0.01</v>
      </c>
      <c r="AN20" s="460">
        <v>0</v>
      </c>
      <c r="AO20" s="461">
        <v>0.01</v>
      </c>
      <c r="AP20" s="462">
        <v>-0.01</v>
      </c>
      <c r="AQ20" s="460">
        <v>0</v>
      </c>
      <c r="AR20" s="461">
        <v>0.01</v>
      </c>
      <c r="AS20" s="462">
        <v>-0.01</v>
      </c>
      <c r="AT20" s="460">
        <v>0</v>
      </c>
      <c r="AU20" s="461">
        <v>0.01</v>
      </c>
      <c r="AV20" s="462">
        <v>-0.01</v>
      </c>
      <c r="AW20" s="247">
        <f t="shared" si="1"/>
        <v>0</v>
      </c>
      <c r="AX20" s="247">
        <f t="shared" si="0"/>
        <v>9.9999999999999985E-3</v>
      </c>
      <c r="AY20" s="247">
        <f t="shared" si="0"/>
        <v>-9.9999999999999985E-3</v>
      </c>
    </row>
    <row r="21" spans="1:56">
      <c r="A21" s="327">
        <v>13</v>
      </c>
      <c r="B21" s="449" t="s">
        <v>1963</v>
      </c>
      <c r="C21" s="444" t="s">
        <v>1184</v>
      </c>
      <c r="D21" s="444"/>
      <c r="E21" s="444" t="s">
        <v>1952</v>
      </c>
      <c r="F21" s="444" t="s">
        <v>829</v>
      </c>
      <c r="G21" s="444" t="s">
        <v>1964</v>
      </c>
      <c r="H21" s="444" t="s">
        <v>410</v>
      </c>
      <c r="I21" s="445" t="s">
        <v>410</v>
      </c>
      <c r="J21" s="460">
        <v>-1873090.42</v>
      </c>
      <c r="K21" s="461">
        <v>-1418589.59</v>
      </c>
      <c r="L21" s="462">
        <v>-454500.83</v>
      </c>
      <c r="M21" s="460">
        <v>-1871940.47</v>
      </c>
      <c r="N21" s="461">
        <v>-1408934.05</v>
      </c>
      <c r="O21" s="462">
        <v>-463006.42</v>
      </c>
      <c r="P21" s="460">
        <v>-1871424.42</v>
      </c>
      <c r="Q21" s="461">
        <v>-1408545.62</v>
      </c>
      <c r="R21" s="462">
        <v>-462878.8</v>
      </c>
      <c r="S21" s="460">
        <v>-1801886.81</v>
      </c>
      <c r="T21" s="461">
        <v>-1356204.66</v>
      </c>
      <c r="U21" s="462">
        <v>-445682.15</v>
      </c>
      <c r="V21" s="460">
        <v>-1811877.29</v>
      </c>
      <c r="W21" s="461">
        <v>-1363724.49</v>
      </c>
      <c r="X21" s="462">
        <v>-448152.8</v>
      </c>
      <c r="Y21" s="460">
        <v>-1835727.71</v>
      </c>
      <c r="Z21" s="461">
        <v>-1381676.7</v>
      </c>
      <c r="AA21" s="462">
        <v>-454051.01</v>
      </c>
      <c r="AB21" s="460">
        <v>-1810275.43</v>
      </c>
      <c r="AC21" s="461">
        <v>-1362518.77</v>
      </c>
      <c r="AD21" s="462">
        <v>-447756.66</v>
      </c>
      <c r="AE21" s="460">
        <v>-1806885.94</v>
      </c>
      <c r="AF21" s="461">
        <v>-1359967.5</v>
      </c>
      <c r="AG21" s="462">
        <v>-446918.44</v>
      </c>
      <c r="AH21" s="460">
        <v>-1807118.06</v>
      </c>
      <c r="AI21" s="461">
        <v>-1360142.22</v>
      </c>
      <c r="AJ21" s="462">
        <v>-446975.84</v>
      </c>
      <c r="AK21" s="460">
        <v>-1718242.87</v>
      </c>
      <c r="AL21" s="461">
        <v>-1293245.8600000001</v>
      </c>
      <c r="AM21" s="462">
        <v>-424997.01</v>
      </c>
      <c r="AN21" s="460">
        <v>-1714074.84</v>
      </c>
      <c r="AO21" s="461">
        <v>-1290108.58</v>
      </c>
      <c r="AP21" s="462">
        <v>-423966.26</v>
      </c>
      <c r="AQ21" s="460">
        <v>-1706168.66</v>
      </c>
      <c r="AR21" s="461">
        <v>-1284157.6000000001</v>
      </c>
      <c r="AS21" s="462">
        <v>-422011.06</v>
      </c>
      <c r="AT21" s="460">
        <v>-1671584.25</v>
      </c>
      <c r="AU21" s="461">
        <v>-1258125.9099999999</v>
      </c>
      <c r="AV21" s="462">
        <v>-413458.34</v>
      </c>
      <c r="AW21" s="247">
        <f t="shared" si="1"/>
        <v>-1793996.6529166668</v>
      </c>
      <c r="AX21" s="247">
        <f t="shared" si="0"/>
        <v>-1350631.9833333334</v>
      </c>
      <c r="AY21" s="247">
        <f t="shared" si="0"/>
        <v>-443364.66958333325</v>
      </c>
    </row>
    <row r="22" spans="1:56" ht="16.5" thickBot="1">
      <c r="A22" s="327">
        <v>14</v>
      </c>
      <c r="B22" s="449" t="s">
        <v>1965</v>
      </c>
      <c r="C22" s="444" t="s">
        <v>1184</v>
      </c>
      <c r="D22" s="444"/>
      <c r="E22" s="444" t="s">
        <v>1952</v>
      </c>
      <c r="F22" s="444" t="s">
        <v>829</v>
      </c>
      <c r="G22" s="444" t="s">
        <v>1966</v>
      </c>
      <c r="H22" s="444" t="s">
        <v>410</v>
      </c>
      <c r="I22" s="445" t="s">
        <v>410</v>
      </c>
      <c r="J22" s="460">
        <v>0</v>
      </c>
      <c r="K22" s="461">
        <v>0</v>
      </c>
      <c r="L22" s="462">
        <v>0</v>
      </c>
      <c r="M22" s="460">
        <v>0</v>
      </c>
      <c r="N22" s="461">
        <v>0</v>
      </c>
      <c r="O22" s="462">
        <v>0</v>
      </c>
      <c r="P22" s="460">
        <v>0</v>
      </c>
      <c r="Q22" s="461">
        <v>0</v>
      </c>
      <c r="R22" s="462">
        <v>0</v>
      </c>
      <c r="S22" s="460">
        <v>0</v>
      </c>
      <c r="T22" s="461">
        <v>0</v>
      </c>
      <c r="U22" s="462">
        <v>0</v>
      </c>
      <c r="V22" s="460">
        <v>0</v>
      </c>
      <c r="W22" s="461">
        <v>0</v>
      </c>
      <c r="X22" s="462">
        <v>0</v>
      </c>
      <c r="Y22" s="460">
        <v>0</v>
      </c>
      <c r="Z22" s="461">
        <v>0</v>
      </c>
      <c r="AA22" s="462">
        <v>0</v>
      </c>
      <c r="AB22" s="460">
        <v>0</v>
      </c>
      <c r="AC22" s="461">
        <v>0</v>
      </c>
      <c r="AD22" s="462">
        <v>0</v>
      </c>
      <c r="AE22" s="460">
        <v>0</v>
      </c>
      <c r="AF22" s="461">
        <v>0</v>
      </c>
      <c r="AG22" s="462">
        <v>0</v>
      </c>
      <c r="AH22" s="460">
        <v>0</v>
      </c>
      <c r="AI22" s="461">
        <v>0</v>
      </c>
      <c r="AJ22" s="462">
        <v>0</v>
      </c>
      <c r="AK22" s="460">
        <v>0</v>
      </c>
      <c r="AL22" s="461">
        <v>0</v>
      </c>
      <c r="AM22" s="462">
        <v>0</v>
      </c>
      <c r="AN22" s="460">
        <v>0</v>
      </c>
      <c r="AO22" s="461">
        <v>0</v>
      </c>
      <c r="AP22" s="462">
        <v>0</v>
      </c>
      <c r="AQ22" s="460">
        <v>0</v>
      </c>
      <c r="AR22" s="461">
        <v>0</v>
      </c>
      <c r="AS22" s="462">
        <v>0</v>
      </c>
      <c r="AT22" s="460">
        <v>0</v>
      </c>
      <c r="AU22" s="461">
        <v>0</v>
      </c>
      <c r="AV22" s="462">
        <v>0</v>
      </c>
      <c r="AW22" s="463">
        <f t="shared" si="1"/>
        <v>0</v>
      </c>
      <c r="AX22" s="463">
        <f t="shared" si="0"/>
        <v>0</v>
      </c>
      <c r="AY22" s="463">
        <f t="shared" si="0"/>
        <v>0</v>
      </c>
    </row>
    <row r="23" spans="1:56" ht="16.5" thickBot="1">
      <c r="A23" s="327">
        <v>15</v>
      </c>
      <c r="B23" s="449"/>
      <c r="C23" s="444"/>
      <c r="D23" s="444"/>
      <c r="E23" s="444"/>
      <c r="F23" s="444"/>
      <c r="G23" s="444"/>
      <c r="H23" s="444"/>
      <c r="I23" s="445"/>
      <c r="J23" s="464">
        <f>SUM(J18:J22)</f>
        <v>-4075228.98</v>
      </c>
      <c r="K23" s="465">
        <f>SUM(K17:K22)</f>
        <v>-3579666.6700000009</v>
      </c>
      <c r="L23" s="466">
        <f>SUM(L18:L22)</f>
        <v>-495562.31</v>
      </c>
      <c r="M23" s="464">
        <f>SUM(M17:M22)</f>
        <v>-4098682.7699999996</v>
      </c>
      <c r="N23" s="465">
        <f>SUM(N17:N22)</f>
        <v>-3586766.16</v>
      </c>
      <c r="O23" s="466">
        <f>SUM(O18:O22)</f>
        <v>-511916.61</v>
      </c>
      <c r="P23" s="464">
        <f>SUM(P17:P22)</f>
        <v>-4095410.71</v>
      </c>
      <c r="Q23" s="465">
        <f>SUM(Q17:Q22)</f>
        <v>-3583621.7200000007</v>
      </c>
      <c r="R23" s="466">
        <f>SUM(R18:R22)</f>
        <v>-511788.99</v>
      </c>
      <c r="S23" s="464">
        <f>SUM(S17:S22)</f>
        <v>-4039199.5900000003</v>
      </c>
      <c r="T23" s="465">
        <f>SUM(T17:T22)</f>
        <v>-3544607.25</v>
      </c>
      <c r="U23" s="466">
        <f>SUM(U18:U22)</f>
        <v>-494592.34</v>
      </c>
      <c r="V23" s="464">
        <f>SUM(V17:V22)</f>
        <v>-4033929.41</v>
      </c>
      <c r="W23" s="465">
        <f>SUM(W17:W22)</f>
        <v>-3536026.4699999997</v>
      </c>
      <c r="X23" s="466">
        <f>SUM(X18:X22)</f>
        <v>-497902.94</v>
      </c>
      <c r="Y23" s="464">
        <f>SUM(Y17:Y22)</f>
        <v>-4025529.2800000003</v>
      </c>
      <c r="Z23" s="465">
        <f>SUM(Z17:Z22)</f>
        <v>-3523321.13</v>
      </c>
      <c r="AA23" s="466">
        <f>SUM(AA18:AA22)</f>
        <v>-502208.15</v>
      </c>
      <c r="AB23" s="464">
        <f>SUM(AB17:AB22)</f>
        <v>-3934624.3</v>
      </c>
      <c r="AC23" s="465">
        <f>SUM(AC17:AC22)</f>
        <v>-3437271.2600000002</v>
      </c>
      <c r="AD23" s="466">
        <f>SUM(AD18:AD22)</f>
        <v>-497353.04</v>
      </c>
      <c r="AE23" s="464">
        <f>SUM(AE17:AE22)</f>
        <v>-4597333.84</v>
      </c>
      <c r="AF23" s="465">
        <f>SUM(AF17:AF22)</f>
        <v>-4100532.49</v>
      </c>
      <c r="AG23" s="466">
        <f>SUM(AG18:AG22)</f>
        <v>-496801.35</v>
      </c>
      <c r="AH23" s="464">
        <f>SUM(AH17:AH22)</f>
        <v>-4657385.4399999995</v>
      </c>
      <c r="AI23" s="465">
        <f>SUM(AI17:AI22)</f>
        <v>-4112782.59</v>
      </c>
      <c r="AJ23" s="466">
        <f>SUM(AJ18:AJ22)</f>
        <v>-544602.85</v>
      </c>
      <c r="AK23" s="464">
        <f>SUM(AK17:AK22)</f>
        <v>-4568510.25</v>
      </c>
      <c r="AL23" s="465">
        <f>SUM(AL17:AL22)</f>
        <v>-4045886.2300000004</v>
      </c>
      <c r="AM23" s="466">
        <f>SUM(AM18:AM22)</f>
        <v>-522624.02</v>
      </c>
      <c r="AN23" s="464">
        <f>SUM(AN17:AN22)</f>
        <v>-4564342.22</v>
      </c>
      <c r="AO23" s="465">
        <f>SUM(AO17:AO22)</f>
        <v>-4042748.95</v>
      </c>
      <c r="AP23" s="466">
        <f>SUM(AP18:AP22)</f>
        <v>-521593.27</v>
      </c>
      <c r="AQ23" s="464">
        <f>SUM(AQ17:AQ22)</f>
        <v>-4498773.34</v>
      </c>
      <c r="AR23" s="465">
        <f>SUM(AR17:AR22)</f>
        <v>-3979135.2700000005</v>
      </c>
      <c r="AS23" s="466">
        <f>SUM(AS18:AS22)</f>
        <v>-519638.07</v>
      </c>
      <c r="AT23" s="464">
        <f>SUM(AT17:AT22)</f>
        <v>-4482129.79</v>
      </c>
      <c r="AU23" s="465">
        <f>SUM(AU17:AU22)</f>
        <v>-3953103.58</v>
      </c>
      <c r="AV23" s="466">
        <f>SUM(AV18:AV22)</f>
        <v>-529026.21</v>
      </c>
      <c r="AW23" s="467">
        <f>SUM(AW18:AW22)</f>
        <v>-4282700.0445833327</v>
      </c>
      <c r="AX23" s="468">
        <f t="shared" ref="AX23:AY23" si="2">SUM(AX18:AX22)</f>
        <v>-3771590.387083333</v>
      </c>
      <c r="AY23" s="469">
        <f t="shared" si="2"/>
        <v>-511109.65749999991</v>
      </c>
    </row>
    <row r="24" spans="1:56" ht="16.5" thickTop="1">
      <c r="A24" s="327">
        <v>16</v>
      </c>
      <c r="B24" s="449"/>
      <c r="C24" s="444"/>
      <c r="D24" s="444"/>
      <c r="E24" s="444"/>
      <c r="F24" s="444"/>
      <c r="G24" s="444"/>
      <c r="H24" s="444"/>
      <c r="I24" s="445"/>
      <c r="J24" s="456"/>
      <c r="K24" s="457"/>
      <c r="L24" s="458">
        <v>8.7311491370201111E-10</v>
      </c>
      <c r="M24" s="456"/>
      <c r="N24" s="457"/>
      <c r="O24" s="458">
        <v>5.8207660913467407E-10</v>
      </c>
      <c r="P24" s="456"/>
      <c r="Q24" s="457"/>
      <c r="R24" s="458">
        <v>6.9849193096160889E-10</v>
      </c>
      <c r="S24" s="456"/>
      <c r="T24" s="457"/>
      <c r="U24" s="458">
        <v>0</v>
      </c>
      <c r="V24" s="456"/>
      <c r="W24" s="457"/>
      <c r="X24" s="458">
        <v>0</v>
      </c>
      <c r="Y24" s="456"/>
      <c r="Z24" s="457"/>
      <c r="AA24" s="458">
        <v>0</v>
      </c>
      <c r="AB24" s="456"/>
      <c r="AC24" s="457"/>
      <c r="AD24" s="458">
        <v>0</v>
      </c>
      <c r="AE24" s="456"/>
      <c r="AF24" s="457"/>
      <c r="AG24" s="458">
        <v>0</v>
      </c>
      <c r="AH24" s="456"/>
      <c r="AI24" s="457"/>
      <c r="AJ24" s="458">
        <v>0</v>
      </c>
      <c r="AK24" s="456"/>
      <c r="AL24" s="457"/>
      <c r="AM24" s="458">
        <v>4.6566128730773926E-10</v>
      </c>
      <c r="AN24" s="456"/>
      <c r="AO24" s="457"/>
      <c r="AP24" s="458">
        <v>4.6566128730773926E-10</v>
      </c>
      <c r="AQ24" s="456"/>
      <c r="AR24" s="457"/>
      <c r="AS24" s="458">
        <v>6.4028427004814148E-10</v>
      </c>
      <c r="AT24" s="456"/>
      <c r="AU24" s="457"/>
      <c r="AV24" s="458">
        <v>0</v>
      </c>
      <c r="AW24" s="470">
        <f>+'Working Capital Work Paper'!S301</f>
        <v>-4282700.0445833337</v>
      </c>
      <c r="AX24" s="1064" t="s">
        <v>1985</v>
      </c>
      <c r="AY24" s="1064"/>
      <c r="AZ24" s="1064"/>
      <c r="BA24" s="1064"/>
      <c r="BB24" s="1064"/>
      <c r="BC24" s="1064"/>
      <c r="BD24" s="1064"/>
    </row>
    <row r="25" spans="1:56">
      <c r="A25" s="327">
        <v>17</v>
      </c>
      <c r="B25" s="1059" t="s">
        <v>1967</v>
      </c>
      <c r="C25" s="1060"/>
      <c r="D25" s="1060"/>
      <c r="E25" s="1060"/>
      <c r="F25" s="1060"/>
      <c r="G25" s="1060"/>
      <c r="H25" s="1060"/>
      <c r="I25" s="1061"/>
      <c r="J25" s="471"/>
      <c r="K25" s="472"/>
      <c r="L25" s="473"/>
      <c r="M25" s="471"/>
      <c r="N25" s="472"/>
      <c r="O25" s="473"/>
      <c r="P25" s="471"/>
      <c r="Q25" s="472"/>
      <c r="R25" s="473"/>
      <c r="S25" s="471"/>
      <c r="T25" s="472"/>
      <c r="U25" s="473"/>
      <c r="V25" s="471"/>
      <c r="W25" s="472"/>
      <c r="X25" s="473"/>
      <c r="Y25" s="471"/>
      <c r="Z25" s="472"/>
      <c r="AA25" s="473"/>
      <c r="AB25" s="471"/>
      <c r="AC25" s="472"/>
      <c r="AD25" s="473"/>
      <c r="AE25" s="471"/>
      <c r="AF25" s="472"/>
      <c r="AG25" s="473"/>
      <c r="AH25" s="471"/>
      <c r="AI25" s="472"/>
      <c r="AJ25" s="473"/>
      <c r="AK25" s="471"/>
      <c r="AL25" s="472"/>
      <c r="AM25" s="473"/>
      <c r="AN25" s="471"/>
      <c r="AO25" s="472"/>
      <c r="AP25" s="473"/>
      <c r="AQ25" s="471"/>
      <c r="AR25" s="472"/>
      <c r="AS25" s="473"/>
      <c r="AT25" s="471"/>
      <c r="AU25" s="472"/>
      <c r="AV25" s="473"/>
      <c r="AX25" s="1064"/>
      <c r="AY25" s="1064"/>
      <c r="AZ25" s="1064"/>
      <c r="BA25" s="1064"/>
      <c r="BB25" s="1064"/>
      <c r="BC25" s="1064"/>
      <c r="BD25" s="1064"/>
    </row>
    <row r="26" spans="1:56">
      <c r="A26" s="327">
        <v>18</v>
      </c>
      <c r="B26" s="474" t="s">
        <v>1968</v>
      </c>
      <c r="C26" s="444" t="s">
        <v>1184</v>
      </c>
      <c r="D26" s="444"/>
      <c r="E26" s="444" t="s">
        <v>1952</v>
      </c>
      <c r="F26" s="475" t="s">
        <v>851</v>
      </c>
      <c r="G26" s="475" t="s">
        <v>1969</v>
      </c>
      <c r="H26" s="475" t="s">
        <v>410</v>
      </c>
      <c r="I26" s="476" t="s">
        <v>410</v>
      </c>
      <c r="J26" s="477">
        <v>-95924439.430000007</v>
      </c>
      <c r="K26" s="478">
        <v>-73343826.390000001</v>
      </c>
      <c r="L26" s="479">
        <v>-22580613.039999999</v>
      </c>
      <c r="M26" s="477">
        <v>-95880284.769999996</v>
      </c>
      <c r="N26" s="478">
        <v>-73396357.989999995</v>
      </c>
      <c r="O26" s="479">
        <v>-22483926.780000001</v>
      </c>
      <c r="P26" s="477">
        <v>-95836130.090000004</v>
      </c>
      <c r="Q26" s="478">
        <v>-73362557.579999998</v>
      </c>
      <c r="R26" s="479">
        <v>-22473572.510000002</v>
      </c>
      <c r="S26" s="477">
        <v>-95477141.109999999</v>
      </c>
      <c r="T26" s="478">
        <v>-73087751.519999996</v>
      </c>
      <c r="U26" s="479">
        <v>-22389389.59</v>
      </c>
      <c r="V26" s="477">
        <v>-95326147.390000001</v>
      </c>
      <c r="W26" s="478">
        <v>-72972165.829999998</v>
      </c>
      <c r="X26" s="479">
        <v>-22353981.559999999</v>
      </c>
      <c r="Y26" s="477">
        <v>-95175153.719999999</v>
      </c>
      <c r="Z26" s="478">
        <v>-72856580.180000007</v>
      </c>
      <c r="AA26" s="479">
        <v>-22318573.539999999</v>
      </c>
      <c r="AB26" s="477">
        <v>-95342095.019999996</v>
      </c>
      <c r="AC26" s="478">
        <v>-72984373.75</v>
      </c>
      <c r="AD26" s="479">
        <v>-22357721.27</v>
      </c>
      <c r="AE26" s="477">
        <v>-95244090.469999999</v>
      </c>
      <c r="AF26" s="478">
        <v>-72909351.269999996</v>
      </c>
      <c r="AG26" s="479">
        <v>-22334739.199999999</v>
      </c>
      <c r="AH26" s="477">
        <v>-95146085.950000003</v>
      </c>
      <c r="AI26" s="478">
        <v>-72834328.810000002</v>
      </c>
      <c r="AJ26" s="479">
        <v>-22311757.140000001</v>
      </c>
      <c r="AK26" s="477">
        <v>-96377115.560000002</v>
      </c>
      <c r="AL26" s="478">
        <v>-73776681.980000004</v>
      </c>
      <c r="AM26" s="479">
        <v>-22600433.579999998</v>
      </c>
      <c r="AN26" s="477">
        <v>-96426781.480000004</v>
      </c>
      <c r="AO26" s="478">
        <v>-73814701.239999995</v>
      </c>
      <c r="AP26" s="479">
        <v>-22612080.239999998</v>
      </c>
      <c r="AQ26" s="477">
        <v>-98123078.379999995</v>
      </c>
      <c r="AR26" s="478">
        <v>-75113216.519999996</v>
      </c>
      <c r="AS26" s="479">
        <v>-23009861.859999999</v>
      </c>
      <c r="AT26" s="477">
        <v>-98089298.930000007</v>
      </c>
      <c r="AU26" s="478">
        <v>-75087358.349999994</v>
      </c>
      <c r="AV26" s="479">
        <v>-23001940.579999998</v>
      </c>
      <c r="AW26" s="247">
        <f t="shared" ref="AW26:AW29" si="3">+(AT26+J26+(M26+P26+S26+V26+Y26+AB26+AE26+AH26+AK26+AN26+AQ26)*2)/24</f>
        <v>-95946747.760000005</v>
      </c>
      <c r="AX26" s="247">
        <f t="shared" ref="AX26:AX29" si="4">+(AU26+K26+(N26+Q26+T26+W26+Z26+AC26+AF26+AI26+AL26+AO26+AR26)*2)/24</f>
        <v>-73443638.25333333</v>
      </c>
      <c r="AY26" s="247">
        <f t="shared" ref="AY26:AY29" si="5">+(AV26+L26+(O26+R26+U26+X26+AA26+AD26+AG26+AJ26+AM26+AP26+AS26)*2)/24</f>
        <v>-22503109.506666671</v>
      </c>
    </row>
    <row r="27" spans="1:56">
      <c r="A27" s="327">
        <v>19</v>
      </c>
      <c r="B27" s="474" t="s">
        <v>1970</v>
      </c>
      <c r="C27" s="444" t="s">
        <v>1184</v>
      </c>
      <c r="D27" s="444"/>
      <c r="E27" s="444" t="s">
        <v>1952</v>
      </c>
      <c r="F27" s="475" t="s">
        <v>853</v>
      </c>
      <c r="G27" s="475" t="s">
        <v>1971</v>
      </c>
      <c r="H27" s="475" t="s">
        <v>410</v>
      </c>
      <c r="I27" s="476" t="s">
        <v>410</v>
      </c>
      <c r="J27" s="477">
        <v>-298910.77</v>
      </c>
      <c r="K27" s="478">
        <v>-228547.15</v>
      </c>
      <c r="L27" s="479">
        <v>-70363.62</v>
      </c>
      <c r="M27" s="477">
        <v>-297733.95</v>
      </c>
      <c r="N27" s="478">
        <v>-227915.33</v>
      </c>
      <c r="O27" s="479">
        <v>-69818.62</v>
      </c>
      <c r="P27" s="477">
        <v>-296557.15000000002</v>
      </c>
      <c r="Q27" s="478">
        <v>-227014.49</v>
      </c>
      <c r="R27" s="479">
        <v>-69542.66</v>
      </c>
      <c r="S27" s="477">
        <v>-295380.34999999998</v>
      </c>
      <c r="T27" s="478">
        <v>-226113.65</v>
      </c>
      <c r="U27" s="479">
        <v>-69266.7</v>
      </c>
      <c r="V27" s="477">
        <v>-294203.53000000003</v>
      </c>
      <c r="W27" s="478">
        <v>-225212.79</v>
      </c>
      <c r="X27" s="479">
        <v>-68990.740000000005</v>
      </c>
      <c r="Y27" s="477">
        <v>-293026.71999999997</v>
      </c>
      <c r="Z27" s="478">
        <v>-224311.94</v>
      </c>
      <c r="AA27" s="479">
        <v>-68714.78</v>
      </c>
      <c r="AB27" s="477">
        <v>-291849.90999999997</v>
      </c>
      <c r="AC27" s="478">
        <v>-223411.09</v>
      </c>
      <c r="AD27" s="479">
        <v>-68438.820000000007</v>
      </c>
      <c r="AE27" s="477">
        <v>-290673.11</v>
      </c>
      <c r="AF27" s="478">
        <v>-222510.25</v>
      </c>
      <c r="AG27" s="479">
        <v>-68162.86</v>
      </c>
      <c r="AH27" s="477">
        <v>-289496.3</v>
      </c>
      <c r="AI27" s="478">
        <v>-221609.4</v>
      </c>
      <c r="AJ27" s="479">
        <v>-67886.899999999994</v>
      </c>
      <c r="AK27" s="477">
        <v>-288319.49</v>
      </c>
      <c r="AL27" s="478">
        <v>-220708.55</v>
      </c>
      <c r="AM27" s="479">
        <v>-67610.9399999999</v>
      </c>
      <c r="AN27" s="477">
        <v>-287142.69</v>
      </c>
      <c r="AO27" s="478">
        <v>-219807.71</v>
      </c>
      <c r="AP27" s="479">
        <v>-67334.979999999894</v>
      </c>
      <c r="AQ27" s="477">
        <v>-285965.88</v>
      </c>
      <c r="AR27" s="478">
        <v>-218906.86</v>
      </c>
      <c r="AS27" s="479">
        <v>-67059.019999999902</v>
      </c>
      <c r="AT27" s="477">
        <v>-284789.06</v>
      </c>
      <c r="AU27" s="478">
        <v>-218006</v>
      </c>
      <c r="AV27" s="479">
        <v>-66783.059999999896</v>
      </c>
      <c r="AW27" s="247">
        <f t="shared" si="3"/>
        <v>-291849.91624999995</v>
      </c>
      <c r="AX27" s="247">
        <f t="shared" si="4"/>
        <v>-223399.88625000001</v>
      </c>
      <c r="AY27" s="247">
        <f t="shared" si="5"/>
        <v>-68450.02999999997</v>
      </c>
    </row>
    <row r="28" spans="1:56">
      <c r="A28" s="327">
        <v>20</v>
      </c>
      <c r="B28" s="474" t="s">
        <v>1972</v>
      </c>
      <c r="C28" s="444" t="s">
        <v>1184</v>
      </c>
      <c r="D28" s="444"/>
      <c r="E28" s="444" t="s">
        <v>410</v>
      </c>
      <c r="F28" s="475" t="s">
        <v>851</v>
      </c>
      <c r="G28" s="475" t="s">
        <v>1973</v>
      </c>
      <c r="H28" s="475" t="s">
        <v>410</v>
      </c>
      <c r="I28" s="476" t="s">
        <v>410</v>
      </c>
      <c r="J28" s="480">
        <v>-3872422.04</v>
      </c>
      <c r="K28" s="480">
        <v>0</v>
      </c>
      <c r="L28" s="481">
        <v>-3872422.04</v>
      </c>
      <c r="M28" s="480">
        <v>-3872775.8</v>
      </c>
      <c r="N28" s="480">
        <v>0</v>
      </c>
      <c r="O28" s="481">
        <v>-3872775.8</v>
      </c>
      <c r="P28" s="480">
        <v>-3873129.56</v>
      </c>
      <c r="Q28" s="480">
        <v>0</v>
      </c>
      <c r="R28" s="481">
        <v>-3873129.56</v>
      </c>
      <c r="S28" s="480">
        <v>-3843445.26</v>
      </c>
      <c r="T28" s="480">
        <v>0</v>
      </c>
      <c r="U28" s="481">
        <v>-3843445.26</v>
      </c>
      <c r="V28" s="480">
        <v>-3839198.49</v>
      </c>
      <c r="W28" s="480">
        <v>0</v>
      </c>
      <c r="X28" s="481">
        <v>-3839198.49</v>
      </c>
      <c r="Y28" s="480">
        <v>-3834951.74</v>
      </c>
      <c r="Z28" s="480">
        <v>0</v>
      </c>
      <c r="AA28" s="481">
        <v>-3834951.74</v>
      </c>
      <c r="AB28" s="480">
        <v>-3847427.87</v>
      </c>
      <c r="AC28" s="480">
        <v>0</v>
      </c>
      <c r="AD28" s="481">
        <v>-3847427.87</v>
      </c>
      <c r="AE28" s="480">
        <v>-3845968.28</v>
      </c>
      <c r="AF28" s="480">
        <v>0</v>
      </c>
      <c r="AG28" s="481">
        <v>-3845968.28</v>
      </c>
      <c r="AH28" s="480">
        <v>-3844508.66</v>
      </c>
      <c r="AI28" s="480">
        <v>0</v>
      </c>
      <c r="AJ28" s="481">
        <v>-3844508.66</v>
      </c>
      <c r="AK28" s="480">
        <v>-3893025.52</v>
      </c>
      <c r="AL28" s="480">
        <v>0</v>
      </c>
      <c r="AM28" s="481">
        <v>-3893025.52</v>
      </c>
      <c r="AN28" s="480">
        <v>-3897118.86</v>
      </c>
      <c r="AO28" s="480">
        <v>0</v>
      </c>
      <c r="AP28" s="481">
        <v>-3897118.86</v>
      </c>
      <c r="AQ28" s="480">
        <v>-4047193.88</v>
      </c>
      <c r="AR28" s="480">
        <v>0</v>
      </c>
      <c r="AS28" s="481">
        <v>-4047193.88</v>
      </c>
      <c r="AT28" s="480">
        <v>-4085566.09</v>
      </c>
      <c r="AU28" s="480">
        <v>0</v>
      </c>
      <c r="AV28" s="481">
        <v>-4085566.09</v>
      </c>
      <c r="AW28" s="247">
        <f t="shared" si="3"/>
        <v>-3884811.4987500007</v>
      </c>
      <c r="AX28" s="247">
        <f t="shared" si="4"/>
        <v>0</v>
      </c>
      <c r="AY28" s="247">
        <f t="shared" si="5"/>
        <v>-3884811.4987500007</v>
      </c>
    </row>
    <row r="29" spans="1:56" ht="16.5" thickBot="1">
      <c r="A29" s="327">
        <v>21</v>
      </c>
      <c r="B29" s="474" t="s">
        <v>1974</v>
      </c>
      <c r="C29" s="444" t="s">
        <v>1184</v>
      </c>
      <c r="D29" s="444"/>
      <c r="E29" s="444" t="s">
        <v>410</v>
      </c>
      <c r="F29" s="475" t="s">
        <v>853</v>
      </c>
      <c r="G29" s="475" t="s">
        <v>1975</v>
      </c>
      <c r="H29" s="475" t="s">
        <v>410</v>
      </c>
      <c r="I29" s="476" t="s">
        <v>410</v>
      </c>
      <c r="J29" s="480">
        <v>-13181.63</v>
      </c>
      <c r="K29" s="480">
        <v>0</v>
      </c>
      <c r="L29" s="482">
        <v>-13181.63</v>
      </c>
      <c r="M29" s="480">
        <v>-13129.73</v>
      </c>
      <c r="N29" s="480">
        <v>0</v>
      </c>
      <c r="O29" s="482">
        <v>-13129.73</v>
      </c>
      <c r="P29" s="480">
        <v>-13077.84</v>
      </c>
      <c r="Q29" s="480">
        <v>0</v>
      </c>
      <c r="R29" s="482">
        <v>-13077.84</v>
      </c>
      <c r="S29" s="480">
        <v>-15536.55</v>
      </c>
      <c r="T29" s="480">
        <v>0</v>
      </c>
      <c r="U29" s="482">
        <v>-15536.55</v>
      </c>
      <c r="V29" s="480">
        <v>-15474.65</v>
      </c>
      <c r="W29" s="480">
        <v>0</v>
      </c>
      <c r="X29" s="482">
        <v>-15474.65</v>
      </c>
      <c r="Y29" s="480">
        <v>-15412.75</v>
      </c>
      <c r="Z29" s="480">
        <v>0</v>
      </c>
      <c r="AA29" s="482">
        <v>-15412.75</v>
      </c>
      <c r="AB29" s="480">
        <v>-15350.85</v>
      </c>
      <c r="AC29" s="480">
        <v>0</v>
      </c>
      <c r="AD29" s="482">
        <v>-15350.85</v>
      </c>
      <c r="AE29" s="480">
        <v>-15288.96</v>
      </c>
      <c r="AF29" s="480">
        <v>0</v>
      </c>
      <c r="AG29" s="482">
        <v>-15288.96</v>
      </c>
      <c r="AH29" s="480">
        <v>-15227.06</v>
      </c>
      <c r="AI29" s="480">
        <v>0</v>
      </c>
      <c r="AJ29" s="482">
        <v>-15227.06</v>
      </c>
      <c r="AK29" s="480">
        <v>-15165.16</v>
      </c>
      <c r="AL29" s="480">
        <v>0</v>
      </c>
      <c r="AM29" s="482">
        <v>-15165.16</v>
      </c>
      <c r="AN29" s="480">
        <v>-15103.26</v>
      </c>
      <c r="AO29" s="480">
        <v>0</v>
      </c>
      <c r="AP29" s="482">
        <v>-15103.26</v>
      </c>
      <c r="AQ29" s="480">
        <v>-15041.37</v>
      </c>
      <c r="AR29" s="480">
        <v>0</v>
      </c>
      <c r="AS29" s="482">
        <v>-15041.37</v>
      </c>
      <c r="AT29" s="480">
        <v>-14979.47</v>
      </c>
      <c r="AU29" s="480">
        <v>0</v>
      </c>
      <c r="AV29" s="482">
        <v>-14979.47</v>
      </c>
      <c r="AW29" s="463">
        <f t="shared" si="3"/>
        <v>-14824.060833333331</v>
      </c>
      <c r="AX29" s="463">
        <f t="shared" si="4"/>
        <v>0</v>
      </c>
      <c r="AY29" s="463">
        <f t="shared" si="5"/>
        <v>-14824.060833333331</v>
      </c>
    </row>
    <row r="30" spans="1:56" ht="16.5" thickBot="1">
      <c r="A30" s="327">
        <v>22</v>
      </c>
      <c r="B30" s="449"/>
      <c r="C30" s="444"/>
      <c r="D30" s="444"/>
      <c r="E30" s="444"/>
      <c r="F30" s="444"/>
      <c r="G30" s="444"/>
      <c r="H30" s="444"/>
      <c r="I30" s="445"/>
      <c r="J30" s="464">
        <f t="shared" ref="J30:AV30" si="6">SUM(J26:J29)</f>
        <v>-100108953.87</v>
      </c>
      <c r="K30" s="465">
        <f t="shared" si="6"/>
        <v>-73572373.540000007</v>
      </c>
      <c r="L30" s="466">
        <f t="shared" si="6"/>
        <v>-26536580.329999998</v>
      </c>
      <c r="M30" s="464">
        <f t="shared" si="6"/>
        <v>-100063924.25</v>
      </c>
      <c r="N30" s="465">
        <f t="shared" si="6"/>
        <v>-73624273.319999993</v>
      </c>
      <c r="O30" s="466">
        <f t="shared" si="6"/>
        <v>-26439650.930000003</v>
      </c>
      <c r="P30" s="464">
        <f t="shared" si="6"/>
        <v>-100018894.64000002</v>
      </c>
      <c r="Q30" s="465">
        <f t="shared" si="6"/>
        <v>-73589572.069999993</v>
      </c>
      <c r="R30" s="466">
        <f t="shared" si="6"/>
        <v>-26429322.57</v>
      </c>
      <c r="S30" s="464">
        <f t="shared" si="6"/>
        <v>-99631503.269999996</v>
      </c>
      <c r="T30" s="465">
        <f t="shared" si="6"/>
        <v>-73313865.170000002</v>
      </c>
      <c r="U30" s="466">
        <f t="shared" si="6"/>
        <v>-26317638.099999998</v>
      </c>
      <c r="V30" s="464">
        <f t="shared" si="6"/>
        <v>-99475024.060000002</v>
      </c>
      <c r="W30" s="465">
        <f t="shared" si="6"/>
        <v>-73197378.620000005</v>
      </c>
      <c r="X30" s="466">
        <f t="shared" si="6"/>
        <v>-26277645.439999998</v>
      </c>
      <c r="Y30" s="464">
        <f t="shared" si="6"/>
        <v>-99318544.929999992</v>
      </c>
      <c r="Z30" s="465">
        <f t="shared" si="6"/>
        <v>-73080892.120000005</v>
      </c>
      <c r="AA30" s="466">
        <f t="shared" si="6"/>
        <v>-26237652.810000002</v>
      </c>
      <c r="AB30" s="464">
        <f t="shared" si="6"/>
        <v>-99496723.649999991</v>
      </c>
      <c r="AC30" s="465">
        <f t="shared" si="6"/>
        <v>-73207784.840000004</v>
      </c>
      <c r="AD30" s="466">
        <f t="shared" si="6"/>
        <v>-26288938.810000002</v>
      </c>
      <c r="AE30" s="464">
        <f t="shared" si="6"/>
        <v>-99396020.819999993</v>
      </c>
      <c r="AF30" s="465">
        <f t="shared" si="6"/>
        <v>-73131861.519999996</v>
      </c>
      <c r="AG30" s="466">
        <f t="shared" si="6"/>
        <v>-26264159.300000001</v>
      </c>
      <c r="AH30" s="464">
        <f t="shared" si="6"/>
        <v>-99295317.969999999</v>
      </c>
      <c r="AI30" s="465">
        <f t="shared" si="6"/>
        <v>-73055938.210000008</v>
      </c>
      <c r="AJ30" s="466">
        <f t="shared" si="6"/>
        <v>-26239379.759999998</v>
      </c>
      <c r="AK30" s="464">
        <f t="shared" si="6"/>
        <v>-100573625.72999999</v>
      </c>
      <c r="AL30" s="465">
        <f t="shared" si="6"/>
        <v>-73997390.530000001</v>
      </c>
      <c r="AM30" s="466">
        <f t="shared" si="6"/>
        <v>-26576235.199999999</v>
      </c>
      <c r="AN30" s="464">
        <f t="shared" si="6"/>
        <v>-100626146.29000001</v>
      </c>
      <c r="AO30" s="465">
        <f t="shared" si="6"/>
        <v>-74034508.949999988</v>
      </c>
      <c r="AP30" s="466">
        <f t="shared" si="6"/>
        <v>-26591637.34</v>
      </c>
      <c r="AQ30" s="464">
        <f t="shared" si="6"/>
        <v>-102471279.50999999</v>
      </c>
      <c r="AR30" s="465">
        <f t="shared" si="6"/>
        <v>-75332123.379999995</v>
      </c>
      <c r="AS30" s="466">
        <f t="shared" si="6"/>
        <v>-27139156.129999999</v>
      </c>
      <c r="AT30" s="464">
        <f t="shared" si="6"/>
        <v>-102474633.55000001</v>
      </c>
      <c r="AU30" s="465">
        <f t="shared" si="6"/>
        <v>-75305364.349999994</v>
      </c>
      <c r="AV30" s="466">
        <f t="shared" si="6"/>
        <v>-27169269.199999996</v>
      </c>
      <c r="AW30" s="467">
        <f>SUM(AW25:AW29)</f>
        <v>-100138233.23583335</v>
      </c>
      <c r="AX30" s="468">
        <f t="shared" ref="AX30" si="7">SUM(AX25:AX29)</f>
        <v>-73667038.139583334</v>
      </c>
      <c r="AY30" s="469">
        <f t="shared" ref="AY30" si="8">SUM(AY25:AY29)</f>
        <v>-26471195.096250009</v>
      </c>
    </row>
    <row r="31" spans="1:56" ht="17.25" thickTop="1" thickBot="1">
      <c r="A31" s="327">
        <v>23</v>
      </c>
      <c r="B31" s="483" t="s">
        <v>1999</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row>
    <row r="32" spans="1:56">
      <c r="A32" s="35">
        <v>24</v>
      </c>
      <c r="C32" s="90" t="s">
        <v>1184</v>
      </c>
      <c r="E32" s="90" t="s">
        <v>1990</v>
      </c>
      <c r="F32" s="90" t="s">
        <v>851</v>
      </c>
      <c r="G32" s="90" t="s">
        <v>1991</v>
      </c>
      <c r="H32" s="90"/>
      <c r="I32" s="90"/>
      <c r="J32" s="484">
        <v>38942.18</v>
      </c>
      <c r="K32" s="485"/>
      <c r="L32" s="486"/>
      <c r="M32" s="485">
        <v>38536.93</v>
      </c>
      <c r="N32" s="485"/>
      <c r="O32" s="486"/>
      <c r="P32" s="485">
        <v>38131.699999999997</v>
      </c>
      <c r="Q32" s="485"/>
      <c r="R32" s="486"/>
      <c r="S32" s="485">
        <v>30325.16</v>
      </c>
      <c r="T32" s="485"/>
      <c r="U32" s="486"/>
      <c r="V32" s="485">
        <v>29796.79</v>
      </c>
      <c r="W32" s="485"/>
      <c r="X32" s="486"/>
      <c r="Y32" s="485">
        <v>29268.42</v>
      </c>
      <c r="Z32" s="485"/>
      <c r="AA32" s="486"/>
      <c r="AB32" s="485">
        <v>28716.29</v>
      </c>
      <c r="AC32" s="485"/>
      <c r="AD32" s="486"/>
      <c r="AE32" s="485">
        <v>28183.94</v>
      </c>
      <c r="AF32" s="485"/>
      <c r="AG32" s="486"/>
      <c r="AH32" s="485">
        <v>27651.63</v>
      </c>
      <c r="AI32" s="485"/>
      <c r="AJ32" s="486"/>
      <c r="AK32" s="485">
        <v>28514.799999999999</v>
      </c>
      <c r="AL32" s="485"/>
      <c r="AM32" s="486"/>
      <c r="AN32" s="485">
        <v>28137.52</v>
      </c>
      <c r="AO32" s="485"/>
      <c r="AP32" s="486"/>
      <c r="AQ32" s="485">
        <v>29498.17</v>
      </c>
      <c r="AR32" s="485"/>
      <c r="AS32" s="486"/>
      <c r="AT32" s="485">
        <v>31017.37</v>
      </c>
      <c r="AU32" s="485"/>
      <c r="AV32" s="486"/>
      <c r="AW32" s="247">
        <f t="shared" ref="AW32:AW37" si="9">+(AT32+J32+(M32+P32+S32+V32+Y32+AB32+AE32+AH32+AK32+AN32+AQ32)*2)/24</f>
        <v>30978.427083333339</v>
      </c>
      <c r="AX32" s="90"/>
      <c r="AY32" s="90"/>
    </row>
    <row r="33" spans="1:51">
      <c r="A33" s="35">
        <v>25</v>
      </c>
      <c r="C33" s="90" t="s">
        <v>1184</v>
      </c>
      <c r="E33" s="90" t="s">
        <v>1990</v>
      </c>
      <c r="F33" s="90" t="s">
        <v>851</v>
      </c>
      <c r="G33" s="90" t="s">
        <v>1992</v>
      </c>
      <c r="H33" s="90"/>
      <c r="I33" s="90"/>
      <c r="J33" s="487">
        <v>-214358.06</v>
      </c>
      <c r="K33" s="488"/>
      <c r="L33" s="489"/>
      <c r="M33" s="488">
        <v>-213529.1</v>
      </c>
      <c r="N33" s="488"/>
      <c r="O33" s="489"/>
      <c r="P33" s="488">
        <v>-212700.13</v>
      </c>
      <c r="Q33" s="488"/>
      <c r="R33" s="489"/>
      <c r="S33" s="488">
        <v>-998639.19</v>
      </c>
      <c r="T33" s="488"/>
      <c r="U33" s="489"/>
      <c r="V33" s="488">
        <v>-996839.2</v>
      </c>
      <c r="W33" s="488"/>
      <c r="X33" s="489"/>
      <c r="Y33" s="488">
        <v>-995039.19</v>
      </c>
      <c r="Z33" s="488"/>
      <c r="AA33" s="489"/>
      <c r="AB33" s="488">
        <v>-993281.09</v>
      </c>
      <c r="AC33" s="488"/>
      <c r="AD33" s="489"/>
      <c r="AE33" s="488">
        <v>-991488.07</v>
      </c>
      <c r="AF33" s="488"/>
      <c r="AG33" s="489"/>
      <c r="AH33" s="488">
        <v>-989695.05</v>
      </c>
      <c r="AI33" s="488"/>
      <c r="AJ33" s="489"/>
      <c r="AK33" s="488">
        <v>-1003601.37</v>
      </c>
      <c r="AL33" s="488"/>
      <c r="AM33" s="489"/>
      <c r="AN33" s="488">
        <v>-1003552.74</v>
      </c>
      <c r="AO33" s="488"/>
      <c r="AP33" s="489"/>
      <c r="AQ33" s="488">
        <v>-944033.17</v>
      </c>
      <c r="AR33" s="488"/>
      <c r="AS33" s="489"/>
      <c r="AT33" s="488">
        <v>-903902.86</v>
      </c>
      <c r="AU33" s="488"/>
      <c r="AV33" s="489"/>
      <c r="AW33" s="247">
        <f t="shared" si="9"/>
        <v>-825127.39666666684</v>
      </c>
      <c r="AX33" s="90"/>
      <c r="AY33" s="90"/>
    </row>
    <row r="34" spans="1:51">
      <c r="A34" s="35">
        <v>26</v>
      </c>
      <c r="C34" s="90" t="s">
        <v>1184</v>
      </c>
      <c r="E34" s="90" t="s">
        <v>1990</v>
      </c>
      <c r="F34" s="90" t="s">
        <v>851</v>
      </c>
      <c r="G34" s="90" t="s">
        <v>1993</v>
      </c>
      <c r="H34" s="90"/>
      <c r="I34" s="90"/>
      <c r="J34" s="487">
        <v>581511.75</v>
      </c>
      <c r="K34" s="488"/>
      <c r="L34" s="489"/>
      <c r="M34" s="488">
        <v>581511.75</v>
      </c>
      <c r="N34" s="488"/>
      <c r="O34" s="489"/>
      <c r="P34" s="488">
        <v>581511.75</v>
      </c>
      <c r="Q34" s="488"/>
      <c r="R34" s="489"/>
      <c r="S34" s="488">
        <v>581511.75</v>
      </c>
      <c r="T34" s="488"/>
      <c r="U34" s="489"/>
      <c r="V34" s="488">
        <v>581511.75</v>
      </c>
      <c r="W34" s="488"/>
      <c r="X34" s="489"/>
      <c r="Y34" s="488">
        <v>581511.75</v>
      </c>
      <c r="Z34" s="488"/>
      <c r="AA34" s="489"/>
      <c r="AB34" s="488">
        <v>581511.75</v>
      </c>
      <c r="AC34" s="488"/>
      <c r="AD34" s="489"/>
      <c r="AE34" s="488">
        <v>581511.75</v>
      </c>
      <c r="AF34" s="488"/>
      <c r="AG34" s="489"/>
      <c r="AH34" s="488">
        <v>581511.75</v>
      </c>
      <c r="AI34" s="488"/>
      <c r="AJ34" s="489"/>
      <c r="AK34" s="488">
        <v>581511.75</v>
      </c>
      <c r="AL34" s="488"/>
      <c r="AM34" s="489"/>
      <c r="AN34" s="488">
        <v>581511.75</v>
      </c>
      <c r="AO34" s="488"/>
      <c r="AP34" s="489"/>
      <c r="AQ34" s="488">
        <v>581511.75</v>
      </c>
      <c r="AR34" s="488"/>
      <c r="AS34" s="489"/>
      <c r="AT34" s="488">
        <v>542744.30000000005</v>
      </c>
      <c r="AU34" s="488"/>
      <c r="AV34" s="489"/>
      <c r="AW34" s="247">
        <f t="shared" si="9"/>
        <v>579896.43958333333</v>
      </c>
      <c r="AX34" s="90"/>
      <c r="AY34" s="90"/>
    </row>
    <row r="35" spans="1:51">
      <c r="A35" s="327">
        <v>27</v>
      </c>
      <c r="C35" s="90" t="s">
        <v>1184</v>
      </c>
      <c r="E35" s="90" t="s">
        <v>1952</v>
      </c>
      <c r="F35" s="90" t="s">
        <v>851</v>
      </c>
      <c r="G35" s="90" t="s">
        <v>1994</v>
      </c>
      <c r="H35" s="90"/>
      <c r="I35" s="90"/>
      <c r="J35" s="487">
        <v>883065.23</v>
      </c>
      <c r="K35" s="488"/>
      <c r="L35" s="489"/>
      <c r="M35" s="488">
        <v>873875.83</v>
      </c>
      <c r="N35" s="488"/>
      <c r="O35" s="489"/>
      <c r="P35" s="488">
        <v>864686.41</v>
      </c>
      <c r="Q35" s="488"/>
      <c r="R35" s="489"/>
      <c r="S35" s="488">
        <v>576540.86</v>
      </c>
      <c r="T35" s="488"/>
      <c r="U35" s="489"/>
      <c r="V35" s="488">
        <v>566495.44999999995</v>
      </c>
      <c r="W35" s="488"/>
      <c r="X35" s="489"/>
      <c r="Y35" s="488">
        <v>556450.04</v>
      </c>
      <c r="Z35" s="488"/>
      <c r="AA35" s="489"/>
      <c r="AB35" s="488">
        <v>545952.99</v>
      </c>
      <c r="AC35" s="488"/>
      <c r="AD35" s="489"/>
      <c r="AE35" s="488">
        <v>535832.31999999995</v>
      </c>
      <c r="AF35" s="488"/>
      <c r="AG35" s="489"/>
      <c r="AH35" s="488">
        <v>525711.64</v>
      </c>
      <c r="AI35" s="488"/>
      <c r="AJ35" s="489"/>
      <c r="AK35" s="488">
        <v>542122.19999999995</v>
      </c>
      <c r="AL35" s="488"/>
      <c r="AM35" s="489"/>
      <c r="AN35" s="488">
        <v>534949.46</v>
      </c>
      <c r="AO35" s="488"/>
      <c r="AP35" s="489"/>
      <c r="AQ35" s="488">
        <v>560818.09</v>
      </c>
      <c r="AR35" s="488"/>
      <c r="AS35" s="489"/>
      <c r="AT35" s="488">
        <v>589700.96</v>
      </c>
      <c r="AU35" s="488"/>
      <c r="AV35" s="489"/>
      <c r="AW35" s="247">
        <f t="shared" si="9"/>
        <v>618318.19874999998</v>
      </c>
      <c r="AX35" s="90"/>
      <c r="AY35" s="90"/>
    </row>
    <row r="36" spans="1:51">
      <c r="A36" s="327">
        <v>28</v>
      </c>
      <c r="C36" s="90" t="s">
        <v>1184</v>
      </c>
      <c r="E36" s="90" t="s">
        <v>1952</v>
      </c>
      <c r="F36" s="90" t="s">
        <v>851</v>
      </c>
      <c r="G36" s="90" t="s">
        <v>1995</v>
      </c>
      <c r="H36" s="90"/>
      <c r="I36" s="90"/>
      <c r="J36" s="487">
        <v>1854336.33</v>
      </c>
      <c r="K36" s="488"/>
      <c r="L36" s="489"/>
      <c r="M36" s="488">
        <v>1836441.33</v>
      </c>
      <c r="N36" s="488"/>
      <c r="O36" s="489"/>
      <c r="P36" s="488">
        <v>1818546.33</v>
      </c>
      <c r="Q36" s="488"/>
      <c r="R36" s="489"/>
      <c r="S36" s="488">
        <v>2069357.94</v>
      </c>
      <c r="T36" s="488"/>
      <c r="U36" s="489"/>
      <c r="V36" s="488">
        <v>2048902.18</v>
      </c>
      <c r="W36" s="488"/>
      <c r="X36" s="489"/>
      <c r="Y36" s="488">
        <v>2028446.39</v>
      </c>
      <c r="Z36" s="488"/>
      <c r="AA36" s="489"/>
      <c r="AB36" s="488">
        <v>2007193.81</v>
      </c>
      <c r="AC36" s="488"/>
      <c r="AD36" s="489"/>
      <c r="AE36" s="488">
        <v>1986605.22</v>
      </c>
      <c r="AF36" s="488"/>
      <c r="AG36" s="489"/>
      <c r="AH36" s="488">
        <v>1966016.64</v>
      </c>
      <c r="AI36" s="488"/>
      <c r="AJ36" s="489"/>
      <c r="AK36" s="488">
        <v>2010399.81</v>
      </c>
      <c r="AL36" s="488"/>
      <c r="AM36" s="489"/>
      <c r="AN36" s="488">
        <v>1997030.29</v>
      </c>
      <c r="AO36" s="488"/>
      <c r="AP36" s="489"/>
      <c r="AQ36" s="488">
        <v>1985552.47</v>
      </c>
      <c r="AR36" s="488"/>
      <c r="AS36" s="489"/>
      <c r="AT36" s="488">
        <v>1999061.83</v>
      </c>
      <c r="AU36" s="488"/>
      <c r="AV36" s="489"/>
      <c r="AW36" s="247">
        <f t="shared" si="9"/>
        <v>1973432.6241666668</v>
      </c>
      <c r="AX36" s="90"/>
      <c r="AY36" s="90"/>
    </row>
    <row r="37" spans="1:51">
      <c r="A37" s="327">
        <v>29</v>
      </c>
      <c r="C37" s="90" t="s">
        <v>1184</v>
      </c>
      <c r="E37" s="90" t="s">
        <v>1952</v>
      </c>
      <c r="F37" s="90" t="s">
        <v>851</v>
      </c>
      <c r="G37" s="90" t="s">
        <v>1996</v>
      </c>
      <c r="H37" s="90"/>
      <c r="I37" s="90"/>
      <c r="J37" s="490">
        <v>-161895.75</v>
      </c>
      <c r="K37" s="488"/>
      <c r="L37" s="489"/>
      <c r="M37" s="488">
        <v>-161895.75</v>
      </c>
      <c r="N37" s="488"/>
      <c r="O37" s="489"/>
      <c r="P37" s="488">
        <v>-161895.75</v>
      </c>
      <c r="Q37" s="488"/>
      <c r="R37" s="489"/>
      <c r="S37" s="488">
        <v>-161895.75</v>
      </c>
      <c r="T37" s="488"/>
      <c r="U37" s="489"/>
      <c r="V37" s="488">
        <v>-161895.75</v>
      </c>
      <c r="W37" s="488"/>
      <c r="X37" s="489"/>
      <c r="Y37" s="488">
        <v>-161895.75</v>
      </c>
      <c r="Z37" s="488"/>
      <c r="AA37" s="489"/>
      <c r="AB37" s="488">
        <v>-161895.75</v>
      </c>
      <c r="AC37" s="488"/>
      <c r="AD37" s="489"/>
      <c r="AE37" s="488">
        <v>-161895.75</v>
      </c>
      <c r="AF37" s="488"/>
      <c r="AG37" s="489"/>
      <c r="AH37" s="488">
        <v>-161895.75</v>
      </c>
      <c r="AI37" s="488"/>
      <c r="AJ37" s="489"/>
      <c r="AK37" s="488">
        <v>-161895.75</v>
      </c>
      <c r="AL37" s="488"/>
      <c r="AM37" s="489"/>
      <c r="AN37" s="488">
        <v>-161895.75</v>
      </c>
      <c r="AO37" s="488"/>
      <c r="AP37" s="489"/>
      <c r="AQ37" s="488">
        <v>-161895.75</v>
      </c>
      <c r="AR37" s="488"/>
      <c r="AS37" s="489"/>
      <c r="AT37" s="488">
        <v>-151102.70000000001</v>
      </c>
      <c r="AU37" s="488"/>
      <c r="AV37" s="489"/>
      <c r="AW37" s="247">
        <f t="shared" si="9"/>
        <v>-161446.03958333333</v>
      </c>
      <c r="AX37" s="90"/>
      <c r="AY37" s="90"/>
    </row>
    <row r="38" spans="1:51">
      <c r="A38" s="327">
        <v>30</v>
      </c>
      <c r="C38" s="90"/>
      <c r="E38" s="90"/>
      <c r="F38" s="90"/>
      <c r="G38" s="90"/>
      <c r="H38" s="90"/>
      <c r="I38" s="90"/>
      <c r="J38" s="491">
        <f>SUM(J32:J37)</f>
        <v>2981601.68</v>
      </c>
      <c r="K38" s="488"/>
      <c r="L38" s="489"/>
      <c r="M38" s="491">
        <f>SUM(M32:M37)</f>
        <v>2954940.99</v>
      </c>
      <c r="N38" s="488"/>
      <c r="O38" s="489"/>
      <c r="P38" s="491">
        <f>SUM(P32:P37)</f>
        <v>2928280.31</v>
      </c>
      <c r="Q38" s="488"/>
      <c r="R38" s="489"/>
      <c r="S38" s="491">
        <f>SUM(S32:S37)</f>
        <v>2097200.77</v>
      </c>
      <c r="T38" s="488"/>
      <c r="U38" s="489"/>
      <c r="V38" s="491">
        <f>SUM(V32:V37)</f>
        <v>2067971.2199999997</v>
      </c>
      <c r="W38" s="488"/>
      <c r="X38" s="489"/>
      <c r="Y38" s="491">
        <f>SUM(Y32:Y37)</f>
        <v>2038741.6600000001</v>
      </c>
      <c r="Z38" s="488"/>
      <c r="AA38" s="489"/>
      <c r="AB38" s="491">
        <f>SUM(AB32:AB37)</f>
        <v>2008198</v>
      </c>
      <c r="AC38" s="488"/>
      <c r="AD38" s="489"/>
      <c r="AE38" s="491">
        <f>SUM(AE32:AE37)</f>
        <v>1978749.4100000001</v>
      </c>
      <c r="AF38" s="488"/>
      <c r="AG38" s="489"/>
      <c r="AH38" s="491">
        <f>SUM(AH32:AH37)</f>
        <v>1949300.8599999999</v>
      </c>
      <c r="AI38" s="488"/>
      <c r="AJ38" s="489"/>
      <c r="AK38" s="491">
        <f>SUM(AK32:AK37)</f>
        <v>1997051.44</v>
      </c>
      <c r="AL38" s="488"/>
      <c r="AM38" s="489"/>
      <c r="AN38" s="491">
        <f>SUM(AN32:AN37)</f>
        <v>1976180.5300000003</v>
      </c>
      <c r="AO38" s="488"/>
      <c r="AP38" s="489"/>
      <c r="AQ38" s="491">
        <f>SUM(AQ32:AQ37)</f>
        <v>2051451.56</v>
      </c>
      <c r="AR38" s="488"/>
      <c r="AS38" s="489"/>
      <c r="AT38" s="491">
        <f>SUM(AT32:AT37)</f>
        <v>2107518.9</v>
      </c>
      <c r="AU38" s="488"/>
      <c r="AV38" s="489"/>
      <c r="AW38" s="491">
        <f>SUM(AW32:AW37)</f>
        <v>2216052.2533333334</v>
      </c>
      <c r="AX38" s="90"/>
      <c r="AY38" s="90"/>
    </row>
    <row r="39" spans="1:51">
      <c r="A39" s="327">
        <v>31</v>
      </c>
      <c r="C39" s="90"/>
      <c r="E39" s="90"/>
      <c r="F39" s="90"/>
      <c r="G39" s="90"/>
      <c r="H39" s="90"/>
      <c r="I39" s="90"/>
      <c r="J39" s="487"/>
      <c r="K39" s="488"/>
      <c r="L39" s="489"/>
      <c r="M39" s="488"/>
      <c r="N39" s="488"/>
      <c r="O39" s="489"/>
      <c r="P39" s="488"/>
      <c r="Q39" s="488"/>
      <c r="R39" s="489"/>
      <c r="S39" s="488"/>
      <c r="T39" s="488"/>
      <c r="U39" s="489"/>
      <c r="V39" s="488"/>
      <c r="W39" s="488"/>
      <c r="X39" s="489"/>
      <c r="Y39" s="488"/>
      <c r="Z39" s="488"/>
      <c r="AA39" s="489"/>
      <c r="AB39" s="488"/>
      <c r="AC39" s="488"/>
      <c r="AD39" s="489"/>
      <c r="AE39" s="488"/>
      <c r="AF39" s="488"/>
      <c r="AG39" s="489"/>
      <c r="AH39" s="488"/>
      <c r="AI39" s="488"/>
      <c r="AJ39" s="489"/>
      <c r="AK39" s="488"/>
      <c r="AL39" s="488"/>
      <c r="AM39" s="489"/>
      <c r="AN39" s="488"/>
      <c r="AO39" s="488"/>
      <c r="AP39" s="489"/>
      <c r="AQ39" s="488"/>
      <c r="AR39" s="488"/>
      <c r="AS39" s="489"/>
      <c r="AT39" s="488"/>
      <c r="AU39" s="488"/>
      <c r="AV39" s="489"/>
      <c r="AW39" s="90"/>
      <c r="AX39" s="90"/>
      <c r="AY39" s="90"/>
    </row>
    <row r="40" spans="1:51">
      <c r="A40" s="327">
        <v>32</v>
      </c>
      <c r="C40" s="90" t="s">
        <v>1184</v>
      </c>
      <c r="E40" s="90" t="s">
        <v>1990</v>
      </c>
      <c r="F40" s="90" t="s">
        <v>853</v>
      </c>
      <c r="G40" s="90" t="s">
        <v>1993</v>
      </c>
      <c r="H40" s="90"/>
      <c r="I40" s="90"/>
      <c r="J40" s="487">
        <v>-1866272.87</v>
      </c>
      <c r="K40" s="488"/>
      <c r="L40" s="489"/>
      <c r="M40" s="488">
        <v>-1866801.81</v>
      </c>
      <c r="N40" s="488"/>
      <c r="O40" s="489"/>
      <c r="P40" s="488">
        <v>-1867330.76</v>
      </c>
      <c r="Q40" s="488"/>
      <c r="R40" s="489"/>
      <c r="S40" s="488">
        <v>-2160511.04</v>
      </c>
      <c r="T40" s="488"/>
      <c r="U40" s="489"/>
      <c r="V40" s="488">
        <v>-2161140.1</v>
      </c>
      <c r="W40" s="488"/>
      <c r="X40" s="489"/>
      <c r="Y40" s="488">
        <v>-2161769.15</v>
      </c>
      <c r="Z40" s="488"/>
      <c r="AA40" s="489"/>
      <c r="AB40" s="488">
        <v>-2161571.6</v>
      </c>
      <c r="AC40" s="488"/>
      <c r="AD40" s="489"/>
      <c r="AE40" s="488">
        <v>-2162063.12</v>
      </c>
      <c r="AF40" s="488"/>
      <c r="AG40" s="489"/>
      <c r="AH40" s="488">
        <v>-2162554.64</v>
      </c>
      <c r="AI40" s="488"/>
      <c r="AJ40" s="489"/>
      <c r="AK40" s="488">
        <v>-2157345.3199999998</v>
      </c>
      <c r="AL40" s="488"/>
      <c r="AM40" s="489"/>
      <c r="AN40" s="488">
        <v>-2157203.5499999998</v>
      </c>
      <c r="AO40" s="488"/>
      <c r="AP40" s="489"/>
      <c r="AQ40" s="488">
        <v>-2157061.7999999998</v>
      </c>
      <c r="AR40" s="488"/>
      <c r="AS40" s="489"/>
      <c r="AT40" s="488">
        <v>-2094061.52</v>
      </c>
      <c r="AU40" s="488"/>
      <c r="AV40" s="489"/>
      <c r="AW40" s="247">
        <f t="shared" ref="AW40:AW41" si="10">+(AT40+J40+(M40+P40+S40+V40+Y40+AB40+AE40+AH40+AK40+AN40+AQ40)*2)/24</f>
        <v>-2096293.3404166671</v>
      </c>
      <c r="AX40" s="90"/>
      <c r="AY40" s="90"/>
    </row>
    <row r="41" spans="1:51">
      <c r="A41" s="327">
        <v>33</v>
      </c>
      <c r="C41" s="90" t="s">
        <v>1184</v>
      </c>
      <c r="E41" s="90" t="s">
        <v>1952</v>
      </c>
      <c r="F41" s="90" t="s">
        <v>853</v>
      </c>
      <c r="G41" s="90" t="s">
        <v>1996</v>
      </c>
      <c r="H41" s="90"/>
      <c r="I41" s="90"/>
      <c r="J41" s="490">
        <v>-34608022.850000001</v>
      </c>
      <c r="K41" s="488"/>
      <c r="L41" s="489"/>
      <c r="M41" s="488">
        <v>-34620017.43</v>
      </c>
      <c r="N41" s="488"/>
      <c r="O41" s="489"/>
      <c r="P41" s="488">
        <v>-34632012.07</v>
      </c>
      <c r="Q41" s="488"/>
      <c r="R41" s="489"/>
      <c r="S41" s="488">
        <v>-34594533.43</v>
      </c>
      <c r="T41" s="488"/>
      <c r="U41" s="489"/>
      <c r="V41" s="488">
        <v>-34606492.979999997</v>
      </c>
      <c r="W41" s="488"/>
      <c r="X41" s="489"/>
      <c r="Y41" s="488">
        <v>-34618452.57</v>
      </c>
      <c r="Z41" s="488"/>
      <c r="AA41" s="489"/>
      <c r="AB41" s="488">
        <v>-34614696.380000003</v>
      </c>
      <c r="AC41" s="488"/>
      <c r="AD41" s="489"/>
      <c r="AE41" s="488">
        <v>-34624041.229999997</v>
      </c>
      <c r="AF41" s="488"/>
      <c r="AG41" s="489"/>
      <c r="AH41" s="488">
        <v>-34633386.079999998</v>
      </c>
      <c r="AI41" s="488"/>
      <c r="AJ41" s="489"/>
      <c r="AK41" s="488">
        <v>-34534346.850000001</v>
      </c>
      <c r="AL41" s="488"/>
      <c r="AM41" s="489"/>
      <c r="AN41" s="488">
        <v>-34531651.57</v>
      </c>
      <c r="AO41" s="488"/>
      <c r="AP41" s="489"/>
      <c r="AQ41" s="488">
        <v>-34528956.350000001</v>
      </c>
      <c r="AR41" s="488"/>
      <c r="AS41" s="489"/>
      <c r="AT41" s="488">
        <v>-33763265.57</v>
      </c>
      <c r="AU41" s="488"/>
      <c r="AV41" s="489"/>
      <c r="AW41" s="247">
        <f t="shared" si="10"/>
        <v>-34560352.595833331</v>
      </c>
      <c r="AX41" s="90"/>
      <c r="AY41" s="90"/>
    </row>
    <row r="42" spans="1:51">
      <c r="A42" s="327">
        <v>34</v>
      </c>
      <c r="B42" s="90"/>
      <c r="C42" s="90"/>
      <c r="D42" s="90"/>
      <c r="E42" s="90"/>
      <c r="F42" s="90"/>
      <c r="G42" s="90"/>
      <c r="H42" s="90"/>
      <c r="I42" s="90"/>
      <c r="J42" s="487">
        <f>+J40+J41</f>
        <v>-36474295.719999999</v>
      </c>
      <c r="K42" s="488"/>
      <c r="L42" s="489"/>
      <c r="M42" s="487">
        <f>+M40+M41</f>
        <v>-36486819.240000002</v>
      </c>
      <c r="N42" s="488"/>
      <c r="O42" s="489"/>
      <c r="P42" s="487">
        <f>+P40+P41</f>
        <v>-36499342.829999998</v>
      </c>
      <c r="Q42" s="488"/>
      <c r="R42" s="489"/>
      <c r="S42" s="487">
        <f>+S40+S41</f>
        <v>-36755044.469999999</v>
      </c>
      <c r="T42" s="488"/>
      <c r="U42" s="489"/>
      <c r="V42" s="487">
        <f>+V40+V41</f>
        <v>-36767633.079999998</v>
      </c>
      <c r="W42" s="488"/>
      <c r="X42" s="489"/>
      <c r="Y42" s="487">
        <f>+Y40+Y41</f>
        <v>-36780221.719999999</v>
      </c>
      <c r="Z42" s="488"/>
      <c r="AA42" s="489"/>
      <c r="AB42" s="487">
        <f>+AB40+AB41</f>
        <v>-36776267.980000004</v>
      </c>
      <c r="AC42" s="488"/>
      <c r="AD42" s="489"/>
      <c r="AE42" s="487">
        <f>+AE40+AE41</f>
        <v>-36786104.349999994</v>
      </c>
      <c r="AF42" s="488"/>
      <c r="AG42" s="489"/>
      <c r="AH42" s="487">
        <f>+AH40+AH41</f>
        <v>-36795940.719999999</v>
      </c>
      <c r="AI42" s="488"/>
      <c r="AJ42" s="489"/>
      <c r="AK42" s="487">
        <f>+AK40+AK41</f>
        <v>-36691692.170000002</v>
      </c>
      <c r="AL42" s="488"/>
      <c r="AM42" s="489"/>
      <c r="AN42" s="487">
        <f>+AN40+AN41</f>
        <v>-36688855.119999997</v>
      </c>
      <c r="AO42" s="488"/>
      <c r="AP42" s="489"/>
      <c r="AQ42" s="487">
        <f>+AQ40+AQ41</f>
        <v>-36686018.149999999</v>
      </c>
      <c r="AR42" s="488"/>
      <c r="AS42" s="489"/>
      <c r="AT42" s="487">
        <f>+AT40+AT41</f>
        <v>-35857327.090000004</v>
      </c>
      <c r="AU42" s="488"/>
      <c r="AV42" s="489"/>
      <c r="AW42" s="487">
        <f>+AW40+AW41</f>
        <v>-36656645.936250001</v>
      </c>
      <c r="AX42" s="90"/>
      <c r="AY42" s="90"/>
    </row>
    <row r="43" spans="1:51">
      <c r="A43" s="327">
        <v>35</v>
      </c>
      <c r="B43" s="90"/>
      <c r="C43" s="90"/>
      <c r="D43" s="90"/>
      <c r="E43" s="90"/>
      <c r="F43" s="90"/>
      <c r="G43" s="90"/>
      <c r="H43" s="90"/>
      <c r="I43" s="90"/>
      <c r="J43" s="487"/>
      <c r="K43" s="488"/>
      <c r="L43" s="489"/>
      <c r="M43" s="487"/>
      <c r="N43" s="488"/>
      <c r="O43" s="489"/>
      <c r="P43" s="487"/>
      <c r="Q43" s="488"/>
      <c r="R43" s="489"/>
      <c r="S43" s="487"/>
      <c r="T43" s="488"/>
      <c r="U43" s="489"/>
      <c r="V43" s="487"/>
      <c r="W43" s="488"/>
      <c r="X43" s="489"/>
      <c r="Y43" s="487"/>
      <c r="Z43" s="488"/>
      <c r="AA43" s="489"/>
      <c r="AB43" s="487"/>
      <c r="AC43" s="488"/>
      <c r="AD43" s="489"/>
      <c r="AE43" s="487"/>
      <c r="AF43" s="488"/>
      <c r="AG43" s="489"/>
      <c r="AH43" s="487"/>
      <c r="AI43" s="488"/>
      <c r="AJ43" s="489"/>
      <c r="AK43" s="487"/>
      <c r="AL43" s="488"/>
      <c r="AM43" s="489"/>
      <c r="AN43" s="487"/>
      <c r="AO43" s="488"/>
      <c r="AP43" s="489"/>
      <c r="AQ43" s="487"/>
      <c r="AR43" s="488"/>
      <c r="AS43" s="489"/>
      <c r="AT43" s="487"/>
      <c r="AU43" s="488"/>
      <c r="AV43" s="489"/>
      <c r="AW43" s="487"/>
      <c r="AX43" s="90"/>
      <c r="AY43" s="90"/>
    </row>
    <row r="44" spans="1:51">
      <c r="A44" s="327">
        <v>36</v>
      </c>
      <c r="B44" s="90"/>
      <c r="C44" s="90"/>
      <c r="D44" s="90"/>
      <c r="E44" s="90"/>
      <c r="F44" s="90"/>
      <c r="G44" s="90"/>
      <c r="H44" s="90"/>
      <c r="I44" s="90"/>
      <c r="J44" s="492">
        <f>+J30+J38+J42</f>
        <v>-133601647.91</v>
      </c>
      <c r="K44" s="488"/>
      <c r="L44" s="489"/>
      <c r="M44" s="492">
        <f>+M30+M38+M42</f>
        <v>-133595802.5</v>
      </c>
      <c r="N44" s="488"/>
      <c r="O44" s="489"/>
      <c r="P44" s="492">
        <f>+P30+P38+P42</f>
        <v>-133589957.16000001</v>
      </c>
      <c r="Q44" s="488"/>
      <c r="R44" s="489"/>
      <c r="S44" s="492">
        <f>+S30+S38+S42</f>
        <v>-134289346.97</v>
      </c>
      <c r="T44" s="488"/>
      <c r="U44" s="489"/>
      <c r="V44" s="492">
        <f>+V30+V38+V42</f>
        <v>-134174685.92</v>
      </c>
      <c r="W44" s="488"/>
      <c r="X44" s="489"/>
      <c r="Y44" s="492">
        <f>+Y30+Y38+Y42</f>
        <v>-134060024.98999999</v>
      </c>
      <c r="Z44" s="488"/>
      <c r="AA44" s="489"/>
      <c r="AB44" s="492">
        <f>+AB30+AB38+AB42</f>
        <v>-134264793.63</v>
      </c>
      <c r="AC44" s="488"/>
      <c r="AD44" s="489"/>
      <c r="AE44" s="492">
        <f>+AE30+AE38+AE42</f>
        <v>-134203375.75999999</v>
      </c>
      <c r="AF44" s="488"/>
      <c r="AG44" s="489"/>
      <c r="AH44" s="492">
        <f>+AH30+AH38+AH42</f>
        <v>-134141957.83</v>
      </c>
      <c r="AI44" s="488"/>
      <c r="AJ44" s="489"/>
      <c r="AK44" s="492">
        <f>+AK30+AK38+AK42</f>
        <v>-135268266.45999998</v>
      </c>
      <c r="AL44" s="488"/>
      <c r="AM44" s="489"/>
      <c r="AN44" s="492">
        <f>+AN30+AN38+AN42</f>
        <v>-135338820.88</v>
      </c>
      <c r="AO44" s="488"/>
      <c r="AP44" s="489"/>
      <c r="AQ44" s="492">
        <f>+AQ30+AQ38+AQ42</f>
        <v>-137105846.09999999</v>
      </c>
      <c r="AR44" s="488"/>
      <c r="AS44" s="489"/>
      <c r="AT44" s="492">
        <f>+AT30+AT38+AT42</f>
        <v>-136224441.74000001</v>
      </c>
      <c r="AU44" s="488"/>
      <c r="AV44" s="489"/>
      <c r="AW44" s="492">
        <f>+AW30+AW38+AW42</f>
        <v>-134578826.91875002</v>
      </c>
      <c r="AX44" s="90"/>
      <c r="AY44" s="90"/>
    </row>
    <row r="45" spans="1:51" ht="16.5" thickBot="1">
      <c r="A45" s="327">
        <v>37</v>
      </c>
      <c r="B45" s="90"/>
      <c r="C45" s="90"/>
      <c r="D45" s="90"/>
      <c r="E45" s="90"/>
      <c r="F45" s="90"/>
      <c r="G45" s="90"/>
      <c r="H45" s="90"/>
      <c r="I45" s="90"/>
      <c r="J45" s="487"/>
      <c r="K45" s="488"/>
      <c r="L45" s="489"/>
      <c r="M45" s="487"/>
      <c r="N45" s="488"/>
      <c r="O45" s="489"/>
      <c r="P45" s="487"/>
      <c r="Q45" s="488"/>
      <c r="R45" s="489"/>
      <c r="S45" s="487"/>
      <c r="T45" s="488"/>
      <c r="U45" s="489"/>
      <c r="V45" s="487"/>
      <c r="W45" s="488"/>
      <c r="X45" s="489"/>
      <c r="Y45" s="487"/>
      <c r="Z45" s="488"/>
      <c r="AA45" s="489"/>
      <c r="AB45" s="487"/>
      <c r="AC45" s="488"/>
      <c r="AD45" s="489"/>
      <c r="AE45" s="487"/>
      <c r="AF45" s="488"/>
      <c r="AG45" s="489"/>
      <c r="AH45" s="487"/>
      <c r="AI45" s="488"/>
      <c r="AJ45" s="489"/>
      <c r="AK45" s="487"/>
      <c r="AL45" s="488"/>
      <c r="AM45" s="489"/>
      <c r="AN45" s="487"/>
      <c r="AO45" s="488"/>
      <c r="AP45" s="489"/>
      <c r="AQ45" s="487"/>
      <c r="AR45" s="488"/>
      <c r="AS45" s="489"/>
      <c r="AT45" s="487"/>
      <c r="AU45" s="488"/>
      <c r="AV45" s="489"/>
      <c r="AW45" s="487"/>
      <c r="AX45" s="90"/>
      <c r="AY45" s="90"/>
    </row>
    <row r="46" spans="1:51">
      <c r="A46" s="35">
        <v>38</v>
      </c>
      <c r="B46" s="1050" t="s">
        <v>2129</v>
      </c>
      <c r="C46" s="1051"/>
      <c r="D46" s="1051"/>
      <c r="E46" s="1052"/>
      <c r="F46" s="90"/>
      <c r="G46" s="90"/>
      <c r="H46" s="90"/>
      <c r="I46" s="90"/>
      <c r="J46" s="487"/>
      <c r="K46" s="488"/>
      <c r="L46" s="489"/>
      <c r="M46" s="487"/>
      <c r="N46" s="488"/>
      <c r="O46" s="489"/>
      <c r="P46" s="487"/>
      <c r="Q46" s="488"/>
      <c r="R46" s="489"/>
      <c r="S46" s="487"/>
      <c r="T46" s="488"/>
      <c r="U46" s="489"/>
      <c r="V46" s="487"/>
      <c r="W46" s="488"/>
      <c r="X46" s="489"/>
      <c r="Y46" s="487"/>
      <c r="Z46" s="488"/>
      <c r="AA46" s="489"/>
      <c r="AB46" s="487"/>
      <c r="AC46" s="488"/>
      <c r="AD46" s="489"/>
      <c r="AE46" s="487"/>
      <c r="AF46" s="488"/>
      <c r="AG46" s="489"/>
      <c r="AH46" s="487"/>
      <c r="AI46" s="488"/>
      <c r="AJ46" s="489"/>
      <c r="AK46" s="487"/>
      <c r="AL46" s="488"/>
      <c r="AM46" s="489"/>
      <c r="AN46" s="487"/>
      <c r="AO46" s="488"/>
      <c r="AP46" s="489"/>
      <c r="AQ46" s="487"/>
      <c r="AR46" s="488"/>
      <c r="AS46" s="489"/>
      <c r="AT46" s="487"/>
      <c r="AU46" s="488"/>
      <c r="AV46" s="489"/>
      <c r="AW46" s="487"/>
      <c r="AX46" s="90"/>
      <c r="AY46" s="90"/>
    </row>
    <row r="47" spans="1:51">
      <c r="A47" s="35">
        <v>39</v>
      </c>
      <c r="B47" s="1053"/>
      <c r="C47" s="1054"/>
      <c r="D47" s="1054"/>
      <c r="E47" s="1055"/>
      <c r="F47" s="90"/>
      <c r="G47" s="90" t="s">
        <v>1997</v>
      </c>
      <c r="H47" s="90"/>
      <c r="I47" s="90"/>
      <c r="J47" s="487">
        <f>+J26+J38+J28</f>
        <v>-96815259.790000007</v>
      </c>
      <c r="K47" s="488"/>
      <c r="L47" s="489"/>
      <c r="M47" s="487">
        <f>+M26+M38+M28</f>
        <v>-96798119.579999998</v>
      </c>
      <c r="N47" s="488"/>
      <c r="O47" s="489"/>
      <c r="P47" s="487">
        <f>+P26+P38+P28</f>
        <v>-96780979.340000004</v>
      </c>
      <c r="Q47" s="488"/>
      <c r="R47" s="489"/>
      <c r="S47" s="487">
        <f>+S26+S38+S28</f>
        <v>-97223385.600000009</v>
      </c>
      <c r="T47" s="488"/>
      <c r="U47" s="489"/>
      <c r="V47" s="487">
        <f>+V26+V38+V28</f>
        <v>-97097374.659999996</v>
      </c>
      <c r="W47" s="488"/>
      <c r="X47" s="489"/>
      <c r="Y47" s="487">
        <f>+Y26+Y38+Y28</f>
        <v>-96971363.799999997</v>
      </c>
      <c r="Z47" s="488"/>
      <c r="AA47" s="489"/>
      <c r="AB47" s="487">
        <f>+AB26+AB38+AB28</f>
        <v>-97181324.890000001</v>
      </c>
      <c r="AC47" s="488"/>
      <c r="AD47" s="489"/>
      <c r="AE47" s="487">
        <f>+AE26+AE38+AE28</f>
        <v>-97111309.340000004</v>
      </c>
      <c r="AF47" s="488"/>
      <c r="AG47" s="489"/>
      <c r="AH47" s="487">
        <f>+AH26+AH38+AH28</f>
        <v>-97041293.75</v>
      </c>
      <c r="AI47" s="488"/>
      <c r="AJ47" s="489"/>
      <c r="AK47" s="487">
        <f>+AK26+AK38+AK28</f>
        <v>-98273089.640000001</v>
      </c>
      <c r="AL47" s="488"/>
      <c r="AM47" s="489"/>
      <c r="AN47" s="487">
        <f>+AN26+AN38+AN28</f>
        <v>-98347719.810000002</v>
      </c>
      <c r="AO47" s="488"/>
      <c r="AP47" s="489"/>
      <c r="AQ47" s="487">
        <f>+AQ26+AQ38+AQ28</f>
        <v>-100118820.69999999</v>
      </c>
      <c r="AR47" s="488"/>
      <c r="AS47" s="489"/>
      <c r="AT47" s="487">
        <f>+AT26+AT38+AT28</f>
        <v>-100067346.12</v>
      </c>
      <c r="AU47" s="488"/>
      <c r="AV47" s="489"/>
      <c r="AW47" s="487">
        <f>+AW26+AW38+AW28</f>
        <v>-97615507.005416676</v>
      </c>
      <c r="AX47" s="90"/>
      <c r="AY47" s="90"/>
    </row>
    <row r="48" spans="1:51">
      <c r="A48" s="35">
        <v>40</v>
      </c>
      <c r="B48" s="1053"/>
      <c r="C48" s="1054"/>
      <c r="D48" s="1054"/>
      <c r="E48" s="1055"/>
      <c r="F48" s="90"/>
      <c r="G48" s="90" t="s">
        <v>1998</v>
      </c>
      <c r="H48" s="90"/>
      <c r="I48" s="90"/>
      <c r="J48" s="490">
        <f>+J27+J29+J42</f>
        <v>-36786388.119999997</v>
      </c>
      <c r="K48" s="488"/>
      <c r="L48" s="489"/>
      <c r="M48" s="490">
        <f>+M27+M29+M42</f>
        <v>-36797682.920000002</v>
      </c>
      <c r="N48" s="488"/>
      <c r="O48" s="489"/>
      <c r="P48" s="490">
        <f>+P27+P29+P42</f>
        <v>-36808977.82</v>
      </c>
      <c r="Q48" s="488"/>
      <c r="R48" s="489"/>
      <c r="S48" s="490">
        <f>+S27+S29+S42</f>
        <v>-37065961.369999997</v>
      </c>
      <c r="T48" s="488"/>
      <c r="U48" s="489"/>
      <c r="V48" s="490">
        <f>+V27+V29+V42</f>
        <v>-37077311.259999998</v>
      </c>
      <c r="W48" s="488"/>
      <c r="X48" s="489"/>
      <c r="Y48" s="490">
        <f>+Y27+Y29+Y42</f>
        <v>-37088661.189999998</v>
      </c>
      <c r="Z48" s="488"/>
      <c r="AA48" s="489"/>
      <c r="AB48" s="490">
        <f>+AB27+AB29+AB42</f>
        <v>-37083468.740000002</v>
      </c>
      <c r="AC48" s="488"/>
      <c r="AD48" s="489"/>
      <c r="AE48" s="490">
        <f>+AE27+AE29+AE42</f>
        <v>-37092066.419999994</v>
      </c>
      <c r="AF48" s="488"/>
      <c r="AG48" s="489"/>
      <c r="AH48" s="490">
        <f>+AH27+AH29+AH42</f>
        <v>-37100664.079999998</v>
      </c>
      <c r="AI48" s="488"/>
      <c r="AJ48" s="489"/>
      <c r="AK48" s="490">
        <f>+AK27+AK29+AK42</f>
        <v>-36995176.82</v>
      </c>
      <c r="AL48" s="488"/>
      <c r="AM48" s="489"/>
      <c r="AN48" s="490">
        <f>+AN27+AN29+AN42</f>
        <v>-36991101.07</v>
      </c>
      <c r="AO48" s="488"/>
      <c r="AP48" s="489"/>
      <c r="AQ48" s="490">
        <f>+AQ27+AQ29+AQ42</f>
        <v>-36987025.399999999</v>
      </c>
      <c r="AR48" s="488"/>
      <c r="AS48" s="489"/>
      <c r="AT48" s="490">
        <f>+AT27+AT29+AT42</f>
        <v>-36157095.620000005</v>
      </c>
      <c r="AU48" s="488"/>
      <c r="AV48" s="489"/>
      <c r="AW48" s="490">
        <f>+AW27+AW29+AW42</f>
        <v>-36963319.913333334</v>
      </c>
      <c r="AX48" s="90"/>
      <c r="AY48" s="90"/>
    </row>
    <row r="49" spans="1:51" ht="16.5" thickBot="1">
      <c r="A49" s="327">
        <v>41</v>
      </c>
      <c r="B49" s="1053"/>
      <c r="C49" s="1054"/>
      <c r="D49" s="1054"/>
      <c r="E49" s="1055"/>
      <c r="F49" s="90"/>
      <c r="G49" s="90"/>
      <c r="H49" s="90"/>
      <c r="I49" s="90"/>
      <c r="J49" s="493">
        <f>+J47+J48</f>
        <v>-133601647.91</v>
      </c>
      <c r="K49" s="494"/>
      <c r="L49" s="495"/>
      <c r="M49" s="493">
        <f>+M47+M48</f>
        <v>-133595802.5</v>
      </c>
      <c r="N49" s="494"/>
      <c r="O49" s="495"/>
      <c r="P49" s="493">
        <f>+P47+P48</f>
        <v>-133589957.16</v>
      </c>
      <c r="Q49" s="494"/>
      <c r="R49" s="495"/>
      <c r="S49" s="493">
        <f>+S47+S48</f>
        <v>-134289346.97</v>
      </c>
      <c r="T49" s="494"/>
      <c r="U49" s="495"/>
      <c r="V49" s="493">
        <f>+V47+V48</f>
        <v>-134174685.91999999</v>
      </c>
      <c r="W49" s="494"/>
      <c r="X49" s="495"/>
      <c r="Y49" s="493">
        <f>+Y47+Y48</f>
        <v>-134060024.98999999</v>
      </c>
      <c r="Z49" s="494"/>
      <c r="AA49" s="495"/>
      <c r="AB49" s="493">
        <f>+AB47+AB48</f>
        <v>-134264793.63</v>
      </c>
      <c r="AC49" s="494"/>
      <c r="AD49" s="495"/>
      <c r="AE49" s="493">
        <f>+AE47+AE48</f>
        <v>-134203375.75999999</v>
      </c>
      <c r="AF49" s="494"/>
      <c r="AG49" s="495"/>
      <c r="AH49" s="493">
        <f>+AH47+AH48</f>
        <v>-134141957.83</v>
      </c>
      <c r="AI49" s="494"/>
      <c r="AJ49" s="495"/>
      <c r="AK49" s="493">
        <f>+AK47+AK48</f>
        <v>-135268266.46000001</v>
      </c>
      <c r="AL49" s="494"/>
      <c r="AM49" s="495"/>
      <c r="AN49" s="493">
        <f>+AN47+AN48</f>
        <v>-135338820.88</v>
      </c>
      <c r="AO49" s="494"/>
      <c r="AP49" s="495"/>
      <c r="AQ49" s="493">
        <f>+AQ47+AQ48</f>
        <v>-137105846.09999999</v>
      </c>
      <c r="AR49" s="494"/>
      <c r="AS49" s="495"/>
      <c r="AT49" s="493">
        <f>+AT47+AT48</f>
        <v>-136224441.74000001</v>
      </c>
      <c r="AU49" s="494"/>
      <c r="AV49" s="495"/>
      <c r="AW49" s="493">
        <f>+AW47+AW48</f>
        <v>-134578826.91875002</v>
      </c>
      <c r="AX49" s="90"/>
      <c r="AY49" s="90"/>
    </row>
    <row r="50" spans="1:51" ht="16.5" thickBot="1">
      <c r="A50" s="327">
        <v>42</v>
      </c>
      <c r="B50" s="1056"/>
      <c r="C50" s="1057"/>
      <c r="D50" s="1057"/>
      <c r="E50" s="1058"/>
      <c r="F50" s="90" t="s">
        <v>2000</v>
      </c>
      <c r="G50" s="90"/>
      <c r="H50" s="90"/>
      <c r="I50" s="90"/>
      <c r="J50" s="90">
        <f>+'Working Capital Work Paper'!F315</f>
        <v>-96815259.790000007</v>
      </c>
      <c r="M50" s="90">
        <f>+'Working Capital Work Paper'!G315</f>
        <v>-96798119.579999998</v>
      </c>
      <c r="P50" s="90">
        <f>+'Working Capital Work Paper'!H315</f>
        <v>-96780979.340000004</v>
      </c>
      <c r="S50" s="90">
        <f>+'Working Capital Work Paper'!I315</f>
        <v>-97223385.599999994</v>
      </c>
      <c r="V50" s="90">
        <f>+'Working Capital Work Paper'!J315</f>
        <v>-97097374.659999996</v>
      </c>
      <c r="W50" s="90"/>
      <c r="X50" s="90"/>
      <c r="Y50" s="90">
        <f>+'Working Capital Work Paper'!K315</f>
        <v>-96971363.799999997</v>
      </c>
      <c r="Z50" s="90"/>
      <c r="AA50" s="90"/>
      <c r="AB50" s="90">
        <f>+'Working Capital Work Paper'!L315</f>
        <v>-97181324.890000001</v>
      </c>
      <c r="AC50" s="90"/>
      <c r="AD50" s="90"/>
      <c r="AE50" s="90">
        <f>+'Working Capital Work Paper'!M315</f>
        <v>-97111309.340000004</v>
      </c>
      <c r="AF50" s="90"/>
      <c r="AG50" s="90"/>
      <c r="AH50" s="90">
        <f>+'Working Capital Work Paper'!N315</f>
        <v>-97041293.75</v>
      </c>
      <c r="AI50" s="90"/>
      <c r="AJ50" s="90"/>
      <c r="AK50" s="90">
        <f>+'Working Capital Work Paper'!O315</f>
        <v>-98273089.640000001</v>
      </c>
      <c r="AL50" s="90"/>
      <c r="AM50" s="90"/>
      <c r="AN50" s="90">
        <f>+'Working Capital Work Paper'!P315</f>
        <v>-98347719.810000002</v>
      </c>
      <c r="AO50" s="90"/>
      <c r="AP50" s="90"/>
      <c r="AQ50" s="90">
        <f>+'Working Capital Work Paper'!Q315</f>
        <v>-100118820.7</v>
      </c>
      <c r="AR50" s="90"/>
      <c r="AS50" s="90"/>
      <c r="AT50" s="90">
        <f>+'Working Capital Work Paper'!R315</f>
        <v>-100067346.12</v>
      </c>
      <c r="AV50" s="90"/>
      <c r="AW50" s="90">
        <f>+'Working Capital Work Paper'!S315</f>
        <v>-97615507.005416676</v>
      </c>
      <c r="AX50" s="90"/>
      <c r="AY50" s="90"/>
    </row>
    <row r="51" spans="1:51">
      <c r="A51" s="327">
        <v>43</v>
      </c>
      <c r="B51" s="90"/>
      <c r="C51" s="90"/>
      <c r="D51" s="90"/>
      <c r="E51" s="90"/>
      <c r="F51" s="90" t="s">
        <v>2001</v>
      </c>
      <c r="G51" s="90"/>
      <c r="H51" s="90"/>
      <c r="I51" s="90"/>
      <c r="J51" s="90">
        <f>+'Working Capital Work Paper'!F316</f>
        <v>-36786388.119999997</v>
      </c>
      <c r="M51" s="90">
        <f>+'Working Capital Work Paper'!G316</f>
        <v>-36797682.920000002</v>
      </c>
      <c r="P51" s="90">
        <f>+'Working Capital Work Paper'!H316</f>
        <v>-36808977.82</v>
      </c>
      <c r="S51" s="90">
        <f>+'Working Capital Work Paper'!I316</f>
        <v>-37065961.369999997</v>
      </c>
      <c r="V51" s="90">
        <f>+'Working Capital Work Paper'!J316</f>
        <v>-37077311.259999998</v>
      </c>
      <c r="W51" s="90"/>
      <c r="X51" s="90"/>
      <c r="Y51" s="90">
        <f>+'Working Capital Work Paper'!K316</f>
        <v>-37088661.189999998</v>
      </c>
      <c r="Z51" s="90"/>
      <c r="AA51" s="90"/>
      <c r="AB51" s="90">
        <f>+'Working Capital Work Paper'!L316</f>
        <v>-37083468.740000002</v>
      </c>
      <c r="AC51" s="90"/>
      <c r="AD51" s="90"/>
      <c r="AE51" s="90">
        <f>+'Working Capital Work Paper'!M316</f>
        <v>-37092066.420000002</v>
      </c>
      <c r="AF51" s="90"/>
      <c r="AG51" s="90"/>
      <c r="AH51" s="90">
        <f>+'Working Capital Work Paper'!N316</f>
        <v>-37100664.079999998</v>
      </c>
      <c r="AI51" s="90"/>
      <c r="AJ51" s="90"/>
      <c r="AK51" s="90">
        <f>+'Working Capital Work Paper'!O316</f>
        <v>-36995176.82</v>
      </c>
      <c r="AL51" s="90"/>
      <c r="AM51" s="90"/>
      <c r="AN51" s="90">
        <f>+'Working Capital Work Paper'!P316</f>
        <v>-36991101.07</v>
      </c>
      <c r="AO51" s="90"/>
      <c r="AP51" s="90"/>
      <c r="AQ51" s="90">
        <f>+'Working Capital Work Paper'!Q316</f>
        <v>-36987025.399999999</v>
      </c>
      <c r="AR51" s="90"/>
      <c r="AS51" s="90"/>
      <c r="AT51" s="90">
        <f>+'Working Capital Work Paper'!R316</f>
        <v>-36157095.619999997</v>
      </c>
      <c r="AV51" s="90"/>
      <c r="AW51" s="90">
        <f>+'Working Capital Work Paper'!S316</f>
        <v>-36963319.913333334</v>
      </c>
      <c r="AX51" s="90"/>
      <c r="AY51" s="90"/>
    </row>
    <row r="52" spans="1:51">
      <c r="A52" s="327">
        <v>44</v>
      </c>
      <c r="B52" s="90"/>
      <c r="C52" s="90"/>
      <c r="D52" s="90"/>
      <c r="E52" s="90"/>
      <c r="F52" s="90" t="s">
        <v>2002</v>
      </c>
      <c r="G52" s="90"/>
      <c r="H52" s="90"/>
      <c r="I52" s="90"/>
      <c r="J52" s="90">
        <f>+J47-J50</f>
        <v>0</v>
      </c>
      <c r="K52" s="90"/>
      <c r="L52" s="90"/>
      <c r="M52" s="90">
        <f>+M47-M50</f>
        <v>0</v>
      </c>
      <c r="N52" s="90"/>
      <c r="O52" s="90"/>
      <c r="P52" s="90">
        <f>+P47-P50</f>
        <v>0</v>
      </c>
      <c r="Q52" s="90"/>
      <c r="R52" s="90"/>
      <c r="S52" s="90">
        <f>+S47-S50</f>
        <v>0</v>
      </c>
      <c r="T52" s="90"/>
      <c r="U52" s="90"/>
      <c r="V52" s="90">
        <f>+V47-V50</f>
        <v>0</v>
      </c>
      <c r="W52" s="90"/>
      <c r="X52" s="90"/>
      <c r="Y52" s="90">
        <f>+Y47-Y50</f>
        <v>0</v>
      </c>
      <c r="Z52" s="90"/>
      <c r="AA52" s="90"/>
      <c r="AB52" s="90">
        <f>+AB47-AB50</f>
        <v>0</v>
      </c>
      <c r="AC52" s="90"/>
      <c r="AD52" s="90"/>
      <c r="AE52" s="90">
        <f>+AE47-AE50</f>
        <v>0</v>
      </c>
      <c r="AF52" s="90"/>
      <c r="AG52" s="90"/>
      <c r="AH52" s="90">
        <f>+AH47-AH50</f>
        <v>0</v>
      </c>
      <c r="AI52" s="90"/>
      <c r="AJ52" s="90"/>
      <c r="AK52" s="90">
        <f>+AK47-AK50</f>
        <v>0</v>
      </c>
      <c r="AL52" s="90"/>
      <c r="AM52" s="90"/>
      <c r="AN52" s="90">
        <f>+AN47-AN50</f>
        <v>0</v>
      </c>
      <c r="AO52" s="90"/>
      <c r="AP52" s="90"/>
      <c r="AQ52" s="90">
        <f>+AQ47-AQ50</f>
        <v>0</v>
      </c>
      <c r="AR52" s="90"/>
      <c r="AS52" s="90"/>
      <c r="AT52" s="90">
        <f>+AT47-AT50</f>
        <v>0</v>
      </c>
      <c r="AU52" s="90"/>
      <c r="AV52" s="90"/>
      <c r="AW52" s="90">
        <f>+AW47-AW50</f>
        <v>0</v>
      </c>
      <c r="AX52" s="90"/>
      <c r="AY52" s="90"/>
    </row>
    <row r="53" spans="1:51">
      <c r="A53" s="327">
        <v>45</v>
      </c>
      <c r="B53" s="90"/>
      <c r="C53" s="90"/>
      <c r="D53" s="90"/>
      <c r="E53" s="90"/>
      <c r="F53" s="90" t="s">
        <v>2002</v>
      </c>
      <c r="G53" s="90"/>
      <c r="H53" s="90"/>
      <c r="I53" s="90"/>
      <c r="J53" s="90">
        <f>+J48-J51</f>
        <v>0</v>
      </c>
      <c r="K53" s="90"/>
      <c r="L53" s="90"/>
      <c r="M53" s="90">
        <f>+M48-M51</f>
        <v>0</v>
      </c>
      <c r="N53" s="90"/>
      <c r="O53" s="90"/>
      <c r="P53" s="90">
        <f>+P48-P51</f>
        <v>0</v>
      </c>
      <c r="Q53" s="90"/>
      <c r="R53" s="90"/>
      <c r="S53" s="90">
        <f>+S48-S51</f>
        <v>0</v>
      </c>
      <c r="T53" s="90"/>
      <c r="U53" s="90"/>
      <c r="V53" s="90">
        <f>+V48-V51</f>
        <v>0</v>
      </c>
      <c r="W53" s="90"/>
      <c r="X53" s="90"/>
      <c r="Y53" s="90">
        <f>+Y48-Y51</f>
        <v>0</v>
      </c>
      <c r="Z53" s="90"/>
      <c r="AA53" s="90"/>
      <c r="AB53" s="90">
        <f>+AB48-AB51</f>
        <v>0</v>
      </c>
      <c r="AC53" s="90"/>
      <c r="AD53" s="90"/>
      <c r="AE53" s="90">
        <f>+AE48-AE51</f>
        <v>0</v>
      </c>
      <c r="AF53" s="90"/>
      <c r="AG53" s="90"/>
      <c r="AH53" s="90">
        <f>+AH48-AH51</f>
        <v>0</v>
      </c>
      <c r="AI53" s="90"/>
      <c r="AJ53" s="90"/>
      <c r="AK53" s="90">
        <f>+AK48-AK51</f>
        <v>0</v>
      </c>
      <c r="AL53" s="90"/>
      <c r="AM53" s="90"/>
      <c r="AN53" s="90">
        <f>+AN48-AN51</f>
        <v>0</v>
      </c>
      <c r="AO53" s="90"/>
      <c r="AP53" s="90"/>
      <c r="AQ53" s="90">
        <f>+AQ48-AQ51</f>
        <v>0</v>
      </c>
      <c r="AR53" s="90"/>
      <c r="AS53" s="90"/>
      <c r="AT53" s="90">
        <f>+AT48-AT51</f>
        <v>0</v>
      </c>
      <c r="AU53" s="90"/>
      <c r="AV53" s="90"/>
      <c r="AW53" s="90">
        <f>+AW48-AW51</f>
        <v>0</v>
      </c>
      <c r="AX53" s="90"/>
      <c r="AY53" s="90"/>
    </row>
    <row r="54" spans="1:51">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row>
    <row r="55" spans="1:51">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row>
    <row r="56" spans="1:51">
      <c r="J56" s="496"/>
      <c r="K56" s="496"/>
      <c r="L56" s="496"/>
      <c r="M56" s="496"/>
      <c r="N56" s="496"/>
      <c r="O56" s="496"/>
      <c r="P56" s="496"/>
      <c r="Q56" s="496"/>
      <c r="R56" s="496"/>
      <c r="S56" s="496"/>
      <c r="T56" s="496"/>
      <c r="U56" s="496"/>
      <c r="V56" s="496"/>
      <c r="W56" s="496"/>
      <c r="X56" s="496"/>
      <c r="Y56" s="496"/>
      <c r="Z56" s="496"/>
      <c r="AA56" s="496"/>
      <c r="AB56" s="496"/>
      <c r="AC56" s="496"/>
      <c r="AD56" s="496"/>
      <c r="AE56" s="496"/>
      <c r="AF56" s="496"/>
      <c r="AG56" s="496"/>
      <c r="AH56" s="496"/>
      <c r="AI56" s="496"/>
      <c r="AJ56" s="496"/>
      <c r="AK56" s="496"/>
      <c r="AL56" s="496"/>
      <c r="AM56" s="496"/>
      <c r="AN56" s="496"/>
      <c r="AO56" s="496"/>
      <c r="AP56" s="496"/>
      <c r="AQ56" s="496"/>
      <c r="AR56" s="496"/>
      <c r="AS56" s="496"/>
      <c r="AT56" s="496"/>
      <c r="AU56" s="496"/>
      <c r="AV56" s="496"/>
    </row>
    <row r="57" spans="1:51">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496"/>
      <c r="AJ57" s="496"/>
      <c r="AK57" s="496"/>
      <c r="AL57" s="496"/>
      <c r="AM57" s="496"/>
      <c r="AN57" s="496"/>
      <c r="AO57" s="496"/>
      <c r="AP57" s="496"/>
      <c r="AQ57" s="496"/>
      <c r="AR57" s="496"/>
      <c r="AS57" s="496"/>
      <c r="AT57" s="496"/>
      <c r="AU57" s="496"/>
      <c r="AV57" s="496"/>
    </row>
    <row r="58" spans="1:51">
      <c r="J58" s="496"/>
      <c r="K58" s="496"/>
      <c r="L58" s="496"/>
      <c r="M58" s="496"/>
      <c r="N58" s="496"/>
      <c r="O58" s="496"/>
      <c r="P58" s="496"/>
      <c r="Q58" s="496"/>
      <c r="R58" s="496"/>
      <c r="S58" s="496"/>
      <c r="T58" s="496"/>
      <c r="U58" s="496"/>
      <c r="V58" s="496"/>
      <c r="W58" s="496"/>
      <c r="X58" s="496"/>
      <c r="Y58" s="496"/>
      <c r="Z58" s="496"/>
      <c r="AA58" s="496"/>
      <c r="AB58" s="496"/>
      <c r="AC58" s="496"/>
      <c r="AD58" s="496"/>
      <c r="AE58" s="496"/>
      <c r="AF58" s="496"/>
      <c r="AG58" s="496"/>
      <c r="AH58" s="496"/>
      <c r="AI58" s="496"/>
      <c r="AJ58" s="496"/>
      <c r="AK58" s="496"/>
      <c r="AL58" s="496"/>
      <c r="AM58" s="496"/>
      <c r="AN58" s="496"/>
      <c r="AO58" s="496"/>
      <c r="AP58" s="496"/>
      <c r="AQ58" s="496"/>
      <c r="AR58" s="496"/>
      <c r="AS58" s="496"/>
      <c r="AT58" s="496"/>
      <c r="AU58" s="496"/>
      <c r="AV58" s="496"/>
    </row>
    <row r="59" spans="1:51">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496"/>
      <c r="AI59" s="496"/>
      <c r="AJ59" s="496"/>
      <c r="AK59" s="496"/>
      <c r="AL59" s="496"/>
      <c r="AM59" s="496"/>
      <c r="AN59" s="496"/>
      <c r="AO59" s="496"/>
      <c r="AP59" s="496"/>
      <c r="AQ59" s="496"/>
      <c r="AR59" s="496"/>
      <c r="AS59" s="496"/>
      <c r="AT59" s="496"/>
      <c r="AU59" s="496"/>
      <c r="AV59" s="496"/>
    </row>
    <row r="60" spans="1:51">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496"/>
      <c r="AI60" s="496"/>
      <c r="AJ60" s="496"/>
      <c r="AK60" s="496"/>
      <c r="AL60" s="496"/>
      <c r="AM60" s="496"/>
      <c r="AN60" s="496"/>
      <c r="AO60" s="496"/>
      <c r="AP60" s="496"/>
      <c r="AQ60" s="496"/>
      <c r="AR60" s="496"/>
      <c r="AS60" s="496"/>
      <c r="AT60" s="496"/>
      <c r="AU60" s="496"/>
      <c r="AV60" s="496"/>
    </row>
    <row r="61" spans="1:51">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6"/>
      <c r="AK61" s="496"/>
      <c r="AL61" s="496"/>
      <c r="AM61" s="496"/>
      <c r="AN61" s="496"/>
      <c r="AO61" s="496"/>
      <c r="AP61" s="496"/>
      <c r="AQ61" s="496"/>
      <c r="AR61" s="496"/>
      <c r="AS61" s="496"/>
      <c r="AT61" s="496"/>
      <c r="AU61" s="496"/>
      <c r="AV61" s="496"/>
    </row>
  </sheetData>
  <mergeCells count="35">
    <mergeCell ref="AX24:BD25"/>
    <mergeCell ref="R1:U1"/>
    <mergeCell ref="R2:U2"/>
    <mergeCell ref="R3:U3"/>
    <mergeCell ref="R4:U4"/>
    <mergeCell ref="R5:U5"/>
    <mergeCell ref="AB1:AE1"/>
    <mergeCell ref="AB2:AE2"/>
    <mergeCell ref="AB3:AE3"/>
    <mergeCell ref="AB4:AE4"/>
    <mergeCell ref="AB5:AE5"/>
    <mergeCell ref="AK1:AO1"/>
    <mergeCell ref="AK2:AO2"/>
    <mergeCell ref="B46:E50"/>
    <mergeCell ref="AU1:AY1"/>
    <mergeCell ref="AU2:AY2"/>
    <mergeCell ref="AU3:AY3"/>
    <mergeCell ref="AU4:AY4"/>
    <mergeCell ref="AU5:AY5"/>
    <mergeCell ref="B16:I16"/>
    <mergeCell ref="B25:I25"/>
    <mergeCell ref="B9:E13"/>
    <mergeCell ref="F9:I9"/>
    <mergeCell ref="F10:I10"/>
    <mergeCell ref="F11:I11"/>
    <mergeCell ref="F12:I12"/>
    <mergeCell ref="F3:J3"/>
    <mergeCell ref="E4:K4"/>
    <mergeCell ref="F5:J5"/>
    <mergeCell ref="F13:I13"/>
    <mergeCell ref="E1:K1"/>
    <mergeCell ref="F2:J2"/>
    <mergeCell ref="AK3:AO3"/>
    <mergeCell ref="AK4:AO4"/>
    <mergeCell ref="AK5:AO5"/>
  </mergeCells>
  <printOptions horizontalCentered="1"/>
  <pageMargins left="0.7" right="0.7" top="0.75" bottom="0.75" header="0.3" footer="0.3"/>
  <pageSetup scale="57" orientation="landscape" r:id="rId1"/>
  <headerFooter scaleWithDoc="0" alignWithMargins="0">
    <oddHeader>&amp;RPage &amp;P of &amp;N</oddHeader>
    <oddFooter>&amp;LElectronic Tab Name:&amp;A</oddFooter>
  </headerFooter>
  <rowBreaks count="1" manualBreakCount="1">
    <brk id="30" max="16383" man="1"/>
  </rowBreaks>
  <colBreaks count="2" manualBreakCount="2">
    <brk id="24" max="57" man="1"/>
    <brk id="4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6"/>
  <sheetViews>
    <sheetView workbookViewId="0">
      <selection activeCell="A3" sqref="A3:H3"/>
    </sheetView>
  </sheetViews>
  <sheetFormatPr defaultRowHeight="15.75"/>
  <cols>
    <col min="1" max="1" width="1.42578125" style="6" bestFit="1" customWidth="1"/>
    <col min="2" max="2" width="4.85546875" style="6" bestFit="1" customWidth="1"/>
    <col min="3" max="3" width="9.140625" style="6"/>
    <col min="4" max="4" width="54.140625" style="6" bestFit="1" customWidth="1"/>
    <col min="5" max="5" width="16.85546875" style="6" bestFit="1" customWidth="1"/>
    <col min="6" max="16384" width="9.140625" style="6"/>
  </cols>
  <sheetData>
    <row r="1" spans="2:8">
      <c r="D1" s="5"/>
      <c r="E1" s="5"/>
      <c r="F1" s="5"/>
      <c r="G1" s="5"/>
      <c r="H1" s="5"/>
    </row>
    <row r="2" spans="2:8">
      <c r="C2" s="1025" t="s">
        <v>61</v>
      </c>
      <c r="D2" s="1025"/>
      <c r="E2" s="1025"/>
      <c r="F2" s="5"/>
      <c r="G2" s="5"/>
      <c r="H2" s="5"/>
    </row>
    <row r="3" spans="2:8">
      <c r="C3" s="1025" t="s">
        <v>1690</v>
      </c>
      <c r="D3" s="1025"/>
      <c r="E3" s="1025"/>
      <c r="F3" s="5"/>
      <c r="G3" s="5"/>
      <c r="H3" s="5"/>
    </row>
    <row r="4" spans="2:8">
      <c r="C4" s="1025" t="s">
        <v>1700</v>
      </c>
      <c r="D4" s="1025"/>
      <c r="E4" s="1025"/>
      <c r="F4" s="5"/>
      <c r="G4" s="5"/>
      <c r="H4" s="5"/>
    </row>
    <row r="5" spans="2:8">
      <c r="C5" s="1025" t="s">
        <v>1673</v>
      </c>
      <c r="D5" s="1025"/>
      <c r="E5" s="1025"/>
      <c r="F5" s="5"/>
      <c r="G5" s="5"/>
      <c r="H5" s="5"/>
    </row>
    <row r="6" spans="2:8">
      <c r="C6" s="1025" t="s">
        <v>985</v>
      </c>
      <c r="D6" s="1025"/>
      <c r="E6" s="1025"/>
      <c r="F6" s="5"/>
      <c r="G6" s="5"/>
      <c r="H6" s="5"/>
    </row>
    <row r="9" spans="2:8">
      <c r="B9" s="497"/>
      <c r="C9" s="498"/>
      <c r="D9" s="499" t="s">
        <v>61</v>
      </c>
      <c r="E9" s="500"/>
    </row>
    <row r="10" spans="2:8">
      <c r="B10" s="501"/>
      <c r="C10" s="19"/>
      <c r="D10" s="502" t="s">
        <v>1673</v>
      </c>
      <c r="E10" s="503"/>
    </row>
    <row r="11" spans="2:8">
      <c r="B11" s="504"/>
      <c r="C11" s="505"/>
      <c r="D11" s="506" t="s">
        <v>379</v>
      </c>
      <c r="E11" s="507"/>
    </row>
    <row r="12" spans="2:8">
      <c r="B12" s="508"/>
      <c r="C12" s="19"/>
      <c r="D12" s="19"/>
      <c r="E12" s="508"/>
    </row>
    <row r="13" spans="2:8">
      <c r="B13" s="509" t="s">
        <v>380</v>
      </c>
      <c r="C13" s="18"/>
      <c r="D13" s="18"/>
      <c r="E13" s="509" t="s">
        <v>59</v>
      </c>
    </row>
    <row r="14" spans="2:8">
      <c r="B14" s="510" t="s">
        <v>381</v>
      </c>
      <c r="C14" s="506"/>
      <c r="D14" s="506" t="s">
        <v>382</v>
      </c>
      <c r="E14" s="510" t="s">
        <v>379</v>
      </c>
    </row>
    <row r="15" spans="2:8">
      <c r="B15" s="511"/>
      <c r="C15" s="512"/>
      <c r="D15" s="512" t="s">
        <v>116</v>
      </c>
      <c r="E15" s="511" t="s">
        <v>117</v>
      </c>
    </row>
    <row r="16" spans="2:8">
      <c r="B16" s="513"/>
      <c r="C16" s="19"/>
      <c r="D16" s="19"/>
      <c r="E16" s="513"/>
    </row>
    <row r="17" spans="1:7">
      <c r="B17" s="509">
        <v>1</v>
      </c>
      <c r="C17" s="19"/>
      <c r="D17" s="19" t="s">
        <v>383</v>
      </c>
      <c r="E17" s="514">
        <f>-'Working Capital Work Paper'!U342</f>
        <v>401629941.89166671</v>
      </c>
      <c r="G17" s="19"/>
    </row>
    <row r="18" spans="1:7">
      <c r="B18" s="509"/>
      <c r="C18" s="19"/>
      <c r="D18" s="19"/>
      <c r="E18" s="515"/>
    </row>
    <row r="19" spans="1:7">
      <c r="B19" s="509">
        <v>2</v>
      </c>
      <c r="C19" s="19"/>
      <c r="D19" s="19" t="s">
        <v>384</v>
      </c>
      <c r="E19" s="516">
        <f>+'Working Capital Work Paper'!V342</f>
        <v>333641208.78666663</v>
      </c>
    </row>
    <row r="20" spans="1:7">
      <c r="B20" s="509">
        <v>3</v>
      </c>
      <c r="C20" s="19"/>
      <c r="D20" s="19" t="s">
        <v>385</v>
      </c>
      <c r="E20" s="516">
        <f>+'Working Capital Work Paper'!W342</f>
        <v>31260829.359166674</v>
      </c>
    </row>
    <row r="21" spans="1:7">
      <c r="B21" s="509">
        <v>4</v>
      </c>
      <c r="C21" s="19"/>
      <c r="D21" s="19" t="s">
        <v>386</v>
      </c>
      <c r="E21" s="517">
        <f>+E19+E20</f>
        <v>364902038.14583331</v>
      </c>
    </row>
    <row r="22" spans="1:7">
      <c r="B22" s="509"/>
      <c r="C22" s="19"/>
      <c r="D22" s="19"/>
      <c r="E22" s="515"/>
    </row>
    <row r="23" spans="1:7" ht="16.5" thickBot="1">
      <c r="B23" s="509">
        <v>5</v>
      </c>
      <c r="C23" s="19"/>
      <c r="D23" s="19" t="s">
        <v>387</v>
      </c>
      <c r="E23" s="518">
        <f>+E17-E21</f>
        <v>36727903.745833397</v>
      </c>
    </row>
    <row r="24" spans="1:7" ht="16.5" thickTop="1">
      <c r="B24" s="509"/>
      <c r="C24" s="19"/>
      <c r="D24" s="19"/>
      <c r="E24" s="513"/>
    </row>
    <row r="25" spans="1:7" ht="16.5" thickBot="1">
      <c r="B25" s="509">
        <v>6</v>
      </c>
      <c r="C25" s="19"/>
      <c r="D25" s="19" t="s">
        <v>388</v>
      </c>
      <c r="E25" s="519">
        <f>+E23/E21</f>
        <v>0.1006514075187354</v>
      </c>
    </row>
    <row r="26" spans="1:7" ht="16.5" thickTop="1">
      <c r="B26" s="510"/>
      <c r="C26" s="505"/>
      <c r="D26" s="505"/>
      <c r="E26" s="520"/>
    </row>
    <row r="27" spans="1:7">
      <c r="B27" s="521"/>
      <c r="C27" s="19"/>
      <c r="D27" s="18" t="s">
        <v>61</v>
      </c>
      <c r="E27" s="503"/>
    </row>
    <row r="28" spans="1:7">
      <c r="B28" s="521"/>
      <c r="C28" s="19"/>
      <c r="D28" s="502" t="s">
        <v>1673</v>
      </c>
      <c r="E28" s="503"/>
    </row>
    <row r="29" spans="1:7">
      <c r="B29" s="522"/>
      <c r="C29" s="505"/>
      <c r="D29" s="506" t="s">
        <v>389</v>
      </c>
      <c r="E29" s="507"/>
    </row>
    <row r="30" spans="1:7">
      <c r="A30" s="6" t="s">
        <v>57</v>
      </c>
      <c r="B30" s="523"/>
      <c r="C30" s="19"/>
      <c r="D30" s="19"/>
      <c r="E30" s="508"/>
    </row>
    <row r="31" spans="1:7">
      <c r="B31" s="509" t="s">
        <v>380</v>
      </c>
      <c r="C31" s="18"/>
      <c r="D31" s="18"/>
      <c r="E31" s="509"/>
    </row>
    <row r="32" spans="1:7">
      <c r="B32" s="510" t="s">
        <v>381</v>
      </c>
      <c r="C32" s="506"/>
      <c r="D32" s="506" t="s">
        <v>382</v>
      </c>
      <c r="E32" s="510" t="s">
        <v>390</v>
      </c>
    </row>
    <row r="33" spans="2:5">
      <c r="B33" s="511"/>
      <c r="C33" s="512"/>
      <c r="D33" s="512" t="s">
        <v>116</v>
      </c>
      <c r="E33" s="511" t="s">
        <v>117</v>
      </c>
    </row>
    <row r="34" spans="2:5">
      <c r="B34" s="509"/>
      <c r="C34" s="19"/>
      <c r="D34" s="19"/>
      <c r="E34" s="513"/>
    </row>
    <row r="35" spans="2:5">
      <c r="B35" s="509">
        <v>7</v>
      </c>
      <c r="C35" s="19"/>
      <c r="D35" s="19" t="s">
        <v>391</v>
      </c>
      <c r="E35" s="515">
        <f>+'Rate Base'!D13</f>
        <v>677314165.18981874</v>
      </c>
    </row>
    <row r="36" spans="2:5">
      <c r="B36" s="509">
        <v>8</v>
      </c>
      <c r="C36" s="19"/>
      <c r="D36" s="28" t="s">
        <v>392</v>
      </c>
      <c r="E36" s="515">
        <f>+'Rate Base'!D14</f>
        <v>-345424354.83661753</v>
      </c>
    </row>
    <row r="37" spans="2:5">
      <c r="B37" s="509">
        <v>9</v>
      </c>
      <c r="C37" s="19"/>
      <c r="D37" s="28" t="s">
        <v>375</v>
      </c>
      <c r="E37" s="515">
        <f>+'Rate Base'!D16</f>
        <v>-3771590.387083333</v>
      </c>
    </row>
    <row r="38" spans="2:5">
      <c r="B38" s="509">
        <v>10</v>
      </c>
      <c r="C38" s="19"/>
      <c r="D38" s="28" t="s">
        <v>393</v>
      </c>
      <c r="E38" s="524">
        <f>+'Rate Base'!D17</f>
        <v>-73667038.139583334</v>
      </c>
    </row>
    <row r="39" spans="2:5">
      <c r="B39" s="509"/>
      <c r="C39" s="19"/>
      <c r="D39" s="28"/>
      <c r="E39" s="515"/>
    </row>
    <row r="40" spans="2:5">
      <c r="B40" s="509">
        <v>11</v>
      </c>
      <c r="C40" s="19"/>
      <c r="D40" s="28" t="s">
        <v>394</v>
      </c>
      <c r="E40" s="515">
        <f>SUM(E35:E38)</f>
        <v>254451181.82653451</v>
      </c>
    </row>
    <row r="41" spans="2:5">
      <c r="B41" s="509"/>
      <c r="C41" s="19"/>
      <c r="D41" s="28"/>
      <c r="E41" s="515"/>
    </row>
    <row r="42" spans="2:5">
      <c r="B42" s="509">
        <v>12</v>
      </c>
      <c r="C42" s="19"/>
      <c r="D42" s="28" t="s">
        <v>1981</v>
      </c>
      <c r="E42" s="525">
        <f>+E25</f>
        <v>0.1006514075187354</v>
      </c>
    </row>
    <row r="43" spans="2:5">
      <c r="B43" s="509"/>
      <c r="C43" s="19"/>
      <c r="D43" s="28"/>
      <c r="E43" s="515"/>
    </row>
    <row r="44" spans="2:5" ht="16.5" thickBot="1">
      <c r="B44" s="509">
        <v>13</v>
      </c>
      <c r="C44" s="19"/>
      <c r="D44" s="28" t="s">
        <v>1982</v>
      </c>
      <c r="E44" s="526">
        <f>+E40*E42</f>
        <v>25610869.595646363</v>
      </c>
    </row>
    <row r="45" spans="2:5" ht="16.5" thickTop="1">
      <c r="B45" s="510"/>
      <c r="C45" s="505"/>
      <c r="D45" s="527"/>
      <c r="E45" s="524"/>
    </row>
    <row r="46" spans="2:5">
      <c r="B46" s="8"/>
    </row>
  </sheetData>
  <mergeCells count="5">
    <mergeCell ref="C2:E2"/>
    <mergeCell ref="C3:E3"/>
    <mergeCell ref="C4:E4"/>
    <mergeCell ref="C5:E5"/>
    <mergeCell ref="C6:E6"/>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N17"/>
  <sheetViews>
    <sheetView view="pageBreakPreview" zoomScaleNormal="100" zoomScaleSheetLayoutView="100" workbookViewId="0">
      <selection activeCell="A3" sqref="A3:H3"/>
    </sheetView>
  </sheetViews>
  <sheetFormatPr defaultRowHeight="15.75"/>
  <cols>
    <col min="1" max="1" width="1.42578125" style="6" customWidth="1"/>
    <col min="2" max="2" width="2.5703125" style="6" customWidth="1"/>
    <col min="3" max="3" width="10.5703125" style="8" bestFit="1" customWidth="1"/>
    <col min="4" max="4" width="43" style="6" bestFit="1" customWidth="1"/>
    <col min="5" max="5" width="4.140625" style="6" customWidth="1"/>
    <col min="6" max="6" width="17.5703125" style="6" bestFit="1" customWidth="1"/>
    <col min="7" max="7" width="6" style="6" customWidth="1"/>
    <col min="8" max="8" width="10.140625" style="6" bestFit="1" customWidth="1"/>
    <col min="9" max="9" width="5.140625" style="6" customWidth="1"/>
    <col min="10" max="10" width="13.7109375" style="6" bestFit="1" customWidth="1"/>
    <col min="11" max="13" width="9.140625" style="6"/>
    <col min="14" max="14" width="13.85546875" style="6" bestFit="1" customWidth="1"/>
    <col min="15" max="16384" width="9.140625" style="6"/>
  </cols>
  <sheetData>
    <row r="1" spans="2:14">
      <c r="B1" s="528"/>
      <c r="C1" s="1025" t="s">
        <v>61</v>
      </c>
      <c r="D1" s="1025"/>
      <c r="E1" s="1025"/>
      <c r="F1" s="1025"/>
      <c r="G1" s="1025"/>
      <c r="H1" s="1025"/>
      <c r="I1" s="1025"/>
      <c r="J1" s="1025"/>
      <c r="K1" s="529"/>
      <c r="L1" s="530"/>
      <c r="M1" s="529"/>
    </row>
    <row r="2" spans="2:14">
      <c r="B2" s="528"/>
      <c r="C2" s="1025" t="s">
        <v>1690</v>
      </c>
      <c r="D2" s="1025"/>
      <c r="E2" s="1025"/>
      <c r="F2" s="1025"/>
      <c r="G2" s="1025"/>
      <c r="H2" s="1025"/>
      <c r="I2" s="1025"/>
      <c r="J2" s="1025"/>
      <c r="K2" s="531"/>
      <c r="L2" s="531"/>
      <c r="M2" s="531"/>
    </row>
    <row r="3" spans="2:14">
      <c r="B3" s="528"/>
      <c r="C3" s="1025" t="s">
        <v>1701</v>
      </c>
      <c r="D3" s="1025"/>
      <c r="E3" s="1025"/>
      <c r="F3" s="1025"/>
      <c r="G3" s="1025"/>
      <c r="H3" s="1025"/>
      <c r="I3" s="1025"/>
      <c r="J3" s="1025"/>
      <c r="K3" s="531"/>
      <c r="L3" s="531"/>
      <c r="M3" s="531"/>
    </row>
    <row r="4" spans="2:14">
      <c r="B4" s="528"/>
      <c r="C4" s="1025" t="s">
        <v>979</v>
      </c>
      <c r="D4" s="1025"/>
      <c r="E4" s="1025"/>
      <c r="F4" s="1025"/>
      <c r="G4" s="1025"/>
      <c r="H4" s="1025"/>
      <c r="I4" s="1025"/>
      <c r="J4" s="1025"/>
      <c r="K4" s="532"/>
      <c r="L4" s="532"/>
      <c r="M4" s="532"/>
    </row>
    <row r="5" spans="2:14">
      <c r="B5" s="528"/>
      <c r="C5" s="1025" t="s">
        <v>985</v>
      </c>
      <c r="D5" s="1025"/>
      <c r="E5" s="1025"/>
      <c r="F5" s="1025"/>
      <c r="G5" s="1025"/>
      <c r="H5" s="1025"/>
      <c r="I5" s="1025"/>
      <c r="J5" s="1025"/>
      <c r="K5" s="533"/>
      <c r="L5" s="533"/>
      <c r="M5" s="533"/>
    </row>
    <row r="6" spans="2:14">
      <c r="E6" s="1065"/>
      <c r="F6" s="1065"/>
      <c r="G6" s="1065"/>
      <c r="H6" s="1065"/>
      <c r="I6" s="1065"/>
      <c r="J6" s="1065"/>
    </row>
    <row r="7" spans="2:14">
      <c r="B7" s="534"/>
      <c r="C7" s="535"/>
      <c r="D7" s="528"/>
      <c r="E7" s="529"/>
      <c r="F7" s="529"/>
      <c r="G7" s="529"/>
      <c r="H7" s="529"/>
      <c r="I7" s="529"/>
      <c r="J7" s="529"/>
      <c r="K7" s="534"/>
      <c r="L7" s="534"/>
      <c r="M7" s="528"/>
    </row>
    <row r="8" spans="2:14" s="8" customFormat="1">
      <c r="B8" s="536"/>
      <c r="C8" s="537" t="s">
        <v>48</v>
      </c>
      <c r="D8" s="537" t="s">
        <v>1731</v>
      </c>
      <c r="E8" s="537"/>
      <c r="F8" s="537" t="s">
        <v>1729</v>
      </c>
      <c r="G8" s="537"/>
      <c r="H8" s="537" t="s">
        <v>1732</v>
      </c>
      <c r="I8" s="537"/>
      <c r="J8" s="537" t="s">
        <v>1733</v>
      </c>
      <c r="K8" s="536"/>
      <c r="L8" s="538"/>
      <c r="M8" s="537"/>
    </row>
    <row r="9" spans="2:14">
      <c r="B9" s="534"/>
      <c r="C9" s="539" t="s">
        <v>1727</v>
      </c>
      <c r="D9" s="540" t="s">
        <v>49</v>
      </c>
      <c r="E9" s="541"/>
      <c r="F9" s="541" t="s">
        <v>50</v>
      </c>
      <c r="G9" s="541"/>
      <c r="H9" s="542" t="s">
        <v>51</v>
      </c>
      <c r="I9" s="542"/>
      <c r="J9" s="543" t="s">
        <v>52</v>
      </c>
      <c r="K9" s="534"/>
      <c r="L9" s="534"/>
      <c r="M9" s="528"/>
    </row>
    <row r="10" spans="2:14">
      <c r="B10" s="534"/>
      <c r="C10" s="521"/>
      <c r="D10" s="544"/>
      <c r="E10" s="544"/>
      <c r="F10" s="544"/>
      <c r="G10" s="544"/>
      <c r="H10" s="544"/>
      <c r="I10" s="544"/>
      <c r="J10" s="545" t="s">
        <v>51</v>
      </c>
      <c r="K10" s="534"/>
      <c r="L10" s="534"/>
      <c r="M10" s="528"/>
    </row>
    <row r="11" spans="2:14">
      <c r="C11" s="521">
        <v>1</v>
      </c>
      <c r="D11" s="546" t="s">
        <v>53</v>
      </c>
      <c r="E11" s="544"/>
      <c r="F11" s="547">
        <v>0.5</v>
      </c>
      <c r="G11" s="548"/>
      <c r="H11" s="549">
        <v>5.2949999999999997E-2</v>
      </c>
      <c r="I11" s="550"/>
      <c r="J11" s="551">
        <f>ROUND(+F11*H11,5)</f>
        <v>2.648E-2</v>
      </c>
      <c r="K11" s="534"/>
      <c r="L11" s="552"/>
      <c r="M11" s="528"/>
      <c r="N11" s="553"/>
    </row>
    <row r="12" spans="2:14">
      <c r="C12" s="521">
        <v>2</v>
      </c>
      <c r="D12" s="546" t="s">
        <v>54</v>
      </c>
      <c r="E12" s="544"/>
      <c r="F12" s="547">
        <v>0</v>
      </c>
      <c r="G12" s="548"/>
      <c r="H12" s="549">
        <v>0</v>
      </c>
      <c r="I12" s="550"/>
      <c r="J12" s="551">
        <f>ROUND(+F12*H12,5)</f>
        <v>0</v>
      </c>
      <c r="K12" s="534"/>
      <c r="L12" s="552"/>
      <c r="M12" s="528"/>
    </row>
    <row r="13" spans="2:14">
      <c r="C13" s="521">
        <v>3</v>
      </c>
      <c r="D13" s="546" t="s">
        <v>55</v>
      </c>
      <c r="E13" s="544"/>
      <c r="F13" s="547">
        <v>0.5</v>
      </c>
      <c r="G13" s="548"/>
      <c r="H13" s="549">
        <v>9.9000000000000005E-2</v>
      </c>
      <c r="I13" s="550"/>
      <c r="J13" s="551">
        <f>ROUND(+F13*H13,5)</f>
        <v>4.9500000000000002E-2</v>
      </c>
      <c r="K13" s="534"/>
      <c r="L13" s="552"/>
      <c r="M13" s="528"/>
    </row>
    <row r="14" spans="2:14" ht="16.5" thickBot="1">
      <c r="B14" s="534"/>
      <c r="C14" s="521">
        <v>4</v>
      </c>
      <c r="D14" s="546" t="s">
        <v>56</v>
      </c>
      <c r="E14" s="544"/>
      <c r="F14" s="554">
        <f>SUM(F11:F13)</f>
        <v>1</v>
      </c>
      <c r="G14" s="548"/>
      <c r="H14" s="548"/>
      <c r="I14" s="550"/>
      <c r="J14" s="555">
        <f>SUM(J11:J13)</f>
        <v>7.5980000000000006E-2</v>
      </c>
      <c r="K14" s="534"/>
      <c r="L14" s="534"/>
      <c r="M14" s="528"/>
    </row>
    <row r="15" spans="2:14" ht="16.5" thickTop="1">
      <c r="B15" s="534"/>
      <c r="C15" s="556"/>
      <c r="D15" s="557"/>
      <c r="E15" s="557"/>
      <c r="F15" s="557"/>
      <c r="G15" s="557"/>
      <c r="H15" s="557"/>
      <c r="I15" s="557"/>
      <c r="J15" s="558"/>
      <c r="K15" s="534"/>
      <c r="L15" s="534"/>
      <c r="M15" s="528"/>
    </row>
    <row r="16" spans="2:14">
      <c r="B16" s="534"/>
      <c r="C16" s="536"/>
      <c r="D16" s="534"/>
      <c r="E16" s="534"/>
      <c r="F16" s="534"/>
      <c r="G16" s="534"/>
      <c r="H16" s="534"/>
      <c r="I16" s="534"/>
      <c r="J16" s="534"/>
      <c r="K16" s="534"/>
      <c r="L16" s="534"/>
      <c r="M16" s="528"/>
    </row>
    <row r="17" spans="2:12">
      <c r="B17" s="528"/>
      <c r="C17" s="537"/>
      <c r="D17" s="528" t="s">
        <v>2131</v>
      </c>
      <c r="E17" s="528"/>
      <c r="F17" s="528"/>
      <c r="G17" s="528"/>
      <c r="H17" s="528"/>
      <c r="I17" s="528"/>
      <c r="J17" s="528"/>
      <c r="K17" s="528"/>
      <c r="L17" s="528"/>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7"/>
  <sheetViews>
    <sheetView zoomScale="80" zoomScaleNormal="80" workbookViewId="0">
      <selection activeCell="A18" sqref="A18"/>
    </sheetView>
  </sheetViews>
  <sheetFormatPr defaultRowHeight="15.75"/>
  <cols>
    <col min="1" max="1" width="3.5703125" style="6" bestFit="1" customWidth="1"/>
    <col min="2" max="2" width="35.140625" style="6" bestFit="1" customWidth="1"/>
    <col min="3" max="3" width="1" style="6" customWidth="1"/>
    <col min="4" max="4" width="14.5703125" style="6" bestFit="1" customWidth="1"/>
    <col min="5" max="5" width="1" style="6" customWidth="1"/>
    <col min="6" max="6" width="0.85546875" style="6" customWidth="1"/>
    <col min="7" max="7" width="12.85546875" style="6" bestFit="1" customWidth="1"/>
    <col min="8" max="9" width="1.28515625" style="6" customWidth="1"/>
    <col min="10" max="10" width="14" style="6" bestFit="1" customWidth="1"/>
    <col min="11" max="11" width="0.85546875" style="6" customWidth="1"/>
    <col min="12" max="12" width="1.42578125" style="6" customWidth="1"/>
    <col min="13" max="13" width="12.85546875" style="6" bestFit="1" customWidth="1"/>
    <col min="14" max="14" width="1" style="6" customWidth="1"/>
    <col min="15" max="15" width="0.85546875" style="6" customWidth="1"/>
    <col min="16" max="16" width="14.7109375" style="6" bestFit="1" customWidth="1"/>
    <col min="17" max="17" width="1.5703125" style="6" customWidth="1"/>
    <col min="18" max="18" width="1.140625" style="6" customWidth="1"/>
    <col min="19" max="19" width="9.140625" style="6"/>
    <col min="20" max="20" width="11.85546875" style="6" customWidth="1"/>
    <col min="21" max="21" width="12.28515625" style="6" bestFit="1" customWidth="1"/>
    <col min="22" max="22" width="10.5703125" style="6" bestFit="1" customWidth="1"/>
    <col min="23" max="16384" width="9.140625" style="6"/>
  </cols>
  <sheetData>
    <row r="1" spans="1:21">
      <c r="A1" s="1012" t="s">
        <v>119</v>
      </c>
      <c r="B1" s="1012"/>
      <c r="C1" s="1012"/>
      <c r="D1" s="1012"/>
      <c r="E1" s="1012"/>
      <c r="F1" s="1012"/>
      <c r="G1" s="1012"/>
      <c r="H1" s="1012"/>
      <c r="I1" s="1012"/>
      <c r="J1" s="1012"/>
      <c r="K1" s="1012"/>
      <c r="L1" s="1012"/>
      <c r="M1" s="1012"/>
      <c r="N1" s="1012"/>
      <c r="O1" s="1012"/>
      <c r="P1" s="1012"/>
      <c r="Q1" s="1012"/>
      <c r="R1" s="19"/>
    </row>
    <row r="2" spans="1:21">
      <c r="A2" s="1012" t="s">
        <v>1678</v>
      </c>
      <c r="B2" s="1012"/>
      <c r="C2" s="1012"/>
      <c r="D2" s="1012"/>
      <c r="E2" s="1012"/>
      <c r="F2" s="1012"/>
      <c r="G2" s="1012"/>
      <c r="H2" s="1012"/>
      <c r="I2" s="1012"/>
      <c r="J2" s="1012"/>
      <c r="K2" s="1012"/>
      <c r="L2" s="1012"/>
      <c r="M2" s="1012"/>
      <c r="N2" s="1012"/>
      <c r="O2" s="1012"/>
      <c r="P2" s="1012"/>
      <c r="Q2" s="1012"/>
      <c r="R2" s="42"/>
    </row>
    <row r="3" spans="1:21">
      <c r="A3" s="1013" t="s">
        <v>985</v>
      </c>
      <c r="B3" s="1013"/>
      <c r="C3" s="1013"/>
      <c r="D3" s="1013"/>
      <c r="E3" s="1013"/>
      <c r="F3" s="1013"/>
      <c r="G3" s="1013"/>
      <c r="H3" s="1013"/>
      <c r="I3" s="1013"/>
      <c r="J3" s="1013"/>
      <c r="K3" s="1013"/>
      <c r="L3" s="1013"/>
      <c r="M3" s="1013"/>
      <c r="N3" s="1013"/>
      <c r="O3" s="1013"/>
      <c r="P3" s="1013"/>
      <c r="Q3" s="1013"/>
      <c r="R3" s="42"/>
    </row>
    <row r="4" spans="1:21">
      <c r="A4" s="43"/>
      <c r="B4" s="43"/>
      <c r="C4" s="43"/>
      <c r="D4" s="43"/>
      <c r="E4" s="43"/>
      <c r="F4" s="43"/>
      <c r="G4" s="43"/>
      <c r="H4" s="43"/>
      <c r="I4" s="43"/>
      <c r="J4" s="43"/>
      <c r="K4" s="43"/>
      <c r="L4" s="43"/>
      <c r="M4" s="43"/>
      <c r="N4" s="43"/>
      <c r="O4" s="43"/>
      <c r="P4" s="43"/>
      <c r="Q4" s="42"/>
      <c r="R4" s="42"/>
    </row>
    <row r="5" spans="1:21">
      <c r="A5" s="44"/>
      <c r="B5" s="44"/>
      <c r="C5" s="45"/>
      <c r="D5" s="46">
        <v>42735</v>
      </c>
      <c r="E5" s="47"/>
      <c r="F5" s="48"/>
      <c r="G5" s="49" t="s">
        <v>80</v>
      </c>
      <c r="H5" s="47"/>
      <c r="I5" s="48"/>
      <c r="J5" s="49" t="s">
        <v>70</v>
      </c>
      <c r="K5" s="47"/>
      <c r="L5" s="48"/>
      <c r="M5" s="49" t="s">
        <v>72</v>
      </c>
      <c r="N5" s="49"/>
      <c r="O5" s="47"/>
      <c r="P5" s="50" t="s">
        <v>2</v>
      </c>
      <c r="Q5" s="51"/>
      <c r="R5" s="42"/>
    </row>
    <row r="6" spans="1:21">
      <c r="A6" s="42"/>
      <c r="B6" s="42"/>
      <c r="C6" s="52"/>
      <c r="D6" s="53" t="s">
        <v>0</v>
      </c>
      <c r="E6" s="52"/>
      <c r="F6" s="42"/>
      <c r="G6" s="54" t="s">
        <v>81</v>
      </c>
      <c r="H6" s="55"/>
      <c r="I6" s="56"/>
      <c r="J6" s="57" t="s">
        <v>71</v>
      </c>
      <c r="K6" s="52"/>
      <c r="L6" s="42"/>
      <c r="M6" s="54" t="s">
        <v>969</v>
      </c>
      <c r="N6" s="54"/>
      <c r="O6" s="52"/>
      <c r="P6" s="58" t="s">
        <v>1649</v>
      </c>
      <c r="Q6" s="52"/>
      <c r="R6" s="42"/>
    </row>
    <row r="7" spans="1:21">
      <c r="A7" s="42"/>
      <c r="B7" s="42"/>
      <c r="C7" s="52"/>
      <c r="D7" s="53" t="s">
        <v>3</v>
      </c>
      <c r="E7" s="52"/>
      <c r="F7" s="42"/>
      <c r="G7" s="54" t="s">
        <v>1</v>
      </c>
      <c r="H7" s="52"/>
      <c r="I7" s="42"/>
      <c r="J7" s="54" t="s">
        <v>59</v>
      </c>
      <c r="K7" s="52"/>
      <c r="L7" s="42"/>
      <c r="M7" s="54" t="s">
        <v>73</v>
      </c>
      <c r="N7" s="54"/>
      <c r="O7" s="52"/>
      <c r="P7" s="59" t="s">
        <v>82</v>
      </c>
      <c r="Q7" s="52"/>
      <c r="R7" s="42"/>
    </row>
    <row r="8" spans="1:21">
      <c r="A8" s="42"/>
      <c r="B8" s="42"/>
      <c r="C8" s="52"/>
      <c r="D8" s="53" t="s">
        <v>4</v>
      </c>
      <c r="E8" s="52"/>
      <c r="F8" s="42"/>
      <c r="G8" s="54"/>
      <c r="H8" s="52"/>
      <c r="I8" s="42"/>
      <c r="J8" s="54"/>
      <c r="K8" s="52"/>
      <c r="L8" s="42"/>
      <c r="M8" s="54"/>
      <c r="N8" s="54"/>
      <c r="O8" s="52"/>
      <c r="P8" s="59" t="s">
        <v>83</v>
      </c>
      <c r="Q8" s="52"/>
      <c r="R8" s="42"/>
    </row>
    <row r="9" spans="1:21">
      <c r="A9" s="42"/>
      <c r="B9" s="42"/>
      <c r="C9" s="52"/>
      <c r="D9" s="53"/>
      <c r="E9" s="52"/>
      <c r="F9" s="42"/>
      <c r="G9" s="54"/>
      <c r="H9" s="52"/>
      <c r="I9" s="42"/>
      <c r="J9" s="54"/>
      <c r="K9" s="52"/>
      <c r="L9" s="42"/>
      <c r="M9" s="57"/>
      <c r="N9" s="57"/>
      <c r="O9" s="52"/>
      <c r="P9" s="59"/>
      <c r="Q9" s="52"/>
      <c r="R9" s="42"/>
    </row>
    <row r="10" spans="1:21">
      <c r="A10" s="42"/>
      <c r="B10" s="41" t="s">
        <v>6</v>
      </c>
      <c r="C10" s="52"/>
      <c r="D10" s="60" t="s">
        <v>5</v>
      </c>
      <c r="E10" s="52"/>
      <c r="F10" s="42"/>
      <c r="G10" s="61" t="s">
        <v>7</v>
      </c>
      <c r="H10" s="52"/>
      <c r="I10" s="42"/>
      <c r="J10" s="57" t="s">
        <v>8</v>
      </c>
      <c r="K10" s="52"/>
      <c r="L10" s="42"/>
      <c r="M10" s="61" t="s">
        <v>9</v>
      </c>
      <c r="N10" s="61"/>
      <c r="O10" s="52"/>
      <c r="P10" s="62" t="s">
        <v>10</v>
      </c>
      <c r="Q10" s="52"/>
      <c r="R10" s="42"/>
    </row>
    <row r="11" spans="1:21">
      <c r="A11" s="42"/>
      <c r="B11" s="42"/>
      <c r="C11" s="52"/>
      <c r="D11" s="63"/>
      <c r="E11" s="64"/>
      <c r="F11" s="65"/>
      <c r="G11" s="65"/>
      <c r="H11" s="64"/>
      <c r="I11" s="65"/>
      <c r="J11" s="65"/>
      <c r="K11" s="64"/>
      <c r="L11" s="65"/>
      <c r="M11" s="65"/>
      <c r="N11" s="65"/>
      <c r="O11" s="64"/>
      <c r="P11" s="64"/>
      <c r="Q11" s="66"/>
      <c r="R11" s="67"/>
    </row>
    <row r="12" spans="1:21">
      <c r="A12" s="42"/>
      <c r="B12" s="41" t="s">
        <v>11</v>
      </c>
      <c r="C12" s="52"/>
      <c r="D12" s="67"/>
      <c r="E12" s="52"/>
      <c r="F12" s="42"/>
      <c r="G12" s="68"/>
      <c r="H12" s="52"/>
      <c r="I12" s="42"/>
      <c r="J12" s="42"/>
      <c r="K12" s="52"/>
      <c r="L12" s="42"/>
      <c r="M12" s="42"/>
      <c r="N12" s="42"/>
      <c r="O12" s="52"/>
      <c r="P12" s="52"/>
      <c r="Q12" s="52"/>
      <c r="R12" s="42"/>
    </row>
    <row r="13" spans="1:21">
      <c r="A13" s="42">
        <v>1</v>
      </c>
      <c r="B13" s="69" t="s">
        <v>31</v>
      </c>
      <c r="C13" s="70"/>
      <c r="D13" s="71">
        <f>+'Operating Report'!G17</f>
        <v>182902832.87</v>
      </c>
      <c r="E13" s="72"/>
      <c r="F13" s="73"/>
      <c r="G13" s="73">
        <f>+'Exh MPP-5 - Summary of Adj'!AA16</f>
        <v>10375437.408959962</v>
      </c>
      <c r="H13" s="72"/>
      <c r="I13" s="73"/>
      <c r="J13" s="74">
        <f>+D13+G13</f>
        <v>193278270.27895996</v>
      </c>
      <c r="K13" s="72"/>
      <c r="L13" s="73"/>
      <c r="M13" s="74">
        <f>+'Exh MPP-3 - Rev Req Calc'!D21-M14</f>
        <v>4684984.0152483666</v>
      </c>
      <c r="N13" s="74"/>
      <c r="O13" s="72"/>
      <c r="P13" s="75">
        <f>+J13+M13</f>
        <v>197963254.29420832</v>
      </c>
      <c r="Q13" s="72"/>
      <c r="R13" s="76"/>
      <c r="T13" s="77"/>
      <c r="U13" s="77"/>
    </row>
    <row r="14" spans="1:21">
      <c r="A14" s="42">
        <v>2</v>
      </c>
      <c r="B14" s="69" t="s">
        <v>32</v>
      </c>
      <c r="C14" s="70"/>
      <c r="D14" s="78">
        <f>+'Operating Report'!G21</f>
        <v>21216454.399999999</v>
      </c>
      <c r="E14" s="72"/>
      <c r="F14" s="73"/>
      <c r="G14" s="73">
        <f>+'Exh MPP-5 - Summary of Adj'!AA17</f>
        <v>1787452.100000002</v>
      </c>
      <c r="H14" s="72"/>
      <c r="I14" s="73"/>
      <c r="J14" s="74">
        <f>+D14+G14</f>
        <v>23003906.5</v>
      </c>
      <c r="K14" s="72"/>
      <c r="L14" s="73"/>
      <c r="M14" s="73">
        <v>1200000</v>
      </c>
      <c r="N14" s="73"/>
      <c r="O14" s="72"/>
      <c r="P14" s="75">
        <f>+J14+M14</f>
        <v>24203906.5</v>
      </c>
      <c r="Q14" s="72"/>
      <c r="R14" s="79"/>
      <c r="T14" s="77"/>
      <c r="U14" s="77"/>
    </row>
    <row r="15" spans="1:21">
      <c r="A15" s="42">
        <v>3</v>
      </c>
      <c r="B15" s="69" t="s">
        <v>33</v>
      </c>
      <c r="C15" s="80"/>
      <c r="D15" s="81">
        <f>+'Operating Report'!G26-'Operating Report'!G21</f>
        <v>1011374.9600000009</v>
      </c>
      <c r="E15" s="72"/>
      <c r="F15" s="73"/>
      <c r="G15" s="73">
        <f>+'Exh MPP-5 - Summary of Adj'!AA18</f>
        <v>-101645</v>
      </c>
      <c r="H15" s="72"/>
      <c r="I15" s="73"/>
      <c r="J15" s="74">
        <f>+D15+G15</f>
        <v>909729.96000000089</v>
      </c>
      <c r="K15" s="72"/>
      <c r="L15" s="73"/>
      <c r="M15" s="73"/>
      <c r="N15" s="73"/>
      <c r="O15" s="72"/>
      <c r="P15" s="75">
        <f>+J15+M15</f>
        <v>909729.96000000089</v>
      </c>
      <c r="Q15" s="72"/>
      <c r="R15" s="79"/>
      <c r="T15" s="77"/>
      <c r="U15" s="77"/>
    </row>
    <row r="16" spans="1:21">
      <c r="A16" s="42">
        <v>4</v>
      </c>
      <c r="B16" s="82" t="s">
        <v>1368</v>
      </c>
      <c r="C16" s="70"/>
      <c r="D16" s="78">
        <f>SUM(D13:D15)</f>
        <v>205130662.23000002</v>
      </c>
      <c r="E16" s="72"/>
      <c r="F16" s="73"/>
      <c r="G16" s="83">
        <f>SUM(G13:G15)</f>
        <v>12061244.508959964</v>
      </c>
      <c r="H16" s="72"/>
      <c r="I16" s="73"/>
      <c r="J16" s="83">
        <f>SUM(J13:J15)</f>
        <v>217191906.73895997</v>
      </c>
      <c r="K16" s="72"/>
      <c r="L16" s="73"/>
      <c r="M16" s="83">
        <f>SUM(M13:M15)</f>
        <v>5884984.0152483666</v>
      </c>
      <c r="N16" s="77"/>
      <c r="O16" s="72"/>
      <c r="P16" s="84">
        <f>SUM(P13:P15)</f>
        <v>223076890.75420833</v>
      </c>
      <c r="Q16" s="72"/>
      <c r="R16" s="79"/>
      <c r="T16" s="77"/>
      <c r="U16" s="77"/>
    </row>
    <row r="17" spans="1:22">
      <c r="A17" s="42"/>
      <c r="B17" s="69"/>
      <c r="C17" s="70"/>
      <c r="D17" s="78"/>
      <c r="E17" s="72"/>
      <c r="F17" s="73"/>
      <c r="G17" s="77"/>
      <c r="H17" s="72"/>
      <c r="I17" s="73"/>
      <c r="J17" s="77"/>
      <c r="K17" s="72"/>
      <c r="L17" s="73"/>
      <c r="M17" s="77"/>
      <c r="N17" s="77"/>
      <c r="O17" s="72"/>
      <c r="P17" s="85"/>
      <c r="Q17" s="72"/>
      <c r="R17" s="79"/>
      <c r="T17" s="77"/>
      <c r="U17" s="77"/>
      <c r="V17" s="77"/>
    </row>
    <row r="18" spans="1:22">
      <c r="A18" s="42"/>
      <c r="B18" s="69" t="s">
        <v>12</v>
      </c>
      <c r="C18" s="70"/>
      <c r="D18" s="78"/>
      <c r="E18" s="72"/>
      <c r="F18" s="73"/>
      <c r="G18" s="77"/>
      <c r="H18" s="72"/>
      <c r="I18" s="73"/>
      <c r="J18" s="77"/>
      <c r="K18" s="72"/>
      <c r="L18" s="73"/>
      <c r="M18" s="77"/>
      <c r="N18" s="77"/>
      <c r="O18" s="72"/>
      <c r="P18" s="85"/>
      <c r="Q18" s="72"/>
      <c r="R18" s="79"/>
      <c r="T18" s="77"/>
      <c r="U18" s="77"/>
    </row>
    <row r="19" spans="1:22">
      <c r="A19" s="42">
        <v>5</v>
      </c>
      <c r="B19" s="69" t="s">
        <v>1369</v>
      </c>
      <c r="C19" s="70"/>
      <c r="D19" s="78">
        <f>+'Operating Report'!G36</f>
        <v>103593864.52000001</v>
      </c>
      <c r="E19" s="72"/>
      <c r="F19" s="73"/>
      <c r="G19" s="73">
        <f>+'Exh MPP-5 - Summary of Adj'!AA22</f>
        <v>4018538.273679968</v>
      </c>
      <c r="H19" s="72"/>
      <c r="I19" s="73"/>
      <c r="J19" s="74">
        <f>+D19+G19</f>
        <v>107612402.79367998</v>
      </c>
      <c r="K19" s="72"/>
      <c r="L19" s="73"/>
      <c r="M19" s="73"/>
      <c r="N19" s="73"/>
      <c r="O19" s="72"/>
      <c r="P19" s="75">
        <f>+J19+M19</f>
        <v>107612402.79367998</v>
      </c>
      <c r="Q19" s="72"/>
      <c r="R19" s="79"/>
      <c r="T19" s="77"/>
      <c r="U19" s="86"/>
      <c r="V19" s="77"/>
    </row>
    <row r="20" spans="1:22">
      <c r="A20" s="42">
        <v>6</v>
      </c>
      <c r="B20" s="69" t="s">
        <v>1370</v>
      </c>
      <c r="C20" s="70"/>
      <c r="D20" s="78">
        <f>+'Operating Report'!G52</f>
        <v>16946340.530000001</v>
      </c>
      <c r="E20" s="72"/>
      <c r="F20" s="73"/>
      <c r="G20" s="73">
        <f>+'Exh MPP-5 - Summary of Adj'!AA23</f>
        <v>488721.62750305777</v>
      </c>
      <c r="H20" s="72"/>
      <c r="I20" s="73"/>
      <c r="J20" s="74">
        <f>+D20+G20</f>
        <v>17435062.157503057</v>
      </c>
      <c r="K20" s="72"/>
      <c r="L20" s="73"/>
      <c r="M20" s="73">
        <f>+M16*('Exh MPP-4 - Conversion Factor'!C9+'Exh MPP-4 - Conversion Factor'!C10)</f>
        <v>238459.55229786382</v>
      </c>
      <c r="N20" s="73"/>
      <c r="O20" s="72"/>
      <c r="P20" s="87">
        <f>+J20+M20</f>
        <v>17673521.709800921</v>
      </c>
      <c r="Q20" s="72"/>
      <c r="R20" s="79"/>
      <c r="T20" s="77"/>
    </row>
    <row r="21" spans="1:22">
      <c r="A21" s="42">
        <v>7</v>
      </c>
      <c r="B21" s="88" t="s">
        <v>35</v>
      </c>
      <c r="C21" s="70"/>
      <c r="D21" s="78">
        <f>+'Operating Report'!G56</f>
        <v>518988.74</v>
      </c>
      <c r="E21" s="72"/>
      <c r="F21" s="73"/>
      <c r="G21" s="73">
        <f>+'Exh MPP-5 - Summary of Adj'!AA24</f>
        <v>16165.959663484771</v>
      </c>
      <c r="H21" s="72"/>
      <c r="I21" s="73"/>
      <c r="J21" s="74">
        <f t="shared" ref="J21:J30" si="0">+D21+G21</f>
        <v>535154.69966348482</v>
      </c>
      <c r="K21" s="72"/>
      <c r="L21" s="73"/>
      <c r="M21" s="73"/>
      <c r="N21" s="73"/>
      <c r="O21" s="72"/>
      <c r="P21" s="75">
        <f t="shared" ref="P21:P30" si="1">+J21+M21</f>
        <v>535154.69966348482</v>
      </c>
      <c r="Q21" s="72"/>
      <c r="R21" s="89"/>
      <c r="T21" s="90"/>
      <c r="V21" s="90"/>
    </row>
    <row r="22" spans="1:22">
      <c r="A22" s="42">
        <v>8</v>
      </c>
      <c r="B22" s="88" t="s">
        <v>13</v>
      </c>
      <c r="C22" s="70"/>
      <c r="D22" s="78">
        <f>+'Operating Report'!G84</f>
        <v>16326277.390000001</v>
      </c>
      <c r="E22" s="72"/>
      <c r="F22" s="73"/>
      <c r="G22" s="73">
        <f>+'Exh MPP-5 - Summary of Adj'!AA25</f>
        <v>1943873.3653953008</v>
      </c>
      <c r="H22" s="72"/>
      <c r="I22" s="73"/>
      <c r="J22" s="74">
        <f t="shared" si="0"/>
        <v>18270150.755395301</v>
      </c>
      <c r="K22" s="72"/>
      <c r="L22" s="73"/>
      <c r="M22" s="73"/>
      <c r="N22" s="73"/>
      <c r="O22" s="72"/>
      <c r="P22" s="75">
        <f t="shared" si="1"/>
        <v>18270150.755395301</v>
      </c>
      <c r="Q22" s="72"/>
      <c r="R22" s="89"/>
      <c r="T22" s="91"/>
      <c r="V22" s="90"/>
    </row>
    <row r="23" spans="1:22">
      <c r="A23" s="42">
        <v>9</v>
      </c>
      <c r="B23" s="88" t="s">
        <v>36</v>
      </c>
      <c r="C23" s="70"/>
      <c r="D23" s="78">
        <f>+'Operating Report'!G92</f>
        <v>6383108.290000001</v>
      </c>
      <c r="E23" s="72"/>
      <c r="F23" s="73"/>
      <c r="G23" s="73">
        <f>+'Exh MPP-5 - Summary of Adj'!AA26</f>
        <v>132813.48804515525</v>
      </c>
      <c r="H23" s="72"/>
      <c r="I23" s="73"/>
      <c r="J23" s="74">
        <f t="shared" si="0"/>
        <v>6515921.778045156</v>
      </c>
      <c r="K23" s="72"/>
      <c r="L23" s="73"/>
      <c r="M23" s="73">
        <f>+M16*'Exh MPP-4 - Conversion Factor'!C8</f>
        <v>22321.94915622304</v>
      </c>
      <c r="N23" s="73"/>
      <c r="O23" s="72"/>
      <c r="P23" s="75">
        <f t="shared" si="1"/>
        <v>6538243.7272013789</v>
      </c>
      <c r="Q23" s="72"/>
      <c r="R23" s="89"/>
      <c r="V23" s="90"/>
    </row>
    <row r="24" spans="1:22">
      <c r="A24" s="42">
        <v>10</v>
      </c>
      <c r="B24" s="88" t="s">
        <v>14</v>
      </c>
      <c r="C24" s="70"/>
      <c r="D24" s="78">
        <f>+'Operating Report'!G99</f>
        <v>824095.64</v>
      </c>
      <c r="E24" s="72"/>
      <c r="F24" s="73"/>
      <c r="G24" s="73">
        <f>+'Exh MPP-5 - Summary of Adj'!AA27</f>
        <v>-533333.36</v>
      </c>
      <c r="H24" s="72"/>
      <c r="I24" s="73"/>
      <c r="J24" s="74">
        <f t="shared" si="0"/>
        <v>290762.28000000003</v>
      </c>
      <c r="K24" s="72"/>
      <c r="L24" s="73"/>
      <c r="M24" s="73"/>
      <c r="N24" s="73"/>
      <c r="O24" s="72"/>
      <c r="P24" s="75">
        <f t="shared" si="1"/>
        <v>290762.28000000003</v>
      </c>
      <c r="Q24" s="72"/>
      <c r="R24" s="89"/>
    </row>
    <row r="25" spans="1:22">
      <c r="A25" s="42">
        <v>11</v>
      </c>
      <c r="B25" s="88" t="s">
        <v>15</v>
      </c>
      <c r="C25" s="70"/>
      <c r="D25" s="78">
        <f>+'Operating Report'!G106</f>
        <v>4916.59</v>
      </c>
      <c r="E25" s="72"/>
      <c r="F25" s="73"/>
      <c r="G25" s="73">
        <f>+'Exh MPP-5 - Summary of Adj'!AA28</f>
        <v>-4916.5899999999992</v>
      </c>
      <c r="H25" s="72"/>
      <c r="I25" s="73"/>
      <c r="J25" s="74">
        <f t="shared" si="0"/>
        <v>0</v>
      </c>
      <c r="K25" s="72"/>
      <c r="L25" s="73"/>
      <c r="M25" s="92"/>
      <c r="N25" s="92"/>
      <c r="O25" s="72"/>
      <c r="P25" s="75">
        <f t="shared" si="1"/>
        <v>0</v>
      </c>
      <c r="Q25" s="72"/>
      <c r="R25" s="89"/>
    </row>
    <row r="26" spans="1:22">
      <c r="A26" s="42">
        <v>12</v>
      </c>
      <c r="B26" s="88" t="s">
        <v>16</v>
      </c>
      <c r="C26" s="80"/>
      <c r="D26" s="78">
        <f>+'Operating Report'!G122</f>
        <v>16459957.959999999</v>
      </c>
      <c r="E26" s="72"/>
      <c r="F26" s="73"/>
      <c r="G26" s="73">
        <f>+'Exh MPP-5 - Summary of Adj'!AA29</f>
        <v>782061.97614301485</v>
      </c>
      <c r="H26" s="72"/>
      <c r="I26" s="73"/>
      <c r="J26" s="74">
        <f t="shared" si="0"/>
        <v>17242019.936143015</v>
      </c>
      <c r="K26" s="72"/>
      <c r="L26" s="73"/>
      <c r="M26" s="92"/>
      <c r="N26" s="92"/>
      <c r="O26" s="72"/>
      <c r="P26" s="75">
        <f t="shared" si="1"/>
        <v>17242019.936143015</v>
      </c>
      <c r="Q26" s="72"/>
      <c r="R26" s="76"/>
    </row>
    <row r="27" spans="1:22">
      <c r="A27" s="42">
        <v>13</v>
      </c>
      <c r="B27" s="88" t="s">
        <v>37</v>
      </c>
      <c r="C27" s="70"/>
      <c r="D27" s="71">
        <f>+'Operating Report'!G134</f>
        <v>19218442.350000001</v>
      </c>
      <c r="E27" s="72"/>
      <c r="F27" s="73"/>
      <c r="G27" s="73">
        <f>+'Exh MPP-5 - Summary of Adj'!AA30</f>
        <v>488864.03657593095</v>
      </c>
      <c r="H27" s="72"/>
      <c r="I27" s="73"/>
      <c r="J27" s="74">
        <f t="shared" si="0"/>
        <v>19707306.386575934</v>
      </c>
      <c r="K27" s="72"/>
      <c r="L27" s="73"/>
      <c r="M27" s="92"/>
      <c r="N27" s="92"/>
      <c r="O27" s="72"/>
      <c r="P27" s="75">
        <f t="shared" si="1"/>
        <v>19707306.386575934</v>
      </c>
      <c r="Q27" s="72"/>
      <c r="R27" s="79"/>
    </row>
    <row r="28" spans="1:22">
      <c r="A28" s="42">
        <v>14</v>
      </c>
      <c r="B28" s="88" t="s">
        <v>38</v>
      </c>
      <c r="C28" s="70"/>
      <c r="D28" s="93"/>
      <c r="E28" s="72"/>
      <c r="F28" s="73"/>
      <c r="G28" s="73">
        <f>+'Exh MPP-5 - Summary of Adj'!AA31</f>
        <v>0</v>
      </c>
      <c r="H28" s="72"/>
      <c r="I28" s="73"/>
      <c r="J28" s="74">
        <f t="shared" si="0"/>
        <v>0</v>
      </c>
      <c r="K28" s="72"/>
      <c r="L28" s="73"/>
      <c r="M28" s="73"/>
      <c r="N28" s="73"/>
      <c r="O28" s="72"/>
      <c r="P28" s="75">
        <f t="shared" si="1"/>
        <v>0</v>
      </c>
      <c r="Q28" s="72"/>
      <c r="R28" s="79"/>
    </row>
    <row r="29" spans="1:22">
      <c r="A29" s="42">
        <v>15</v>
      </c>
      <c r="B29" s="88" t="s">
        <v>39</v>
      </c>
      <c r="C29" s="70"/>
      <c r="D29" s="78">
        <f>+'Operating Report'!G139</f>
        <v>4095633.81</v>
      </c>
      <c r="E29" s="72"/>
      <c r="F29" s="73"/>
      <c r="G29" s="73">
        <f>+'Exh MPP-5 - Summary of Adj'!AA32</f>
        <v>307176.45845441258</v>
      </c>
      <c r="H29" s="72"/>
      <c r="I29" s="73"/>
      <c r="J29" s="74">
        <f t="shared" si="0"/>
        <v>4402810.2684544129</v>
      </c>
      <c r="K29" s="72"/>
      <c r="L29" s="73"/>
      <c r="M29" s="73"/>
      <c r="N29" s="73"/>
      <c r="O29" s="72"/>
      <c r="P29" s="75">
        <f t="shared" si="1"/>
        <v>4402810.2684544129</v>
      </c>
      <c r="Q29" s="72"/>
      <c r="R29" s="79"/>
    </row>
    <row r="30" spans="1:22">
      <c r="A30" s="42">
        <v>16</v>
      </c>
      <c r="B30" s="88" t="s">
        <v>40</v>
      </c>
      <c r="C30" s="70"/>
      <c r="D30" s="78">
        <f>+'Operating Report'!G148</f>
        <v>4154374.23</v>
      </c>
      <c r="E30" s="72"/>
      <c r="F30" s="73"/>
      <c r="G30" s="73">
        <f>+'Exh MPP-5 - Summary of Adj'!AA33</f>
        <v>1822275.1489591328</v>
      </c>
      <c r="H30" s="72"/>
      <c r="I30" s="73"/>
      <c r="J30" s="74">
        <f t="shared" si="0"/>
        <v>5976649.3789591324</v>
      </c>
      <c r="K30" s="72"/>
      <c r="L30" s="73"/>
      <c r="M30" s="73">
        <f>(+M16-M20-M23)*0.35</f>
        <v>1968470.8798279976</v>
      </c>
      <c r="N30" s="73"/>
      <c r="O30" s="72"/>
      <c r="P30" s="75">
        <f t="shared" si="1"/>
        <v>7945120.25878713</v>
      </c>
      <c r="Q30" s="72"/>
      <c r="R30" s="79"/>
    </row>
    <row r="31" spans="1:22" ht="16.5" thickBot="1">
      <c r="A31" s="42">
        <v>17</v>
      </c>
      <c r="B31" s="94" t="s">
        <v>41</v>
      </c>
      <c r="C31" s="52"/>
      <c r="D31" s="95">
        <f>SUM(D19:D30)</f>
        <v>188526000.04999998</v>
      </c>
      <c r="E31" s="72"/>
      <c r="F31" s="73"/>
      <c r="G31" s="96">
        <f>SUM(G19:G30)</f>
        <v>9462240.384419458</v>
      </c>
      <c r="H31" s="72"/>
      <c r="I31" s="73"/>
      <c r="J31" s="96">
        <f>SUM(J19:J30)</f>
        <v>197988240.43441945</v>
      </c>
      <c r="K31" s="72"/>
      <c r="L31" s="73"/>
      <c r="M31" s="96">
        <f>SUM(M19:M30)</f>
        <v>2229252.3812820846</v>
      </c>
      <c r="N31" s="97"/>
      <c r="O31" s="72"/>
      <c r="P31" s="98">
        <f>SUM(P19:P30)</f>
        <v>200217492.81570154</v>
      </c>
      <c r="Q31" s="72"/>
      <c r="R31" s="76"/>
    </row>
    <row r="32" spans="1:22" ht="17.25" thickTop="1" thickBot="1">
      <c r="A32" s="42">
        <v>18</v>
      </c>
      <c r="B32" s="94" t="s">
        <v>17</v>
      </c>
      <c r="C32" s="52"/>
      <c r="D32" s="95">
        <f>+D16-D31</f>
        <v>16604662.180000037</v>
      </c>
      <c r="E32" s="72"/>
      <c r="F32" s="73"/>
      <c r="G32" s="96">
        <f>+G16-G31</f>
        <v>2599004.1245405059</v>
      </c>
      <c r="H32" s="96"/>
      <c r="I32" s="73"/>
      <c r="J32" s="96">
        <f>+J16-J31</f>
        <v>19203666.304540515</v>
      </c>
      <c r="K32" s="72"/>
      <c r="L32" s="73"/>
      <c r="M32" s="96">
        <f>+M16-M31</f>
        <v>3655731.633966282</v>
      </c>
      <c r="N32" s="97"/>
      <c r="O32" s="72"/>
      <c r="P32" s="98">
        <f>+P16-P31</f>
        <v>22859397.938506782</v>
      </c>
      <c r="Q32" s="72"/>
      <c r="R32" s="76"/>
      <c r="T32" s="99"/>
    </row>
    <row r="33" spans="1:20" ht="16.5" thickTop="1">
      <c r="A33" s="42"/>
      <c r="B33" s="94"/>
      <c r="C33" s="52"/>
      <c r="D33" s="100"/>
      <c r="E33" s="72"/>
      <c r="F33" s="73"/>
      <c r="G33" s="97"/>
      <c r="H33" s="97"/>
      <c r="I33" s="73"/>
      <c r="J33" s="97"/>
      <c r="K33" s="72"/>
      <c r="L33" s="73"/>
      <c r="M33" s="97"/>
      <c r="N33" s="97"/>
      <c r="O33" s="72"/>
      <c r="P33" s="101"/>
      <c r="Q33" s="72"/>
      <c r="R33" s="76"/>
      <c r="T33" s="99"/>
    </row>
    <row r="34" spans="1:20">
      <c r="A34" s="42"/>
      <c r="B34" s="94" t="s">
        <v>42</v>
      </c>
      <c r="C34" s="70"/>
      <c r="D34" s="102"/>
      <c r="E34" s="72"/>
      <c r="F34" s="73"/>
      <c r="G34" s="73"/>
      <c r="H34" s="72"/>
      <c r="I34" s="73"/>
      <c r="J34" s="73"/>
      <c r="K34" s="72"/>
      <c r="L34" s="73"/>
      <c r="M34" s="73"/>
      <c r="N34" s="73"/>
      <c r="O34" s="72"/>
      <c r="P34" s="103"/>
      <c r="Q34" s="72"/>
      <c r="R34" s="89"/>
    </row>
    <row r="35" spans="1:20">
      <c r="A35" s="42">
        <v>19</v>
      </c>
      <c r="B35" s="69" t="s">
        <v>44</v>
      </c>
      <c r="C35" s="70"/>
      <c r="D35" s="71">
        <f>+'Rate Base'!D13</f>
        <v>677314165.18981874</v>
      </c>
      <c r="E35" s="72"/>
      <c r="F35" s="73"/>
      <c r="G35" s="73">
        <f>+'Exh MPP-5 - Summary of Adj'!AA38</f>
        <v>21095997.571410008</v>
      </c>
      <c r="H35" s="72"/>
      <c r="I35" s="73"/>
      <c r="J35" s="74">
        <f t="shared" ref="J35:J39" si="2">+D35+G35</f>
        <v>698410162.7612288</v>
      </c>
      <c r="K35" s="72"/>
      <c r="L35" s="73"/>
      <c r="M35" s="74"/>
      <c r="N35" s="74"/>
      <c r="O35" s="72"/>
      <c r="P35" s="75">
        <f t="shared" ref="P35:P39" si="3">+J35+M35</f>
        <v>698410162.7612288</v>
      </c>
      <c r="Q35" s="72"/>
      <c r="R35" s="76"/>
    </row>
    <row r="36" spans="1:20">
      <c r="A36" s="42">
        <v>20</v>
      </c>
      <c r="B36" s="69" t="s">
        <v>45</v>
      </c>
      <c r="C36" s="70"/>
      <c r="D36" s="78">
        <f>+'Rate Base'!D14</f>
        <v>-345424354.83661753</v>
      </c>
      <c r="E36" s="72"/>
      <c r="F36" s="73"/>
      <c r="G36" s="73">
        <f>+'Exh MPP-5 - Summary of Adj'!AA39</f>
        <v>-244432.01828796547</v>
      </c>
      <c r="H36" s="72"/>
      <c r="I36" s="73"/>
      <c r="J36" s="74">
        <f t="shared" si="2"/>
        <v>-345668786.85490549</v>
      </c>
      <c r="K36" s="72"/>
      <c r="L36" s="73"/>
      <c r="M36" s="74"/>
      <c r="N36" s="74"/>
      <c r="O36" s="72"/>
      <c r="P36" s="75">
        <f t="shared" si="3"/>
        <v>-345668786.85490549</v>
      </c>
      <c r="Q36" s="72"/>
      <c r="R36" s="79"/>
    </row>
    <row r="37" spans="1:20">
      <c r="A37" s="42">
        <v>21</v>
      </c>
      <c r="B37" s="80" t="s">
        <v>18</v>
      </c>
      <c r="C37" s="80"/>
      <c r="D37" s="78">
        <f>+'Rate Base'!D16</f>
        <v>-3771590.387083333</v>
      </c>
      <c r="E37" s="72"/>
      <c r="F37" s="73"/>
      <c r="G37" s="73">
        <f>+'Exh MPP-5 - Summary of Adj'!AA40</f>
        <v>0</v>
      </c>
      <c r="H37" s="72"/>
      <c r="I37" s="73"/>
      <c r="J37" s="74">
        <f t="shared" si="2"/>
        <v>-3771590.387083333</v>
      </c>
      <c r="K37" s="72"/>
      <c r="L37" s="73"/>
      <c r="M37" s="74"/>
      <c r="N37" s="74"/>
      <c r="O37" s="72"/>
      <c r="P37" s="75">
        <f t="shared" si="3"/>
        <v>-3771590.387083333</v>
      </c>
      <c r="Q37" s="72"/>
      <c r="R37" s="79"/>
    </row>
    <row r="38" spans="1:20">
      <c r="A38" s="42">
        <v>22</v>
      </c>
      <c r="B38" s="80" t="s">
        <v>46</v>
      </c>
      <c r="C38" s="70"/>
      <c r="D38" s="78">
        <f>+'Rate Base'!D17</f>
        <v>-73667038.139583334</v>
      </c>
      <c r="E38" s="72"/>
      <c r="F38" s="73"/>
      <c r="G38" s="73">
        <f>+'Exh MPP-5 - Summary of Adj'!AA41</f>
        <v>-52891.27766159024</v>
      </c>
      <c r="H38" s="72"/>
      <c r="I38" s="73"/>
      <c r="J38" s="74">
        <f t="shared" si="2"/>
        <v>-73719929.417244926</v>
      </c>
      <c r="K38" s="72"/>
      <c r="L38" s="73"/>
      <c r="M38" s="74"/>
      <c r="N38" s="74"/>
      <c r="O38" s="72"/>
      <c r="P38" s="75">
        <f t="shared" si="3"/>
        <v>-73719929.417244926</v>
      </c>
      <c r="Q38" s="72"/>
      <c r="R38" s="79"/>
    </row>
    <row r="39" spans="1:20">
      <c r="A39" s="42">
        <v>23</v>
      </c>
      <c r="B39" s="80" t="s">
        <v>47</v>
      </c>
      <c r="C39" s="70"/>
      <c r="D39" s="78">
        <f>+'Rate Base'!D18</f>
        <v>25610869.595646363</v>
      </c>
      <c r="E39" s="72"/>
      <c r="F39" s="73"/>
      <c r="G39" s="73">
        <f>+'Exh MPP-5 - Summary of Adj'!AA42</f>
        <v>0</v>
      </c>
      <c r="H39" s="72"/>
      <c r="I39" s="73"/>
      <c r="J39" s="74">
        <f t="shared" si="2"/>
        <v>25610869.595646363</v>
      </c>
      <c r="K39" s="72"/>
      <c r="L39" s="73"/>
      <c r="M39" s="74"/>
      <c r="N39" s="74"/>
      <c r="O39" s="72"/>
      <c r="P39" s="75">
        <f t="shared" si="3"/>
        <v>25610869.595646363</v>
      </c>
      <c r="Q39" s="72"/>
      <c r="R39" s="79"/>
    </row>
    <row r="40" spans="1:20" ht="16.5" thickBot="1">
      <c r="A40" s="42">
        <v>24</v>
      </c>
      <c r="B40" s="94" t="s">
        <v>43</v>
      </c>
      <c r="C40" s="42"/>
      <c r="D40" s="104">
        <f>SUM(D35:D39)</f>
        <v>280062051.42218089</v>
      </c>
      <c r="E40" s="72"/>
      <c r="F40" s="73"/>
      <c r="G40" s="104">
        <f>SUM(G35:G39)</f>
        <v>20798674.275460452</v>
      </c>
      <c r="H40" s="72"/>
      <c r="I40" s="73"/>
      <c r="J40" s="104">
        <f>SUM(J35:J39)</f>
        <v>300860725.69764143</v>
      </c>
      <c r="K40" s="72"/>
      <c r="L40" s="73"/>
      <c r="M40" s="104">
        <f>SUM(M35:M39)</f>
        <v>0</v>
      </c>
      <c r="N40" s="100"/>
      <c r="O40" s="72"/>
      <c r="P40" s="104">
        <f>SUM(P35:P39)</f>
        <v>300860725.69764143</v>
      </c>
      <c r="Q40" s="72"/>
      <c r="R40" s="76"/>
    </row>
    <row r="41" spans="1:20" ht="16.5" thickTop="1">
      <c r="A41" s="42">
        <v>25</v>
      </c>
      <c r="B41" s="94" t="s">
        <v>19</v>
      </c>
      <c r="C41" s="70"/>
      <c r="D41" s="105">
        <f>+D32/D40</f>
        <v>5.9289225711516548E-2</v>
      </c>
      <c r="E41" s="52"/>
      <c r="F41" s="42"/>
      <c r="G41" s="42"/>
      <c r="H41" s="52"/>
      <c r="I41" s="42"/>
      <c r="J41" s="106">
        <f>+J32/J40</f>
        <v>6.3829089888720755E-2</v>
      </c>
      <c r="K41" s="52"/>
      <c r="L41" s="42"/>
      <c r="M41" s="107"/>
      <c r="N41" s="107"/>
      <c r="O41" s="52"/>
      <c r="P41" s="108">
        <f>+P32/P40</f>
        <v>7.597999999999995E-2</v>
      </c>
      <c r="Q41" s="52"/>
      <c r="R41" s="42"/>
    </row>
    <row r="42" spans="1:20">
      <c r="A42" s="109"/>
      <c r="B42" s="110"/>
      <c r="C42" s="111"/>
      <c r="D42" s="112"/>
      <c r="E42" s="64"/>
      <c r="F42" s="65"/>
      <c r="G42" s="65"/>
      <c r="H42" s="64"/>
      <c r="I42" s="65"/>
      <c r="J42" s="113"/>
      <c r="K42" s="64"/>
      <c r="L42" s="65"/>
      <c r="M42" s="65"/>
      <c r="N42" s="65"/>
      <c r="O42" s="65"/>
      <c r="P42" s="114"/>
      <c r="Q42" s="115"/>
      <c r="R42" s="67"/>
    </row>
    <row r="43" spans="1:20">
      <c r="A43" s="43"/>
      <c r="B43" s="43"/>
      <c r="C43" s="43"/>
      <c r="D43" s="43"/>
      <c r="E43" s="43"/>
      <c r="F43" s="43"/>
      <c r="G43" s="43"/>
      <c r="H43" s="43"/>
      <c r="I43" s="43"/>
      <c r="J43" s="43"/>
      <c r="K43" s="43"/>
      <c r="L43" s="43"/>
      <c r="M43" s="43"/>
      <c r="N43" s="43"/>
      <c r="O43" s="43"/>
      <c r="P43" s="43"/>
      <c r="Q43" s="43"/>
      <c r="R43" s="43"/>
    </row>
    <row r="45" spans="1:20">
      <c r="M45" s="116"/>
    </row>
    <row r="47" spans="1:20">
      <c r="M47" s="91"/>
    </row>
  </sheetData>
  <mergeCells count="3">
    <mergeCell ref="A1:Q1"/>
    <mergeCell ref="A3:Q3"/>
    <mergeCell ref="A2:Q2"/>
  </mergeCells>
  <printOptions horizontalCentered="1"/>
  <pageMargins left="0.5" right="0.5" top="1" bottom="1" header="0.3" footer="0.3"/>
  <pageSetup scale="80" orientation="portrait" r:id="rId1"/>
  <headerFooter scaleWithDoc="0" alignWithMargins="0">
    <oddHeader>&amp;RDocket No. UG-17_____
Exhibit _____ (MPP-2)
Page 1 o 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BB68-9B99-47CB-8051-7D2172C72593}">
  <sheetPr>
    <pageSetUpPr fitToPage="1"/>
  </sheetPr>
  <dimension ref="A1:U71"/>
  <sheetViews>
    <sheetView view="pageBreakPreview" zoomScaleNormal="75" zoomScaleSheetLayoutView="100" workbookViewId="0">
      <selection activeCell="A3" sqref="A3:H3"/>
    </sheetView>
  </sheetViews>
  <sheetFormatPr defaultColWidth="17.85546875" defaultRowHeight="12.75"/>
  <cols>
    <col min="1" max="1" width="7.85546875" style="1007" bestFit="1" customWidth="1"/>
    <col min="2" max="2" width="17.7109375" style="906" customWidth="1"/>
    <col min="3" max="3" width="11.28515625" style="906" bestFit="1" customWidth="1"/>
    <col min="4" max="4" width="8.7109375" style="906" customWidth="1"/>
    <col min="5" max="5" width="10.42578125" style="906" customWidth="1"/>
    <col min="6" max="6" width="22.42578125" style="906" customWidth="1"/>
    <col min="7" max="7" width="15.140625" style="906" customWidth="1"/>
    <col min="8" max="9" width="15.42578125" style="906" bestFit="1" customWidth="1"/>
    <col min="10" max="10" width="8.28515625" style="906" bestFit="1" customWidth="1"/>
    <col min="11" max="11" width="15.5703125" style="906" bestFit="1" customWidth="1"/>
    <col min="12" max="13" width="11.7109375" style="906" bestFit="1" customWidth="1"/>
    <col min="14" max="14" width="12.28515625" style="906" bestFit="1" customWidth="1"/>
    <col min="15" max="15" width="10.85546875" style="906" bestFit="1" customWidth="1"/>
    <col min="16" max="16" width="12" style="906" bestFit="1" customWidth="1"/>
    <col min="17" max="17" width="10.42578125" style="906" bestFit="1" customWidth="1"/>
    <col min="18" max="18" width="13.42578125" style="906" customWidth="1"/>
    <col min="19" max="19" width="15.140625" style="906" customWidth="1"/>
    <col min="20" max="20" width="26.5703125" style="906" customWidth="1"/>
    <col min="21" max="16384" width="17.85546875" style="906"/>
  </cols>
  <sheetData>
    <row r="1" spans="1:20" ht="15.75">
      <c r="H1" s="1025" t="s">
        <v>61</v>
      </c>
      <c r="I1" s="1025"/>
      <c r="J1" s="1025"/>
      <c r="K1" s="1025"/>
      <c r="L1" s="1025"/>
      <c r="M1" s="1025"/>
      <c r="N1" s="1025"/>
      <c r="O1" s="1025"/>
      <c r="P1" s="1025"/>
    </row>
    <row r="2" spans="1:20" ht="15.75">
      <c r="H2" s="1025" t="s">
        <v>1690</v>
      </c>
      <c r="I2" s="1025"/>
      <c r="J2" s="1025"/>
      <c r="K2" s="1025"/>
      <c r="L2" s="1025"/>
      <c r="M2" s="1025"/>
      <c r="N2" s="1025"/>
      <c r="O2" s="1025"/>
      <c r="P2" s="1025"/>
    </row>
    <row r="3" spans="1:20" ht="15.75">
      <c r="B3" s="985"/>
      <c r="H3" s="1025" t="s">
        <v>1702</v>
      </c>
      <c r="I3" s="1025"/>
      <c r="J3" s="1025"/>
      <c r="K3" s="1025"/>
      <c r="L3" s="1025"/>
      <c r="M3" s="1025"/>
      <c r="N3" s="1025"/>
      <c r="O3" s="1025"/>
      <c r="P3" s="1025"/>
    </row>
    <row r="4" spans="1:20" ht="15.75">
      <c r="H4" s="1025" t="s">
        <v>2160</v>
      </c>
      <c r="I4" s="1025"/>
      <c r="J4" s="1025"/>
      <c r="K4" s="1025"/>
      <c r="L4" s="1025"/>
      <c r="M4" s="1025"/>
      <c r="N4" s="1025"/>
      <c r="O4" s="1025"/>
      <c r="P4" s="1025"/>
    </row>
    <row r="5" spans="1:20" ht="15.75">
      <c r="B5" s="984"/>
      <c r="H5" s="1025" t="s">
        <v>985</v>
      </c>
      <c r="I5" s="1025"/>
      <c r="J5" s="1025"/>
      <c r="K5" s="1025"/>
      <c r="L5" s="1025"/>
      <c r="M5" s="1025"/>
      <c r="N5" s="1025"/>
      <c r="O5" s="1025"/>
      <c r="P5" s="1025"/>
    </row>
    <row r="6" spans="1:20" s="1007" customFormat="1" ht="15.75">
      <c r="B6" s="1008" t="s">
        <v>1731</v>
      </c>
      <c r="C6" s="1007" t="s">
        <v>1729</v>
      </c>
      <c r="D6" s="1007" t="s">
        <v>1730</v>
      </c>
      <c r="E6" s="1007" t="s">
        <v>1733</v>
      </c>
      <c r="F6" s="1007" t="s">
        <v>1734</v>
      </c>
      <c r="G6" s="1007" t="s">
        <v>1743</v>
      </c>
      <c r="H6" s="1009" t="s">
        <v>1744</v>
      </c>
      <c r="I6" s="1009" t="s">
        <v>1745</v>
      </c>
      <c r="J6" s="1009" t="s">
        <v>1746</v>
      </c>
      <c r="K6" s="1009" t="s">
        <v>1747</v>
      </c>
      <c r="L6" s="1009" t="s">
        <v>1748</v>
      </c>
      <c r="M6" s="1009" t="s">
        <v>1749</v>
      </c>
      <c r="N6" s="1009" t="s">
        <v>1750</v>
      </c>
      <c r="O6" s="1009" t="s">
        <v>1751</v>
      </c>
      <c r="P6" s="1009" t="s">
        <v>1752</v>
      </c>
      <c r="Q6" s="1007" t="s">
        <v>2026</v>
      </c>
      <c r="R6" s="1007" t="s">
        <v>2027</v>
      </c>
      <c r="S6" s="1007" t="s">
        <v>2028</v>
      </c>
      <c r="T6" s="1007" t="s">
        <v>2029</v>
      </c>
    </row>
    <row r="7" spans="1:20" ht="15.75" thickBot="1">
      <c r="B7" s="984" t="s">
        <v>2124</v>
      </c>
    </row>
    <row r="8" spans="1:20">
      <c r="A8" s="1007" t="s">
        <v>891</v>
      </c>
      <c r="B8" s="983"/>
      <c r="C8" s="982"/>
      <c r="D8" s="982"/>
      <c r="E8" s="981"/>
      <c r="F8" s="977"/>
      <c r="G8" s="977"/>
      <c r="H8" s="980"/>
      <c r="I8" s="980"/>
      <c r="J8" s="979"/>
      <c r="K8" s="978"/>
      <c r="L8" s="977"/>
      <c r="M8" s="977"/>
      <c r="N8" s="976"/>
      <c r="O8" s="978"/>
      <c r="P8" s="977"/>
      <c r="Q8" s="976"/>
      <c r="R8" s="978"/>
      <c r="S8" s="977"/>
      <c r="T8" s="976"/>
    </row>
    <row r="9" spans="1:20">
      <c r="A9" s="1007">
        <v>1</v>
      </c>
      <c r="B9" s="975" t="s">
        <v>61</v>
      </c>
      <c r="C9" s="971"/>
      <c r="D9" s="971"/>
      <c r="E9" s="970"/>
      <c r="F9" s="974" t="s">
        <v>61</v>
      </c>
      <c r="G9" s="965"/>
      <c r="H9" s="968"/>
      <c r="I9" s="968"/>
      <c r="J9" s="967"/>
      <c r="K9" s="973" t="s">
        <v>61</v>
      </c>
      <c r="L9" s="965"/>
      <c r="M9" s="965"/>
      <c r="N9" s="964"/>
      <c r="O9" s="973" t="s">
        <v>61</v>
      </c>
      <c r="P9" s="965"/>
      <c r="Q9" s="964"/>
      <c r="R9" s="973" t="s">
        <v>61</v>
      </c>
      <c r="S9" s="965"/>
      <c r="T9" s="964"/>
    </row>
    <row r="10" spans="1:20" ht="14.25">
      <c r="A10" s="1007">
        <v>2</v>
      </c>
      <c r="B10" s="975" t="s">
        <v>2123</v>
      </c>
      <c r="C10" s="971"/>
      <c r="D10" s="971"/>
      <c r="E10" s="970"/>
      <c r="F10" s="974" t="s">
        <v>2122</v>
      </c>
      <c r="G10" s="965"/>
      <c r="H10" s="968"/>
      <c r="I10" s="968"/>
      <c r="J10" s="967"/>
      <c r="K10" s="973" t="s">
        <v>2121</v>
      </c>
      <c r="L10" s="965"/>
      <c r="M10" s="965"/>
      <c r="N10" s="964"/>
      <c r="O10" s="973" t="s">
        <v>2120</v>
      </c>
      <c r="P10" s="965"/>
      <c r="Q10" s="964"/>
      <c r="R10" s="973" t="s">
        <v>123</v>
      </c>
      <c r="S10" s="965"/>
      <c r="T10" s="964"/>
    </row>
    <row r="11" spans="1:20">
      <c r="A11" s="1007">
        <v>3</v>
      </c>
      <c r="B11" s="972">
        <v>2015</v>
      </c>
      <c r="C11" s="971"/>
      <c r="D11" s="971"/>
      <c r="E11" s="970"/>
      <c r="F11" s="969">
        <f>+B11</f>
        <v>2015</v>
      </c>
      <c r="G11" s="965"/>
      <c r="H11" s="968"/>
      <c r="I11" s="968"/>
      <c r="J11" s="967"/>
      <c r="K11" s="966">
        <f>+B11</f>
        <v>2015</v>
      </c>
      <c r="L11" s="965"/>
      <c r="M11" s="965"/>
      <c r="N11" s="964"/>
      <c r="O11" s="966">
        <f>B11</f>
        <v>2015</v>
      </c>
      <c r="P11" s="965"/>
      <c r="Q11" s="964"/>
      <c r="R11" s="966">
        <f>B11</f>
        <v>2015</v>
      </c>
      <c r="S11" s="965"/>
      <c r="T11" s="964"/>
    </row>
    <row r="12" spans="1:20">
      <c r="B12" s="925"/>
      <c r="C12" s="924"/>
      <c r="D12" s="924"/>
      <c r="E12" s="923"/>
      <c r="F12" s="920"/>
      <c r="G12" s="920"/>
      <c r="H12" s="935"/>
      <c r="I12" s="935"/>
      <c r="J12" s="934"/>
      <c r="K12" s="921"/>
      <c r="L12" s="920"/>
      <c r="M12" s="920"/>
      <c r="N12" s="919"/>
      <c r="O12" s="921"/>
      <c r="P12" s="920"/>
      <c r="Q12" s="919"/>
      <c r="R12" s="921"/>
      <c r="S12" s="920"/>
      <c r="T12" s="919"/>
    </row>
    <row r="13" spans="1:20">
      <c r="A13" s="1007">
        <v>4</v>
      </c>
      <c r="B13" s="925"/>
      <c r="C13" s="924"/>
      <c r="D13" s="924"/>
      <c r="E13" s="923"/>
      <c r="F13" s="922" t="s">
        <v>2119</v>
      </c>
      <c r="G13" s="920"/>
      <c r="H13" s="960" t="s">
        <v>390</v>
      </c>
      <c r="I13" s="960" t="s">
        <v>1018</v>
      </c>
      <c r="J13" s="934"/>
      <c r="K13" s="921"/>
      <c r="L13" s="920"/>
      <c r="M13" s="920"/>
      <c r="N13" s="919"/>
      <c r="O13" s="921"/>
      <c r="P13" s="920"/>
      <c r="Q13" s="919"/>
      <c r="R13" s="921"/>
      <c r="S13" s="920"/>
      <c r="T13" s="919"/>
    </row>
    <row r="14" spans="1:20">
      <c r="A14" s="1007">
        <v>5</v>
      </c>
      <c r="B14" s="925"/>
      <c r="C14" s="963" t="s">
        <v>390</v>
      </c>
      <c r="D14" s="963" t="s">
        <v>1018</v>
      </c>
      <c r="E14" s="962" t="s">
        <v>59</v>
      </c>
      <c r="F14" s="920"/>
      <c r="G14" s="961"/>
      <c r="H14" s="960" t="s">
        <v>1189</v>
      </c>
      <c r="I14" s="960" t="s">
        <v>1189</v>
      </c>
      <c r="J14" s="934"/>
      <c r="K14" s="921"/>
      <c r="L14" s="920"/>
      <c r="M14" s="920"/>
      <c r="N14" s="919"/>
      <c r="O14" s="921"/>
      <c r="P14" s="955" t="s">
        <v>2118</v>
      </c>
      <c r="Q14" s="957"/>
      <c r="R14" s="942" t="s">
        <v>2117</v>
      </c>
      <c r="S14" s="920"/>
      <c r="T14" s="919"/>
    </row>
    <row r="15" spans="1:20">
      <c r="A15" s="1007">
        <v>6</v>
      </c>
      <c r="B15" s="925"/>
      <c r="C15" s="933"/>
      <c r="D15" s="933"/>
      <c r="E15" s="932"/>
      <c r="F15" s="920"/>
      <c r="G15" s="953" t="s">
        <v>2116</v>
      </c>
      <c r="H15" s="959" t="s">
        <v>2115</v>
      </c>
      <c r="I15" s="959" t="s">
        <v>2115</v>
      </c>
      <c r="J15" s="934"/>
      <c r="K15" s="921"/>
      <c r="L15" s="955" t="s">
        <v>390</v>
      </c>
      <c r="M15" s="955" t="s">
        <v>1018</v>
      </c>
      <c r="N15" s="957"/>
      <c r="O15" s="921"/>
      <c r="P15" s="953" t="s">
        <v>2114</v>
      </c>
      <c r="Q15" s="952" t="s">
        <v>2107</v>
      </c>
      <c r="R15" s="921"/>
      <c r="S15" s="920"/>
      <c r="T15" s="919"/>
    </row>
    <row r="16" spans="1:20">
      <c r="A16" s="1007">
        <v>7</v>
      </c>
      <c r="B16" s="939" t="s">
        <v>2113</v>
      </c>
      <c r="C16" s="937">
        <f>Q17</f>
        <v>0.74880000000000002</v>
      </c>
      <c r="D16" s="937">
        <f>E16-C16</f>
        <v>0.25119999999999998</v>
      </c>
      <c r="E16" s="936">
        <v>1</v>
      </c>
      <c r="F16" s="920"/>
      <c r="G16" s="927"/>
      <c r="H16" s="941"/>
      <c r="I16" s="941"/>
      <c r="J16" s="934"/>
      <c r="K16" s="921"/>
      <c r="L16" s="953" t="s">
        <v>2112</v>
      </c>
      <c r="M16" s="953" t="s">
        <v>2112</v>
      </c>
      <c r="N16" s="952" t="s">
        <v>59</v>
      </c>
      <c r="O16" s="921"/>
      <c r="P16" s="927"/>
      <c r="Q16" s="926"/>
      <c r="R16" s="921"/>
      <c r="S16" s="920"/>
      <c r="T16" s="919"/>
    </row>
    <row r="17" spans="1:21">
      <c r="A17" s="1007">
        <v>8</v>
      </c>
      <c r="B17" s="939" t="s">
        <v>2111</v>
      </c>
      <c r="C17" s="937">
        <f>H39</f>
        <v>0.73719999999999997</v>
      </c>
      <c r="D17" s="937">
        <f>E17-C17</f>
        <v>0.26280000000000003</v>
      </c>
      <c r="E17" s="936">
        <v>1</v>
      </c>
      <c r="F17" s="920"/>
      <c r="G17" s="944">
        <v>42004</v>
      </c>
      <c r="H17" s="948">
        <v>169</v>
      </c>
      <c r="I17" s="948">
        <v>55</v>
      </c>
      <c r="J17" s="934"/>
      <c r="K17" s="921"/>
      <c r="L17" s="927"/>
      <c r="M17" s="927"/>
      <c r="N17" s="926"/>
      <c r="O17" s="942" t="s">
        <v>390</v>
      </c>
      <c r="P17" s="948">
        <f>+P62</f>
        <v>204867.66666666666</v>
      </c>
      <c r="Q17" s="950">
        <f>ROUND(P17/P21,4)</f>
        <v>0.74880000000000002</v>
      </c>
      <c r="R17" s="921"/>
      <c r="S17" s="958">
        <f>R11</f>
        <v>2015</v>
      </c>
      <c r="T17" s="957"/>
    </row>
    <row r="18" spans="1:21">
      <c r="A18" s="1007">
        <v>9</v>
      </c>
      <c r="B18" s="939" t="s">
        <v>2110</v>
      </c>
      <c r="C18" s="946">
        <f>L25</f>
        <v>0.77239999999999998</v>
      </c>
      <c r="D18" s="946">
        <f>E18-C18</f>
        <v>0.22760000000000002</v>
      </c>
      <c r="E18" s="945">
        <v>1</v>
      </c>
      <c r="F18" s="920"/>
      <c r="G18" s="944">
        <f>G17+30</f>
        <v>42034</v>
      </c>
      <c r="H18" s="948">
        <v>169</v>
      </c>
      <c r="I18" s="948">
        <v>60</v>
      </c>
      <c r="J18" s="934"/>
      <c r="K18" s="942" t="s">
        <v>2109</v>
      </c>
      <c r="L18" s="907">
        <v>632616854</v>
      </c>
      <c r="M18" s="907">
        <v>186360173</v>
      </c>
      <c r="N18" s="956">
        <f>SUM(L18:M18)</f>
        <v>818977027</v>
      </c>
      <c r="O18" s="942" t="s">
        <v>1018</v>
      </c>
      <c r="P18" s="943">
        <f>+Q62</f>
        <v>68732.416666666672</v>
      </c>
      <c r="Q18" s="928">
        <f>Q21-Q17</f>
        <v>0.25119999999999998</v>
      </c>
      <c r="R18" s="921"/>
      <c r="S18" s="955" t="s">
        <v>2086</v>
      </c>
      <c r="T18" s="954" t="s">
        <v>974</v>
      </c>
    </row>
    <row r="19" spans="1:21">
      <c r="A19" s="1007">
        <v>10</v>
      </c>
      <c r="B19" s="925"/>
      <c r="C19" s="933"/>
      <c r="D19" s="933"/>
      <c r="E19" s="932"/>
      <c r="F19" s="920"/>
      <c r="G19" s="944">
        <f>G18+28</f>
        <v>42062</v>
      </c>
      <c r="H19" s="948">
        <v>168</v>
      </c>
      <c r="I19" s="948">
        <v>60</v>
      </c>
      <c r="J19" s="934"/>
      <c r="K19" s="921"/>
      <c r="L19" s="935"/>
      <c r="M19" s="935"/>
      <c r="N19" s="934"/>
      <c r="O19" s="921"/>
      <c r="P19" s="941"/>
      <c r="Q19" s="926"/>
      <c r="R19" s="921"/>
      <c r="S19" s="953" t="s">
        <v>42</v>
      </c>
      <c r="T19" s="952" t="s">
        <v>2108</v>
      </c>
    </row>
    <row r="20" spans="1:21">
      <c r="A20" s="1007">
        <v>11</v>
      </c>
      <c r="B20" s="925"/>
      <c r="C20" s="924"/>
      <c r="D20" s="924"/>
      <c r="E20" s="923"/>
      <c r="F20" s="920"/>
      <c r="G20" s="944">
        <f t="shared" ref="G20:G29" si="0">G19+30</f>
        <v>42092</v>
      </c>
      <c r="H20" s="948">
        <v>170</v>
      </c>
      <c r="I20" s="948">
        <v>57</v>
      </c>
      <c r="J20" s="934"/>
      <c r="K20" s="921"/>
      <c r="L20" s="941"/>
      <c r="M20" s="941"/>
      <c r="N20" s="951"/>
      <c r="O20" s="921"/>
      <c r="P20" s="935"/>
      <c r="Q20" s="919"/>
      <c r="R20" s="921"/>
      <c r="S20" s="941"/>
      <c r="T20" s="954"/>
    </row>
    <row r="21" spans="1:21">
      <c r="A21" s="1007">
        <v>12</v>
      </c>
      <c r="B21" s="988" t="s">
        <v>121</v>
      </c>
      <c r="C21" s="989">
        <f>AVERAGE(C16:C18)</f>
        <v>0.75280000000000002</v>
      </c>
      <c r="D21" s="989">
        <f>AVERAGE(D16:D18)</f>
        <v>0.2472</v>
      </c>
      <c r="E21" s="990">
        <f>AVERAGE(E16:E18)</f>
        <v>1</v>
      </c>
      <c r="F21" s="920"/>
      <c r="G21" s="944">
        <f t="shared" si="0"/>
        <v>42122</v>
      </c>
      <c r="H21" s="948">
        <v>173</v>
      </c>
      <c r="I21" s="948">
        <v>61</v>
      </c>
      <c r="J21" s="934"/>
      <c r="K21" s="921"/>
      <c r="L21" s="935"/>
      <c r="M21" s="935"/>
      <c r="N21" s="934"/>
      <c r="O21" s="942" t="s">
        <v>59</v>
      </c>
      <c r="P21" s="931">
        <f>SUM(P16:P19)</f>
        <v>273600.08333333331</v>
      </c>
      <c r="Q21" s="928">
        <v>1</v>
      </c>
      <c r="R21" s="942" t="s">
        <v>390</v>
      </c>
      <c r="S21" s="948">
        <v>239600696</v>
      </c>
      <c r="T21" s="954">
        <f>ROUND(S21/S25,4)</f>
        <v>0.76549999999999996</v>
      </c>
      <c r="U21" s="949"/>
    </row>
    <row r="22" spans="1:21">
      <c r="A22" s="1007">
        <v>13</v>
      </c>
      <c r="B22" s="925"/>
      <c r="C22" s="933"/>
      <c r="D22" s="933"/>
      <c r="E22" s="932"/>
      <c r="F22" s="920"/>
      <c r="G22" s="944">
        <f t="shared" si="0"/>
        <v>42152</v>
      </c>
      <c r="H22" s="948">
        <v>168</v>
      </c>
      <c r="I22" s="948">
        <v>61</v>
      </c>
      <c r="J22" s="934"/>
      <c r="K22" s="921"/>
      <c r="L22" s="927"/>
      <c r="M22" s="927"/>
      <c r="N22" s="926"/>
      <c r="O22" s="921"/>
      <c r="P22" s="941"/>
      <c r="Q22" s="926"/>
      <c r="R22" s="942" t="s">
        <v>1018</v>
      </c>
      <c r="S22" s="948">
        <v>73387620</v>
      </c>
      <c r="T22" s="952">
        <f>T25-T21</f>
        <v>0.23450000000000004</v>
      </c>
      <c r="U22" s="949"/>
    </row>
    <row r="23" spans="1:21">
      <c r="A23" s="1007">
        <v>14</v>
      </c>
      <c r="B23" s="925"/>
      <c r="C23" s="992"/>
      <c r="D23" s="924"/>
      <c r="E23" s="923"/>
      <c r="F23" s="920"/>
      <c r="G23" s="944">
        <f t="shared" si="0"/>
        <v>42182</v>
      </c>
      <c r="H23" s="948">
        <v>168</v>
      </c>
      <c r="I23" s="948">
        <v>61</v>
      </c>
      <c r="J23" s="934"/>
      <c r="K23" s="921"/>
      <c r="L23" s="920"/>
      <c r="M23" s="920"/>
      <c r="N23" s="919"/>
      <c r="O23" s="921"/>
      <c r="P23" s="920"/>
      <c r="Q23" s="919"/>
      <c r="R23" s="921"/>
      <c r="S23" s="941"/>
      <c r="T23" s="954"/>
    </row>
    <row r="24" spans="1:21">
      <c r="A24" s="1007">
        <v>15</v>
      </c>
      <c r="B24" s="925"/>
      <c r="C24" s="924"/>
      <c r="D24" s="924"/>
      <c r="E24" s="923"/>
      <c r="F24" s="920"/>
      <c r="G24" s="944">
        <f t="shared" si="0"/>
        <v>42212</v>
      </c>
      <c r="H24" s="948">
        <v>181</v>
      </c>
      <c r="I24" s="948">
        <v>64</v>
      </c>
      <c r="J24" s="934"/>
      <c r="K24" s="921"/>
      <c r="L24" s="920"/>
      <c r="M24" s="920"/>
      <c r="N24" s="919"/>
      <c r="O24" s="921"/>
      <c r="P24" s="920"/>
      <c r="Q24" s="919"/>
      <c r="R24" s="921"/>
      <c r="S24" s="935"/>
      <c r="T24" s="957"/>
    </row>
    <row r="25" spans="1:21">
      <c r="A25" s="1007">
        <v>16</v>
      </c>
      <c r="B25" s="925"/>
      <c r="C25" s="924"/>
      <c r="D25" s="924"/>
      <c r="E25" s="923"/>
      <c r="F25" s="920"/>
      <c r="G25" s="944">
        <f t="shared" si="0"/>
        <v>42242</v>
      </c>
      <c r="H25" s="948">
        <v>181</v>
      </c>
      <c r="I25" s="948">
        <v>65</v>
      </c>
      <c r="J25" s="934"/>
      <c r="K25" s="942" t="s">
        <v>2107</v>
      </c>
      <c r="L25" s="929">
        <f>ROUND(L18/N18,4)</f>
        <v>0.77239999999999998</v>
      </c>
      <c r="M25" s="929">
        <f>N25-L25</f>
        <v>0.22760000000000002</v>
      </c>
      <c r="N25" s="928">
        <v>1</v>
      </c>
      <c r="O25" s="921"/>
      <c r="P25" s="920"/>
      <c r="Q25" s="919"/>
      <c r="R25" s="921"/>
      <c r="S25" s="931">
        <f>SUM(S20:S23)</f>
        <v>312988316</v>
      </c>
      <c r="T25" s="952">
        <v>1</v>
      </c>
    </row>
    <row r="26" spans="1:21">
      <c r="A26" s="1007">
        <v>17</v>
      </c>
      <c r="B26" s="925"/>
      <c r="C26" s="924"/>
      <c r="D26" s="924"/>
      <c r="E26" s="923"/>
      <c r="F26" s="920"/>
      <c r="G26" s="944">
        <f t="shared" si="0"/>
        <v>42272</v>
      </c>
      <c r="H26" s="948">
        <v>181</v>
      </c>
      <c r="I26" s="948">
        <v>65</v>
      </c>
      <c r="J26" s="934"/>
      <c r="K26" s="921"/>
      <c r="L26" s="927"/>
      <c r="M26" s="927"/>
      <c r="N26" s="926"/>
      <c r="O26" s="921"/>
      <c r="P26" s="920"/>
      <c r="Q26" s="919"/>
      <c r="R26" s="921"/>
      <c r="S26" s="941"/>
      <c r="T26" s="926"/>
    </row>
    <row r="27" spans="1:21">
      <c r="A27" s="1007">
        <v>18</v>
      </c>
      <c r="B27" s="925"/>
      <c r="C27" s="924"/>
      <c r="D27" s="924"/>
      <c r="E27" s="923"/>
      <c r="F27" s="920"/>
      <c r="G27" s="944">
        <f t="shared" si="0"/>
        <v>42302</v>
      </c>
      <c r="H27" s="948">
        <v>178</v>
      </c>
      <c r="I27" s="948">
        <v>67</v>
      </c>
      <c r="J27" s="934"/>
      <c r="K27" s="921"/>
      <c r="L27" s="920"/>
      <c r="M27" s="920"/>
      <c r="N27" s="919"/>
      <c r="O27" s="921"/>
      <c r="P27" s="920"/>
      <c r="Q27" s="919"/>
      <c r="R27" s="921"/>
      <c r="S27" s="935"/>
      <c r="T27" s="919"/>
    </row>
    <row r="28" spans="1:21">
      <c r="A28" s="1007">
        <v>19</v>
      </c>
      <c r="B28" s="925"/>
      <c r="C28" s="924"/>
      <c r="D28" s="924"/>
      <c r="E28" s="923"/>
      <c r="F28" s="920"/>
      <c r="G28" s="944">
        <f t="shared" si="0"/>
        <v>42332</v>
      </c>
      <c r="H28" s="948">
        <v>176</v>
      </c>
      <c r="I28" s="948">
        <v>63</v>
      </c>
      <c r="J28" s="934"/>
      <c r="K28" s="921"/>
      <c r="L28" s="947"/>
      <c r="M28" s="947"/>
      <c r="N28" s="919"/>
      <c r="O28" s="921"/>
      <c r="P28" s="920"/>
      <c r="Q28" s="919"/>
      <c r="R28" s="921"/>
      <c r="S28" s="920"/>
      <c r="T28" s="919"/>
    </row>
    <row r="29" spans="1:21">
      <c r="A29" s="1007">
        <v>20</v>
      </c>
      <c r="B29" s="939" t="s">
        <v>123</v>
      </c>
      <c r="C29" s="946">
        <f>T21</f>
        <v>0.76549999999999996</v>
      </c>
      <c r="D29" s="946">
        <f>E29-C29</f>
        <v>0.23450000000000004</v>
      </c>
      <c r="E29" s="945">
        <v>1</v>
      </c>
      <c r="F29" s="920"/>
      <c r="G29" s="944">
        <f t="shared" si="0"/>
        <v>42362</v>
      </c>
      <c r="H29" s="943">
        <v>171</v>
      </c>
      <c r="I29" s="943">
        <v>62</v>
      </c>
      <c r="J29" s="934"/>
      <c r="K29" s="942"/>
      <c r="L29" s="920"/>
      <c r="M29" s="920"/>
      <c r="N29" s="919"/>
      <c r="O29" s="921"/>
      <c r="P29" s="920"/>
      <c r="Q29" s="919"/>
      <c r="R29" s="921"/>
      <c r="S29" s="920"/>
      <c r="T29" s="919"/>
    </row>
    <row r="30" spans="1:21">
      <c r="A30" s="1007">
        <v>21</v>
      </c>
      <c r="B30" s="925"/>
      <c r="C30" s="933"/>
      <c r="D30" s="933"/>
      <c r="E30" s="932"/>
      <c r="F30" s="920"/>
      <c r="G30" s="920"/>
      <c r="H30" s="941"/>
      <c r="I30" s="941" t="s">
        <v>57</v>
      </c>
      <c r="J30" s="934"/>
      <c r="K30" s="921"/>
      <c r="L30" s="920"/>
      <c r="M30" s="920"/>
      <c r="N30" s="919"/>
      <c r="O30" s="921"/>
      <c r="P30" s="920"/>
      <c r="Q30" s="919"/>
      <c r="R30" s="921"/>
      <c r="S30" s="920"/>
      <c r="T30" s="919"/>
    </row>
    <row r="31" spans="1:21">
      <c r="A31" s="1007">
        <v>22</v>
      </c>
      <c r="B31" s="925"/>
      <c r="C31" s="924"/>
      <c r="D31" s="924"/>
      <c r="E31" s="923"/>
      <c r="F31" s="920"/>
      <c r="G31" s="920"/>
      <c r="H31" s="935"/>
      <c r="I31" s="935"/>
      <c r="J31" s="934"/>
      <c r="K31" s="921"/>
      <c r="L31" s="920"/>
      <c r="M31" s="920"/>
      <c r="N31" s="919"/>
      <c r="O31" s="921"/>
      <c r="P31" s="920"/>
      <c r="Q31" s="919"/>
      <c r="R31" s="921"/>
      <c r="S31" s="920"/>
      <c r="T31" s="919"/>
    </row>
    <row r="32" spans="1:21">
      <c r="A32" s="1007">
        <v>23</v>
      </c>
      <c r="B32" s="925"/>
      <c r="C32" s="924"/>
      <c r="D32" s="924"/>
      <c r="E32" s="923"/>
      <c r="F32" s="920"/>
      <c r="G32" s="920"/>
      <c r="H32" s="940">
        <f>SUM(H16:H30)</f>
        <v>2253</v>
      </c>
      <c r="I32" s="940">
        <f>SUM(I16:I30)</f>
        <v>801</v>
      </c>
      <c r="J32" s="934"/>
      <c r="K32" s="921"/>
      <c r="L32" s="920"/>
      <c r="M32" s="920"/>
      <c r="N32" s="919"/>
      <c r="O32" s="921"/>
      <c r="P32" s="920"/>
      <c r="Q32" s="919"/>
      <c r="R32" s="921"/>
      <c r="S32" s="920"/>
      <c r="T32" s="919"/>
    </row>
    <row r="33" spans="1:20">
      <c r="A33" s="1007">
        <v>24</v>
      </c>
      <c r="B33" s="925"/>
      <c r="C33" s="924"/>
      <c r="D33" s="924"/>
      <c r="E33" s="923"/>
      <c r="F33" s="920"/>
      <c r="G33" s="920"/>
      <c r="H33" s="935" t="s">
        <v>57</v>
      </c>
      <c r="I33" s="935" t="s">
        <v>57</v>
      </c>
      <c r="J33" s="934"/>
      <c r="K33" s="921"/>
      <c r="L33" s="920"/>
      <c r="M33" s="920"/>
      <c r="N33" s="919"/>
      <c r="O33" s="921"/>
      <c r="P33" s="920"/>
      <c r="Q33" s="919"/>
      <c r="R33" s="921"/>
      <c r="S33" s="920"/>
      <c r="T33" s="919"/>
    </row>
    <row r="34" spans="1:20">
      <c r="A34" s="1007">
        <v>25</v>
      </c>
      <c r="B34" s="939"/>
      <c r="C34" s="938"/>
      <c r="D34" s="937"/>
      <c r="E34" s="936"/>
      <c r="F34" s="920"/>
      <c r="G34" s="920"/>
      <c r="H34" s="935"/>
      <c r="I34" s="935" t="s">
        <v>57</v>
      </c>
      <c r="J34" s="934"/>
      <c r="K34" s="921"/>
      <c r="L34" s="907"/>
      <c r="M34" s="920"/>
      <c r="N34" s="919"/>
      <c r="O34" s="921"/>
      <c r="P34" s="920"/>
      <c r="Q34" s="919"/>
      <c r="R34" s="921"/>
      <c r="S34" s="920"/>
      <c r="T34" s="919"/>
    </row>
    <row r="35" spans="1:20">
      <c r="A35" s="1007">
        <v>26</v>
      </c>
      <c r="B35" s="925"/>
      <c r="C35" s="933"/>
      <c r="D35" s="933"/>
      <c r="E35" s="932"/>
      <c r="F35" s="922" t="s">
        <v>2106</v>
      </c>
      <c r="G35" s="920"/>
      <c r="H35" s="931">
        <f>ROUND((SUM(H18:H28)*2+H17+H29)/24,2)</f>
        <v>173.58</v>
      </c>
      <c r="I35" s="931">
        <f>ROUND((SUM(I18:I28)*2+I17+I29)/24,2)</f>
        <v>61.88</v>
      </c>
      <c r="J35" s="930">
        <f>H35+I35</f>
        <v>235.46</v>
      </c>
      <c r="K35" s="921"/>
      <c r="L35" s="920"/>
      <c r="M35" s="920"/>
      <c r="N35" s="919"/>
      <c r="O35" s="921"/>
      <c r="P35" s="920"/>
      <c r="Q35" s="919"/>
      <c r="R35" s="921"/>
      <c r="S35" s="920"/>
      <c r="T35" s="919"/>
    </row>
    <row r="36" spans="1:20">
      <c r="A36" s="1007">
        <v>27</v>
      </c>
      <c r="B36" s="925"/>
      <c r="C36" s="924"/>
      <c r="D36" s="924"/>
      <c r="E36" s="923"/>
      <c r="F36" s="920"/>
      <c r="G36" s="920"/>
      <c r="H36" s="927"/>
      <c r="I36" s="927" t="s">
        <v>57</v>
      </c>
      <c r="J36" s="926"/>
      <c r="K36" s="921"/>
      <c r="L36" s="920"/>
      <c r="M36" s="920"/>
      <c r="N36" s="919"/>
      <c r="O36" s="921"/>
      <c r="P36" s="920"/>
      <c r="Q36" s="919"/>
      <c r="R36" s="921"/>
      <c r="S36" s="920"/>
      <c r="T36" s="919"/>
    </row>
    <row r="37" spans="1:20">
      <c r="A37" s="1007">
        <v>28</v>
      </c>
      <c r="B37" s="925"/>
      <c r="C37" s="924"/>
      <c r="D37" s="924"/>
      <c r="E37" s="923"/>
      <c r="F37" s="920"/>
      <c r="G37" s="920"/>
      <c r="H37" s="920"/>
      <c r="I37" s="920"/>
      <c r="J37" s="919"/>
      <c r="K37" s="921"/>
      <c r="L37" s="920"/>
      <c r="M37" s="920"/>
      <c r="N37" s="919"/>
      <c r="O37" s="921"/>
      <c r="P37" s="920"/>
      <c r="Q37" s="919"/>
      <c r="R37" s="921"/>
      <c r="S37" s="920"/>
      <c r="T37" s="919"/>
    </row>
    <row r="38" spans="1:20">
      <c r="A38" s="1007">
        <v>29</v>
      </c>
      <c r="B38" s="925"/>
      <c r="C38" s="924"/>
      <c r="D38" s="924"/>
      <c r="E38" s="923"/>
      <c r="F38" s="920"/>
      <c r="G38" s="920"/>
      <c r="H38" s="920"/>
      <c r="I38" s="920"/>
      <c r="J38" s="919"/>
      <c r="K38" s="921"/>
      <c r="L38" s="920"/>
      <c r="M38" s="920"/>
      <c r="N38" s="919"/>
      <c r="O38" s="921"/>
      <c r="P38" s="920"/>
      <c r="Q38" s="919"/>
      <c r="R38" s="921"/>
      <c r="S38" s="920"/>
      <c r="T38" s="919"/>
    </row>
    <row r="39" spans="1:20">
      <c r="A39" s="1007">
        <v>30</v>
      </c>
      <c r="B39" s="925"/>
      <c r="C39" s="924"/>
      <c r="D39" s="924"/>
      <c r="E39" s="923"/>
      <c r="F39" s="920"/>
      <c r="G39" s="922" t="s">
        <v>2105</v>
      </c>
      <c r="H39" s="929">
        <f>ROUND(H35/J35,4)</f>
        <v>0.73719999999999997</v>
      </c>
      <c r="I39" s="929">
        <f>J39-H39</f>
        <v>0.26280000000000003</v>
      </c>
      <c r="J39" s="928">
        <v>1</v>
      </c>
      <c r="K39" s="921"/>
      <c r="L39" s="920"/>
      <c r="M39" s="920"/>
      <c r="N39" s="919"/>
      <c r="O39" s="921"/>
      <c r="P39" s="920"/>
      <c r="Q39" s="919"/>
      <c r="R39" s="921"/>
      <c r="S39" s="920"/>
      <c r="T39" s="919"/>
    </row>
    <row r="40" spans="1:20">
      <c r="A40" s="1007">
        <v>31</v>
      </c>
      <c r="B40" s="925"/>
      <c r="C40" s="924"/>
      <c r="D40" s="924"/>
      <c r="E40" s="923"/>
      <c r="F40" s="920"/>
      <c r="G40" s="920"/>
      <c r="H40" s="927"/>
      <c r="I40" s="927"/>
      <c r="J40" s="926"/>
      <c r="K40" s="921"/>
      <c r="L40" s="920"/>
      <c r="M40" s="920"/>
      <c r="N40" s="919"/>
      <c r="O40" s="921"/>
      <c r="P40" s="920"/>
      <c r="Q40" s="919"/>
      <c r="R40" s="921"/>
      <c r="S40" s="920"/>
      <c r="T40" s="919"/>
    </row>
    <row r="41" spans="1:20">
      <c r="A41" s="1007">
        <v>32</v>
      </c>
      <c r="B41" s="925"/>
      <c r="C41" s="924"/>
      <c r="D41" s="924"/>
      <c r="E41" s="923"/>
      <c r="F41" s="920"/>
      <c r="G41" s="920"/>
      <c r="H41" s="920"/>
      <c r="I41" s="920"/>
      <c r="J41" s="919"/>
      <c r="K41" s="921"/>
      <c r="L41" s="920"/>
      <c r="M41" s="920"/>
      <c r="N41" s="919"/>
      <c r="O41" s="921"/>
      <c r="P41" s="920"/>
      <c r="Q41" s="919"/>
      <c r="R41" s="921"/>
      <c r="S41" s="920"/>
      <c r="T41" s="919"/>
    </row>
    <row r="42" spans="1:20">
      <c r="A42" s="1007">
        <v>33</v>
      </c>
      <c r="B42" s="925"/>
      <c r="C42" s="924"/>
      <c r="D42" s="924"/>
      <c r="E42" s="923"/>
      <c r="F42" s="920"/>
      <c r="G42" s="920"/>
      <c r="H42" s="920"/>
      <c r="I42" s="920"/>
      <c r="J42" s="919"/>
      <c r="K42" s="921"/>
      <c r="L42" s="920"/>
      <c r="M42" s="920"/>
      <c r="N42" s="919"/>
      <c r="O42" s="921"/>
      <c r="P42" s="920"/>
      <c r="Q42" s="919"/>
      <c r="R42" s="921"/>
      <c r="S42" s="920"/>
      <c r="T42" s="919"/>
    </row>
    <row r="43" spans="1:20">
      <c r="A43" s="1007">
        <v>34</v>
      </c>
      <c r="B43" s="925"/>
      <c r="C43" s="924"/>
      <c r="D43" s="924"/>
      <c r="E43" s="923"/>
      <c r="F43" s="922" t="s">
        <v>2104</v>
      </c>
      <c r="G43" s="920"/>
      <c r="H43" s="920"/>
      <c r="I43" s="920"/>
      <c r="J43" s="919"/>
      <c r="K43" s="921"/>
      <c r="L43" s="920"/>
      <c r="M43" s="920"/>
      <c r="N43" s="919"/>
      <c r="O43" s="921"/>
      <c r="P43" s="920"/>
      <c r="Q43" s="919"/>
      <c r="R43" s="921"/>
      <c r="S43" s="920"/>
      <c r="T43" s="919"/>
    </row>
    <row r="44" spans="1:20">
      <c r="A44" s="1007">
        <v>35</v>
      </c>
      <c r="B44" s="925"/>
      <c r="C44" s="924"/>
      <c r="D44" s="924"/>
      <c r="E44" s="923"/>
      <c r="F44" s="922"/>
      <c r="G44" s="920"/>
      <c r="H44" s="920"/>
      <c r="I44" s="920"/>
      <c r="J44" s="919"/>
      <c r="K44" s="921"/>
      <c r="L44" s="920"/>
      <c r="M44" s="920"/>
      <c r="N44" s="919"/>
      <c r="O44" s="921"/>
      <c r="P44" s="920"/>
      <c r="Q44" s="919"/>
      <c r="R44" s="921"/>
      <c r="S44" s="920"/>
      <c r="T44" s="919"/>
    </row>
    <row r="45" spans="1:20" ht="13.5" thickBot="1">
      <c r="A45" s="1007">
        <v>36</v>
      </c>
      <c r="B45" s="918"/>
      <c r="C45" s="917"/>
      <c r="D45" s="917"/>
      <c r="E45" s="916"/>
      <c r="F45" s="915"/>
      <c r="G45" s="913"/>
      <c r="H45" s="913"/>
      <c r="I45" s="913"/>
      <c r="J45" s="912"/>
      <c r="K45" s="914"/>
      <c r="L45" s="913"/>
      <c r="M45" s="913"/>
      <c r="N45" s="912"/>
      <c r="O45" s="914"/>
      <c r="P45" s="913"/>
      <c r="Q45" s="912"/>
      <c r="R45" s="914"/>
      <c r="S45" s="913"/>
      <c r="T45" s="912"/>
    </row>
    <row r="46" spans="1:20">
      <c r="A46" s="1007">
        <v>37</v>
      </c>
      <c r="F46" s="907"/>
      <c r="G46" s="907"/>
      <c r="H46" s="907"/>
      <c r="I46" s="907"/>
      <c r="J46" s="907"/>
      <c r="K46" s="907"/>
      <c r="L46" s="907"/>
      <c r="M46" s="907"/>
      <c r="N46" s="907"/>
      <c r="O46" s="907"/>
      <c r="P46" s="907"/>
      <c r="Q46" s="907"/>
      <c r="R46" s="907"/>
      <c r="S46" s="907"/>
      <c r="T46" s="907"/>
    </row>
    <row r="47" spans="1:20">
      <c r="A47" s="1007">
        <v>38</v>
      </c>
      <c r="F47" s="907"/>
      <c r="G47" s="907"/>
      <c r="H47" s="907"/>
      <c r="I47" s="907"/>
      <c r="J47" s="907"/>
      <c r="K47" s="907"/>
      <c r="L47" s="907"/>
      <c r="M47" s="907"/>
      <c r="N47" s="907"/>
      <c r="O47" s="907"/>
      <c r="P47" s="907"/>
      <c r="Q47" s="907"/>
      <c r="R47" s="907"/>
      <c r="S47" s="907"/>
      <c r="T47" s="907"/>
    </row>
    <row r="48" spans="1:20" ht="14.25">
      <c r="A48" s="1007">
        <v>39</v>
      </c>
      <c r="B48" s="906" t="s">
        <v>2103</v>
      </c>
      <c r="F48" s="907"/>
      <c r="G48" s="907"/>
      <c r="H48" s="907"/>
      <c r="I48" s="907"/>
      <c r="J48" s="907"/>
      <c r="K48" s="907"/>
      <c r="L48" s="907"/>
      <c r="M48" s="907"/>
      <c r="N48" s="907"/>
      <c r="O48" s="907"/>
      <c r="P48" s="907"/>
      <c r="Q48" s="907"/>
      <c r="R48" s="907"/>
      <c r="S48" s="907"/>
      <c r="T48" s="907"/>
    </row>
    <row r="49" spans="1:20" ht="14.25">
      <c r="A49" s="1007">
        <v>40</v>
      </c>
      <c r="B49" s="906" t="s">
        <v>2102</v>
      </c>
      <c r="F49" s="907"/>
      <c r="G49" s="907"/>
      <c r="H49" s="907"/>
      <c r="I49" s="907"/>
      <c r="J49" s="907"/>
      <c r="K49" s="907"/>
      <c r="L49" s="907"/>
      <c r="M49" s="907"/>
      <c r="N49" s="907"/>
      <c r="O49" s="911">
        <v>2015</v>
      </c>
      <c r="P49" s="909" t="s">
        <v>2101</v>
      </c>
      <c r="Q49" s="909" t="s">
        <v>2100</v>
      </c>
      <c r="R49" s="909" t="s">
        <v>59</v>
      </c>
      <c r="S49" s="907"/>
      <c r="T49" s="907"/>
    </row>
    <row r="50" spans="1:20" ht="14.25">
      <c r="A50" s="1007">
        <v>41</v>
      </c>
      <c r="B50" s="906" t="s">
        <v>2099</v>
      </c>
      <c r="F50" s="907"/>
      <c r="G50" s="907"/>
      <c r="H50" s="907"/>
      <c r="I50" s="907"/>
      <c r="J50" s="907"/>
      <c r="K50" s="907"/>
      <c r="L50" s="907"/>
      <c r="M50" s="910"/>
      <c r="N50" s="910"/>
      <c r="O50" s="907" t="s">
        <v>2098</v>
      </c>
      <c r="P50" s="907">
        <v>204762</v>
      </c>
      <c r="Q50" s="907">
        <v>68437</v>
      </c>
      <c r="R50" s="907">
        <f t="shared" ref="R50:R61" si="1">SUM(P50:Q50)</f>
        <v>273199</v>
      </c>
      <c r="S50" s="907" t="s">
        <v>57</v>
      </c>
      <c r="T50" s="907"/>
    </row>
    <row r="51" spans="1:20">
      <c r="F51" s="907"/>
      <c r="G51" s="907"/>
      <c r="H51" s="907"/>
      <c r="I51" s="907"/>
      <c r="J51" s="907"/>
      <c r="K51" s="907"/>
      <c r="L51" s="907"/>
      <c r="M51" s="910"/>
      <c r="N51" s="910"/>
      <c r="O51" s="907" t="s">
        <v>2097</v>
      </c>
      <c r="P51" s="907">
        <v>204932</v>
      </c>
      <c r="Q51" s="907">
        <v>68540</v>
      </c>
      <c r="R51" s="907">
        <f t="shared" si="1"/>
        <v>273472</v>
      </c>
      <c r="S51" s="907"/>
      <c r="T51" s="907"/>
    </row>
    <row r="52" spans="1:20">
      <c r="F52" s="907"/>
      <c r="G52" s="907"/>
      <c r="H52" s="907"/>
      <c r="I52" s="907"/>
      <c r="J52" s="907"/>
      <c r="K52" s="907"/>
      <c r="L52" s="907"/>
      <c r="M52" s="910"/>
      <c r="N52" s="910"/>
      <c r="O52" s="907" t="s">
        <v>2096</v>
      </c>
      <c r="P52" s="907">
        <v>204772</v>
      </c>
      <c r="Q52" s="907">
        <v>68528</v>
      </c>
      <c r="R52" s="907">
        <f t="shared" si="1"/>
        <v>273300</v>
      </c>
      <c r="S52" s="907"/>
      <c r="T52" s="907"/>
    </row>
    <row r="53" spans="1:20">
      <c r="F53" s="907"/>
      <c r="G53" s="907"/>
      <c r="H53" s="907"/>
      <c r="I53" s="907"/>
      <c r="J53" s="907"/>
      <c r="K53" s="907"/>
      <c r="L53" s="907"/>
      <c r="M53" s="910"/>
      <c r="N53" s="910"/>
      <c r="O53" s="907" t="s">
        <v>2095</v>
      </c>
      <c r="P53" s="907">
        <v>204497</v>
      </c>
      <c r="Q53" s="907">
        <v>68558</v>
      </c>
      <c r="R53" s="907">
        <f t="shared" si="1"/>
        <v>273055</v>
      </c>
      <c r="S53" s="907"/>
      <c r="T53" s="907"/>
    </row>
    <row r="54" spans="1:20">
      <c r="F54" s="907"/>
      <c r="G54" s="907"/>
      <c r="H54" s="907"/>
      <c r="I54" s="907"/>
      <c r="J54" s="907"/>
      <c r="K54" s="907"/>
      <c r="L54" s="907"/>
      <c r="M54" s="910"/>
      <c r="N54" s="910"/>
      <c r="O54" s="907" t="s">
        <v>2094</v>
      </c>
      <c r="P54" s="907">
        <v>204302</v>
      </c>
      <c r="Q54" s="907">
        <v>68522</v>
      </c>
      <c r="R54" s="907">
        <f t="shared" si="1"/>
        <v>272824</v>
      </c>
      <c r="S54" s="907"/>
      <c r="T54" s="907"/>
    </row>
    <row r="55" spans="1:20">
      <c r="F55" s="907"/>
      <c r="G55" s="907"/>
      <c r="H55" s="907"/>
      <c r="I55" s="907"/>
      <c r="J55" s="907"/>
      <c r="K55" s="907"/>
      <c r="L55" s="907"/>
      <c r="M55" s="910"/>
      <c r="N55" s="910"/>
      <c r="O55" s="907" t="s">
        <v>2093</v>
      </c>
      <c r="P55" s="907">
        <v>203865</v>
      </c>
      <c r="Q55" s="907">
        <v>68384</v>
      </c>
      <c r="R55" s="907">
        <f t="shared" si="1"/>
        <v>272249</v>
      </c>
      <c r="S55" s="907"/>
      <c r="T55" s="907"/>
    </row>
    <row r="56" spans="1:20">
      <c r="F56" s="907"/>
      <c r="G56" s="907"/>
      <c r="H56" s="907"/>
      <c r="I56" s="907"/>
      <c r="J56" s="907"/>
      <c r="K56" s="907"/>
      <c r="L56" s="907"/>
      <c r="M56" s="910"/>
      <c r="N56" s="910"/>
      <c r="O56" s="907" t="s">
        <v>2092</v>
      </c>
      <c r="P56" s="907">
        <v>203684</v>
      </c>
      <c r="Q56" s="907">
        <v>68317</v>
      </c>
      <c r="R56" s="907">
        <f t="shared" si="1"/>
        <v>272001</v>
      </c>
      <c r="S56" s="907"/>
      <c r="T56" s="907"/>
    </row>
    <row r="57" spans="1:20">
      <c r="F57" s="907"/>
      <c r="G57" s="907"/>
      <c r="H57" s="907"/>
      <c r="I57" s="907"/>
      <c r="J57" s="907"/>
      <c r="K57" s="907"/>
      <c r="L57" s="907"/>
      <c r="M57" s="910"/>
      <c r="N57" s="910"/>
      <c r="O57" s="907" t="s">
        <v>2091</v>
      </c>
      <c r="P57" s="907">
        <v>203821</v>
      </c>
      <c r="Q57" s="907">
        <v>68375</v>
      </c>
      <c r="R57" s="907">
        <f t="shared" si="1"/>
        <v>272196</v>
      </c>
      <c r="S57" s="907"/>
      <c r="T57" s="907"/>
    </row>
    <row r="58" spans="1:20">
      <c r="F58" s="907"/>
      <c r="G58" s="907"/>
      <c r="H58" s="907"/>
      <c r="I58" s="907"/>
      <c r="J58" s="907"/>
      <c r="K58" s="907"/>
      <c r="L58" s="907"/>
      <c r="M58" s="910"/>
      <c r="N58" s="910"/>
      <c r="O58" s="907" t="s">
        <v>2090</v>
      </c>
      <c r="P58" s="907">
        <v>204398</v>
      </c>
      <c r="Q58" s="907">
        <v>68614</v>
      </c>
      <c r="R58" s="907">
        <f t="shared" si="1"/>
        <v>273012</v>
      </c>
      <c r="S58" s="907"/>
      <c r="T58" s="907"/>
    </row>
    <row r="59" spans="1:20">
      <c r="F59" s="907"/>
      <c r="G59" s="907"/>
      <c r="H59" s="907"/>
      <c r="I59" s="907"/>
      <c r="J59" s="907"/>
      <c r="K59" s="907"/>
      <c r="L59" s="907"/>
      <c r="M59" s="910"/>
      <c r="N59" s="910"/>
      <c r="O59" s="907" t="s">
        <v>2089</v>
      </c>
      <c r="P59" s="907">
        <v>205350</v>
      </c>
      <c r="Q59" s="907">
        <v>69045</v>
      </c>
      <c r="R59" s="907">
        <f t="shared" si="1"/>
        <v>274395</v>
      </c>
      <c r="S59" s="907"/>
      <c r="T59" s="907"/>
    </row>
    <row r="60" spans="1:20">
      <c r="F60" s="907"/>
      <c r="G60" s="907"/>
      <c r="H60" s="907"/>
      <c r="I60" s="907"/>
      <c r="J60" s="907"/>
      <c r="K60" s="907"/>
      <c r="L60" s="907"/>
      <c r="M60" s="910"/>
      <c r="N60" s="910"/>
      <c r="O60" s="907" t="s">
        <v>2088</v>
      </c>
      <c r="P60" s="907">
        <v>206666</v>
      </c>
      <c r="Q60" s="907">
        <v>69601</v>
      </c>
      <c r="R60" s="907">
        <f t="shared" si="1"/>
        <v>276267</v>
      </c>
      <c r="S60" s="907"/>
      <c r="T60" s="907"/>
    </row>
    <row r="61" spans="1:20">
      <c r="F61" s="907"/>
      <c r="G61" s="907"/>
      <c r="H61" s="907"/>
      <c r="I61" s="907"/>
      <c r="J61" s="907"/>
      <c r="K61" s="907"/>
      <c r="L61" s="907"/>
      <c r="M61" s="910"/>
      <c r="N61" s="910"/>
      <c r="O61" s="907" t="s">
        <v>2087</v>
      </c>
      <c r="P61" s="909">
        <v>207363</v>
      </c>
      <c r="Q61" s="909">
        <v>69868</v>
      </c>
      <c r="R61" s="907">
        <f t="shared" si="1"/>
        <v>277231</v>
      </c>
      <c r="S61" s="907"/>
      <c r="T61" s="907"/>
    </row>
    <row r="62" spans="1:20">
      <c r="F62" s="907"/>
      <c r="G62" s="907"/>
      <c r="H62" s="907"/>
      <c r="I62" s="907"/>
      <c r="J62" s="907"/>
      <c r="K62" s="907"/>
      <c r="L62" s="907"/>
      <c r="M62" s="907"/>
      <c r="N62" s="907"/>
      <c r="O62" s="907" t="s">
        <v>2086</v>
      </c>
      <c r="P62" s="907">
        <f>AVERAGE(P50:P61)</f>
        <v>204867.66666666666</v>
      </c>
      <c r="Q62" s="907">
        <f>AVERAGE(Q50:Q61)</f>
        <v>68732.416666666672</v>
      </c>
      <c r="R62" s="907"/>
      <c r="S62" s="907"/>
      <c r="T62" s="907"/>
    </row>
    <row r="63" spans="1:20">
      <c r="F63" s="907"/>
      <c r="G63" s="907"/>
      <c r="H63" s="907"/>
      <c r="I63" s="907"/>
      <c r="J63" s="907"/>
      <c r="K63" s="907"/>
      <c r="L63" s="907"/>
      <c r="M63" s="907"/>
      <c r="N63" s="907"/>
      <c r="O63" s="907"/>
      <c r="P63" s="908"/>
      <c r="Q63" s="908"/>
      <c r="R63" s="907"/>
      <c r="S63" s="907"/>
      <c r="T63" s="907"/>
    </row>
    <row r="64" spans="1:20">
      <c r="F64" s="907"/>
      <c r="G64" s="907"/>
      <c r="H64" s="907"/>
      <c r="I64" s="907"/>
      <c r="J64" s="907"/>
      <c r="K64" s="907"/>
      <c r="L64" s="907"/>
      <c r="M64" s="907"/>
      <c r="N64" s="907"/>
      <c r="O64" s="907"/>
      <c r="P64" s="907"/>
      <c r="Q64" s="907"/>
      <c r="R64" s="907"/>
      <c r="S64" s="907"/>
      <c r="T64" s="907"/>
    </row>
    <row r="65" spans="6:20">
      <c r="F65" s="907"/>
      <c r="G65" s="907"/>
      <c r="H65" s="907"/>
      <c r="I65" s="907"/>
      <c r="J65" s="907"/>
      <c r="K65" s="907"/>
      <c r="L65" s="907"/>
      <c r="M65" s="907"/>
      <c r="N65" s="907"/>
      <c r="O65" s="907"/>
      <c r="P65" s="907"/>
      <c r="Q65" s="907"/>
      <c r="R65" s="907"/>
      <c r="S65" s="907"/>
      <c r="T65" s="907"/>
    </row>
    <row r="66" spans="6:20">
      <c r="F66" s="907"/>
      <c r="G66" s="907"/>
      <c r="H66" s="907"/>
      <c r="I66" s="907"/>
      <c r="J66" s="907"/>
      <c r="K66" s="907"/>
      <c r="L66" s="907"/>
      <c r="M66" s="907"/>
      <c r="N66" s="907"/>
      <c r="O66" s="907"/>
      <c r="P66" s="907"/>
      <c r="Q66" s="907"/>
      <c r="R66" s="907"/>
      <c r="S66" s="907"/>
      <c r="T66" s="907"/>
    </row>
    <row r="67" spans="6:20">
      <c r="F67" s="907"/>
      <c r="G67" s="907"/>
      <c r="H67" s="907"/>
      <c r="I67" s="907"/>
      <c r="J67" s="907"/>
      <c r="K67" s="907"/>
      <c r="L67" s="907"/>
      <c r="M67" s="907"/>
      <c r="N67" s="907"/>
      <c r="O67" s="907"/>
      <c r="P67" s="907"/>
      <c r="Q67" s="907"/>
      <c r="R67" s="907"/>
      <c r="S67" s="907"/>
      <c r="T67" s="907"/>
    </row>
    <row r="68" spans="6:20">
      <c r="F68" s="907"/>
      <c r="G68" s="907"/>
      <c r="H68" s="907"/>
      <c r="I68" s="907"/>
      <c r="J68" s="907"/>
      <c r="K68" s="907"/>
      <c r="L68" s="907"/>
      <c r="M68" s="907"/>
      <c r="N68" s="907"/>
      <c r="O68" s="907"/>
      <c r="P68" s="907"/>
      <c r="Q68" s="907"/>
      <c r="R68" s="907"/>
      <c r="S68" s="907"/>
      <c r="T68" s="907"/>
    </row>
    <row r="69" spans="6:20">
      <c r="F69" s="907"/>
      <c r="G69" s="907"/>
      <c r="H69" s="907"/>
      <c r="I69" s="907"/>
      <c r="J69" s="907"/>
      <c r="K69" s="907"/>
      <c r="L69" s="907"/>
      <c r="M69" s="907"/>
      <c r="N69" s="907"/>
      <c r="O69" s="907"/>
      <c r="P69" s="907"/>
      <c r="Q69" s="907"/>
      <c r="R69" s="907"/>
      <c r="S69" s="907"/>
      <c r="T69" s="907"/>
    </row>
    <row r="70" spans="6:20">
      <c r="F70" s="907"/>
      <c r="G70" s="907"/>
      <c r="H70" s="907"/>
      <c r="I70" s="907"/>
      <c r="J70" s="907"/>
      <c r="K70" s="907"/>
      <c r="L70" s="907"/>
      <c r="M70" s="907"/>
      <c r="N70" s="907"/>
      <c r="O70" s="907"/>
      <c r="P70" s="907"/>
      <c r="Q70" s="907"/>
      <c r="R70" s="907"/>
      <c r="S70" s="907"/>
      <c r="T70" s="907"/>
    </row>
    <row r="71" spans="6:20">
      <c r="F71" s="907"/>
      <c r="G71" s="907"/>
      <c r="H71" s="907"/>
      <c r="I71" s="907"/>
      <c r="J71" s="907"/>
      <c r="K71" s="907"/>
      <c r="L71" s="907"/>
      <c r="M71" s="907"/>
      <c r="N71" s="907"/>
      <c r="O71" s="907"/>
      <c r="P71" s="907"/>
      <c r="Q71" s="907"/>
      <c r="R71" s="907"/>
      <c r="S71" s="907"/>
      <c r="T71" s="907"/>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6"/>
  <sheetViews>
    <sheetView workbookViewId="0">
      <selection activeCell="A3" sqref="A3:H3"/>
    </sheetView>
  </sheetViews>
  <sheetFormatPr defaultRowHeight="15.75"/>
  <cols>
    <col min="1" max="16384" width="9.140625" style="6"/>
  </cols>
  <sheetData>
    <row r="1" spans="1:10">
      <c r="A1" s="1025" t="s">
        <v>61</v>
      </c>
      <c r="B1" s="1025"/>
      <c r="C1" s="1025"/>
      <c r="D1" s="1025"/>
      <c r="E1" s="1025"/>
      <c r="F1" s="1025"/>
      <c r="G1" s="1025"/>
      <c r="H1" s="1025"/>
      <c r="I1" s="1025"/>
    </row>
    <row r="2" spans="1:10">
      <c r="A2" s="1025" t="s">
        <v>1690</v>
      </c>
      <c r="B2" s="1025"/>
      <c r="C2" s="1025"/>
      <c r="D2" s="1025"/>
      <c r="E2" s="1025"/>
      <c r="F2" s="1025"/>
      <c r="G2" s="1025"/>
      <c r="H2" s="1025"/>
      <c r="I2" s="1025"/>
    </row>
    <row r="3" spans="1:10">
      <c r="A3" s="1025" t="s">
        <v>1693</v>
      </c>
      <c r="B3" s="1025"/>
      <c r="C3" s="1025"/>
      <c r="D3" s="1025"/>
      <c r="E3" s="1025"/>
      <c r="F3" s="1025"/>
      <c r="G3" s="1025"/>
      <c r="H3" s="1025"/>
      <c r="I3" s="1025"/>
    </row>
    <row r="4" spans="1:10">
      <c r="A4" s="1025"/>
      <c r="B4" s="1025"/>
      <c r="C4" s="1025"/>
      <c r="D4" s="1025"/>
      <c r="E4" s="1025"/>
      <c r="F4" s="1025"/>
      <c r="G4" s="1025"/>
      <c r="H4" s="1025"/>
      <c r="I4" s="1025"/>
    </row>
    <row r="5" spans="1:10">
      <c r="A5" s="1025"/>
      <c r="B5" s="1025"/>
      <c r="C5" s="1025"/>
      <c r="D5" s="1025"/>
      <c r="E5" s="1025"/>
      <c r="F5" s="1025"/>
      <c r="G5" s="1025"/>
      <c r="H5" s="1025"/>
      <c r="I5" s="1025"/>
    </row>
    <row r="10" spans="1:10">
      <c r="G10" s="19"/>
    </row>
    <row r="13" spans="1:10">
      <c r="A13" s="1032" t="s">
        <v>1712</v>
      </c>
      <c r="B13" s="1032"/>
      <c r="C13" s="1032"/>
      <c r="D13" s="1032"/>
      <c r="E13" s="1032"/>
      <c r="F13" s="1032"/>
      <c r="G13" s="1032"/>
      <c r="H13" s="1032"/>
      <c r="I13" s="1032"/>
      <c r="J13" s="1032"/>
    </row>
    <row r="36" spans="4:4">
      <c r="D36" s="30"/>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K47"/>
  <sheetViews>
    <sheetView view="pageBreakPreview" topLeftCell="A4" zoomScale="80" zoomScaleNormal="100" zoomScaleSheetLayoutView="80" workbookViewId="0">
      <selection activeCell="A3" sqref="A3:H3"/>
    </sheetView>
  </sheetViews>
  <sheetFormatPr defaultRowHeight="15.75"/>
  <cols>
    <col min="1" max="1" width="9.28515625" style="6" bestFit="1" customWidth="1"/>
    <col min="2" max="2" width="32.85546875" style="6" customWidth="1"/>
    <col min="3" max="3" width="2.42578125" style="6" customWidth="1"/>
    <col min="4" max="4" width="14" style="6" bestFit="1" customWidth="1"/>
    <col min="5" max="5" width="18.140625" style="6" bestFit="1" customWidth="1"/>
    <col min="6" max="6" width="14" style="6" bestFit="1" customWidth="1"/>
    <col min="7" max="7" width="2.28515625" style="6" customWidth="1"/>
    <col min="8" max="8" width="12.7109375" style="6" bestFit="1" customWidth="1"/>
    <col min="9" max="10" width="9.140625" style="6"/>
    <col min="11" max="11" width="14.28515625" style="6" bestFit="1" customWidth="1"/>
    <col min="12" max="16384" width="9.140625" style="6"/>
  </cols>
  <sheetData>
    <row r="2" spans="1:11">
      <c r="A2" s="1"/>
      <c r="B2" s="1025" t="s">
        <v>61</v>
      </c>
      <c r="C2" s="1025"/>
      <c r="D2" s="1025"/>
      <c r="E2" s="1025"/>
      <c r="F2" s="1025"/>
      <c r="G2" s="1025"/>
      <c r="H2" s="1025"/>
      <c r="I2" s="5"/>
      <c r="J2" s="5"/>
    </row>
    <row r="3" spans="1:11">
      <c r="A3" s="559"/>
      <c r="B3" s="1025" t="s">
        <v>1690</v>
      </c>
      <c r="C3" s="1025"/>
      <c r="D3" s="1025"/>
      <c r="E3" s="1025"/>
      <c r="F3" s="1025"/>
      <c r="G3" s="1025"/>
      <c r="H3" s="1025"/>
      <c r="I3" s="5"/>
      <c r="J3" s="5"/>
    </row>
    <row r="4" spans="1:11">
      <c r="A4" s="1"/>
      <c r="B4" s="1025" t="s">
        <v>1703</v>
      </c>
      <c r="C4" s="1025"/>
      <c r="D4" s="1025"/>
      <c r="E4" s="1025"/>
      <c r="F4" s="1025"/>
      <c r="G4" s="1025"/>
      <c r="H4" s="1025"/>
      <c r="I4" s="5"/>
      <c r="J4" s="5"/>
    </row>
    <row r="5" spans="1:11">
      <c r="A5" s="560"/>
      <c r="B5" s="1025" t="s">
        <v>1715</v>
      </c>
      <c r="C5" s="1025"/>
      <c r="D5" s="1025"/>
      <c r="E5" s="1025"/>
      <c r="F5" s="1025"/>
      <c r="G5" s="1025"/>
      <c r="H5" s="1025"/>
      <c r="I5" s="5"/>
      <c r="J5" s="5"/>
    </row>
    <row r="6" spans="1:11">
      <c r="A6" s="560"/>
      <c r="B6" s="1025" t="s">
        <v>985</v>
      </c>
      <c r="C6" s="1025"/>
      <c r="D6" s="1025"/>
      <c r="E6" s="1025"/>
      <c r="F6" s="1025"/>
      <c r="G6" s="1025"/>
      <c r="H6" s="1025"/>
      <c r="I6" s="5"/>
      <c r="J6" s="5"/>
    </row>
    <row r="7" spans="1:11">
      <c r="A7" s="560"/>
      <c r="B7" s="34"/>
      <c r="C7" s="34"/>
      <c r="D7" s="34"/>
      <c r="E7" s="34"/>
      <c r="F7" s="34"/>
      <c r="H7" s="34"/>
      <c r="I7" s="5"/>
      <c r="J7" s="5"/>
    </row>
    <row r="8" spans="1:11" s="8" customFormat="1">
      <c r="A8" s="33"/>
      <c r="B8" s="33" t="s">
        <v>1731</v>
      </c>
      <c r="C8" s="33"/>
      <c r="D8" s="561" t="s">
        <v>1729</v>
      </c>
      <c r="E8" s="33" t="s">
        <v>1730</v>
      </c>
      <c r="F8" s="562" t="s">
        <v>1733</v>
      </c>
      <c r="H8" s="33" t="s">
        <v>1734</v>
      </c>
    </row>
    <row r="9" spans="1:11" ht="47.25">
      <c r="A9" s="563" t="s">
        <v>891</v>
      </c>
      <c r="B9" s="564" t="s">
        <v>382</v>
      </c>
      <c r="C9" s="565"/>
      <c r="D9" s="566" t="s">
        <v>2132</v>
      </c>
      <c r="E9" s="567" t="s">
        <v>1736</v>
      </c>
      <c r="F9" s="566" t="s">
        <v>1735</v>
      </c>
      <c r="H9" s="27" t="s">
        <v>1726</v>
      </c>
    </row>
    <row r="10" spans="1:11">
      <c r="A10" s="568"/>
      <c r="B10" s="568"/>
      <c r="C10" s="568"/>
      <c r="D10" s="566"/>
      <c r="E10" s="568"/>
      <c r="F10" s="569"/>
    </row>
    <row r="11" spans="1:11">
      <c r="A11" s="33"/>
      <c r="B11" s="563" t="s">
        <v>893</v>
      </c>
      <c r="C11" s="421"/>
      <c r="D11" s="570"/>
      <c r="E11" s="568"/>
      <c r="F11" s="569"/>
    </row>
    <row r="12" spans="1:11">
      <c r="A12" s="33">
        <v>1</v>
      </c>
      <c r="B12" s="568" t="s">
        <v>894</v>
      </c>
      <c r="C12" s="568"/>
      <c r="D12" s="571">
        <f>+D26+0.29484</f>
        <v>0.79052999999999995</v>
      </c>
      <c r="E12" s="572">
        <f>+F42</f>
        <v>13351163</v>
      </c>
      <c r="F12" s="569">
        <f>ROUND(E12*D12,2)</f>
        <v>10554494.890000001</v>
      </c>
      <c r="H12" s="573">
        <f>+F12-F26</f>
        <v>3936456.9000000004</v>
      </c>
      <c r="I12" s="30"/>
      <c r="K12" s="91"/>
    </row>
    <row r="13" spans="1:11">
      <c r="A13" s="568"/>
      <c r="B13" s="568"/>
      <c r="C13" s="568"/>
      <c r="D13" s="570"/>
      <c r="E13" s="568"/>
      <c r="F13" s="569"/>
      <c r="H13" s="30"/>
      <c r="I13" s="30"/>
    </row>
    <row r="14" spans="1:11">
      <c r="A14" s="568"/>
      <c r="B14" s="563" t="s">
        <v>895</v>
      </c>
      <c r="C14" s="568"/>
      <c r="D14" s="570"/>
      <c r="E14" s="568"/>
      <c r="F14" s="569"/>
      <c r="H14" s="30"/>
      <c r="I14" s="30"/>
    </row>
    <row r="15" spans="1:11">
      <c r="A15" s="33">
        <v>2</v>
      </c>
      <c r="B15" s="568" t="s">
        <v>896</v>
      </c>
      <c r="C15" s="568"/>
      <c r="D15" s="571">
        <f>+D29+0.24608</f>
        <v>0.73912</v>
      </c>
      <c r="E15" s="572">
        <f>+F43</f>
        <v>5593392</v>
      </c>
      <c r="F15" s="574">
        <f>ROUND(E15*D15,2)</f>
        <v>4134187.9</v>
      </c>
      <c r="H15" s="573">
        <f>+F15-F29</f>
        <v>1376421.9099999997</v>
      </c>
      <c r="I15" s="30"/>
    </row>
    <row r="16" spans="1:11">
      <c r="A16" s="33"/>
      <c r="B16" s="568"/>
      <c r="C16" s="568"/>
      <c r="D16" s="571"/>
      <c r="E16" s="572"/>
      <c r="F16" s="574"/>
      <c r="H16" s="573"/>
      <c r="I16" s="30"/>
    </row>
    <row r="17" spans="1:9">
      <c r="A17" s="33"/>
      <c r="B17" s="563" t="s">
        <v>2020</v>
      </c>
      <c r="C17" s="568"/>
      <c r="D17" s="571"/>
      <c r="E17" s="572"/>
      <c r="F17" s="574"/>
      <c r="H17" s="573"/>
      <c r="I17" s="30"/>
    </row>
    <row r="18" spans="1:9">
      <c r="A18" s="33">
        <v>3</v>
      </c>
      <c r="B18" s="568" t="s">
        <v>1737</v>
      </c>
      <c r="C18" s="568"/>
      <c r="D18" s="571">
        <f>+D32+0.1462</f>
        <v>0.62613000000000008</v>
      </c>
      <c r="E18" s="575">
        <f>+F44</f>
        <v>593880</v>
      </c>
      <c r="F18" s="569">
        <f>+D18*E18</f>
        <v>371846.08440000005</v>
      </c>
      <c r="H18" s="573">
        <f>+F18-F32</f>
        <v>86825.256000000052</v>
      </c>
      <c r="I18" s="30"/>
    </row>
    <row r="19" spans="1:9">
      <c r="A19" s="33">
        <v>4</v>
      </c>
      <c r="B19" s="568" t="s">
        <v>1738</v>
      </c>
      <c r="C19" s="568"/>
      <c r="D19" s="571">
        <f>+D35+0.02541</f>
        <v>0.50534000000000001</v>
      </c>
      <c r="E19" s="575">
        <f>+F45</f>
        <v>814309</v>
      </c>
      <c r="F19" s="569">
        <f>+D19*E19</f>
        <v>411502.91006000002</v>
      </c>
      <c r="H19" s="573">
        <f>+F19-F35</f>
        <v>20691.59169000003</v>
      </c>
      <c r="I19" s="30"/>
    </row>
    <row r="20" spans="1:9">
      <c r="A20" s="568"/>
      <c r="B20" s="568"/>
      <c r="C20" s="568"/>
      <c r="D20" s="571"/>
      <c r="E20" s="575"/>
      <c r="F20" s="569"/>
      <c r="H20" s="573"/>
      <c r="I20" s="30"/>
    </row>
    <row r="21" spans="1:9" ht="16.5" thickBot="1">
      <c r="A21" s="33">
        <v>5</v>
      </c>
      <c r="B21" s="576" t="s">
        <v>886</v>
      </c>
      <c r="C21" s="577"/>
      <c r="D21" s="578"/>
      <c r="E21" s="579">
        <f>SUM(E12:E19)</f>
        <v>20352744</v>
      </c>
      <c r="F21" s="580">
        <f>SUM(F12:F19)</f>
        <v>15472031.784460001</v>
      </c>
      <c r="H21" s="581">
        <f>+H15+H19+H18+H12</f>
        <v>5420395.6576899998</v>
      </c>
      <c r="I21" s="30"/>
    </row>
    <row r="22" spans="1:9" ht="16.5" thickTop="1">
      <c r="A22" s="568"/>
      <c r="B22" s="568"/>
      <c r="C22" s="568"/>
      <c r="D22" s="570"/>
      <c r="E22" s="568"/>
      <c r="F22" s="569"/>
      <c r="H22" s="30"/>
      <c r="I22" s="30"/>
    </row>
    <row r="23" spans="1:9">
      <c r="A23" s="568"/>
      <c r="B23" s="563" t="s">
        <v>897</v>
      </c>
      <c r="C23" s="568"/>
      <c r="D23" s="570"/>
      <c r="E23" s="568"/>
      <c r="F23" s="569"/>
      <c r="H23" s="30"/>
      <c r="I23" s="30"/>
    </row>
    <row r="24" spans="1:9">
      <c r="A24" s="568"/>
      <c r="B24" s="568" t="s">
        <v>2139</v>
      </c>
      <c r="C24" s="568"/>
      <c r="D24" s="570"/>
      <c r="E24" s="568"/>
      <c r="F24" s="569"/>
      <c r="H24" s="30"/>
      <c r="I24" s="30"/>
    </row>
    <row r="25" spans="1:9">
      <c r="A25" s="33">
        <v>6</v>
      </c>
      <c r="B25" s="568" t="s">
        <v>1739</v>
      </c>
      <c r="C25" s="568"/>
      <c r="D25" s="570"/>
      <c r="E25" s="568"/>
      <c r="F25" s="569"/>
      <c r="H25" s="30"/>
      <c r="I25" s="30"/>
    </row>
    <row r="26" spans="1:9">
      <c r="A26" s="33">
        <v>7</v>
      </c>
      <c r="B26" s="568" t="s">
        <v>898</v>
      </c>
      <c r="C26" s="568"/>
      <c r="D26" s="571">
        <v>0.49569000000000002</v>
      </c>
      <c r="E26" s="572">
        <f>+F42</f>
        <v>13351163</v>
      </c>
      <c r="F26" s="574">
        <f>ROUND(D26*E26,2)</f>
        <v>6618037.9900000002</v>
      </c>
    </row>
    <row r="27" spans="1:9">
      <c r="A27" s="568"/>
      <c r="B27" s="568"/>
      <c r="C27" s="568"/>
      <c r="D27" s="570"/>
      <c r="E27" s="568"/>
      <c r="F27" s="574"/>
    </row>
    <row r="28" spans="1:9">
      <c r="A28" s="33">
        <v>8</v>
      </c>
      <c r="B28" s="568" t="s">
        <v>1740</v>
      </c>
      <c r="C28" s="568"/>
      <c r="D28" s="570"/>
      <c r="E28" s="568"/>
      <c r="F28" s="574"/>
    </row>
    <row r="29" spans="1:9">
      <c r="A29" s="33">
        <v>9</v>
      </c>
      <c r="B29" s="568" t="s">
        <v>898</v>
      </c>
      <c r="C29" s="568"/>
      <c r="D29" s="571">
        <v>0.49303999999999998</v>
      </c>
      <c r="E29" s="582">
        <f>+F43</f>
        <v>5593392</v>
      </c>
      <c r="F29" s="574">
        <f>ROUND(D29*E29,2)</f>
        <v>2757765.99</v>
      </c>
    </row>
    <row r="30" spans="1:9">
      <c r="A30" s="33"/>
      <c r="B30" s="568"/>
      <c r="C30" s="568"/>
      <c r="D30" s="571"/>
      <c r="E30" s="582"/>
      <c r="F30" s="574"/>
    </row>
    <row r="31" spans="1:9">
      <c r="A31" s="33">
        <v>10</v>
      </c>
      <c r="B31" s="568" t="s">
        <v>1741</v>
      </c>
      <c r="C31" s="568"/>
      <c r="D31" s="571"/>
      <c r="E31" s="582"/>
      <c r="F31" s="574"/>
    </row>
    <row r="32" spans="1:9">
      <c r="A32" s="33">
        <v>11</v>
      </c>
      <c r="B32" s="568" t="s">
        <v>898</v>
      </c>
      <c r="C32" s="568"/>
      <c r="D32" s="571">
        <v>0.47993000000000002</v>
      </c>
      <c r="E32" s="582">
        <f>+F44</f>
        <v>593880</v>
      </c>
      <c r="F32" s="574">
        <f>+D32*E32</f>
        <v>285020.8284</v>
      </c>
    </row>
    <row r="33" spans="1:6">
      <c r="A33" s="33"/>
      <c r="B33" s="568"/>
      <c r="C33" s="568"/>
      <c r="D33" s="571"/>
      <c r="E33" s="582"/>
      <c r="F33" s="574"/>
    </row>
    <row r="34" spans="1:6">
      <c r="A34" s="33">
        <v>12</v>
      </c>
      <c r="B34" s="568" t="s">
        <v>1742</v>
      </c>
      <c r="C34" s="568"/>
      <c r="D34" s="571"/>
      <c r="E34" s="582"/>
      <c r="F34" s="574"/>
    </row>
    <row r="35" spans="1:6">
      <c r="A35" s="33">
        <v>13</v>
      </c>
      <c r="B35" s="568" t="s">
        <v>898</v>
      </c>
      <c r="C35" s="568"/>
      <c r="D35" s="571">
        <v>0.47993000000000002</v>
      </c>
      <c r="E35" s="582">
        <f>+E19</f>
        <v>814309</v>
      </c>
      <c r="F35" s="574">
        <f>+D35*E35</f>
        <v>390811.31836999999</v>
      </c>
    </row>
    <row r="36" spans="1:6">
      <c r="A36" s="33"/>
      <c r="B36" s="568"/>
      <c r="C36" s="568"/>
      <c r="D36" s="571"/>
      <c r="E36" s="582"/>
      <c r="F36" s="574"/>
    </row>
    <row r="37" spans="1:6" ht="16.5" thickBot="1">
      <c r="A37" s="33">
        <v>14</v>
      </c>
      <c r="B37" s="568" t="s">
        <v>886</v>
      </c>
      <c r="C37" s="568"/>
      <c r="D37" s="568"/>
      <c r="E37" s="583">
        <f>SUM(E26:E35)</f>
        <v>20352744</v>
      </c>
      <c r="F37" s="584">
        <f>SUM(F26:F35)</f>
        <v>10051636.126770001</v>
      </c>
    </row>
    <row r="38" spans="1:6" ht="16.5" thickTop="1">
      <c r="A38" s="33">
        <v>15</v>
      </c>
      <c r="D38" s="8" t="s">
        <v>1139</v>
      </c>
      <c r="E38" s="8" t="s">
        <v>2022</v>
      </c>
      <c r="F38" s="586" t="s">
        <v>2023</v>
      </c>
    </row>
    <row r="39" spans="1:6">
      <c r="A39" s="33">
        <v>16</v>
      </c>
      <c r="D39" s="8" t="s">
        <v>1140</v>
      </c>
      <c r="E39" s="8" t="s">
        <v>2021</v>
      </c>
      <c r="F39" s="586" t="s">
        <v>2024</v>
      </c>
    </row>
    <row r="40" spans="1:6">
      <c r="A40" s="33">
        <v>17</v>
      </c>
      <c r="D40" s="8" t="s">
        <v>2021</v>
      </c>
      <c r="E40" s="8"/>
      <c r="F40" s="8" t="s">
        <v>63</v>
      </c>
    </row>
    <row r="41" spans="1:6">
      <c r="A41" s="33">
        <v>18</v>
      </c>
      <c r="D41" s="506" t="s">
        <v>2018</v>
      </c>
      <c r="E41" s="587" t="s">
        <v>2019</v>
      </c>
      <c r="F41" s="588"/>
    </row>
    <row r="42" spans="1:6">
      <c r="A42" s="33">
        <v>19</v>
      </c>
      <c r="B42" s="568" t="s">
        <v>894</v>
      </c>
      <c r="D42" s="589">
        <v>120189407</v>
      </c>
      <c r="E42" s="590">
        <f>77646605+29191639</f>
        <v>106838244</v>
      </c>
      <c r="F42" s="590">
        <f>+D42-E42</f>
        <v>13351163</v>
      </c>
    </row>
    <row r="43" spans="1:6">
      <c r="A43" s="33">
        <v>20</v>
      </c>
      <c r="B43" s="568" t="s">
        <v>896</v>
      </c>
      <c r="D43" s="589">
        <v>81344242</v>
      </c>
      <c r="E43" s="590">
        <f>55961538+19789312</f>
        <v>75750850</v>
      </c>
      <c r="F43" s="590">
        <f t="shared" ref="F43:F45" si="0">+D43-E43</f>
        <v>5593392</v>
      </c>
    </row>
    <row r="44" spans="1:6">
      <c r="A44" s="33">
        <v>21</v>
      </c>
      <c r="B44" s="568" t="s">
        <v>1737</v>
      </c>
      <c r="D44" s="589">
        <v>11417671</v>
      </c>
      <c r="E44" s="590">
        <f>1521701+4967619+4334471</f>
        <v>10823791</v>
      </c>
      <c r="F44" s="590">
        <f t="shared" si="0"/>
        <v>593880</v>
      </c>
    </row>
    <row r="45" spans="1:6">
      <c r="A45" s="33">
        <v>22</v>
      </c>
      <c r="B45" s="568" t="s">
        <v>1738</v>
      </c>
      <c r="D45" s="589">
        <v>11107096</v>
      </c>
      <c r="E45" s="590">
        <f>7195184+2872027+225576</f>
        <v>10292787</v>
      </c>
      <c r="F45" s="590">
        <f t="shared" si="0"/>
        <v>814309</v>
      </c>
    </row>
    <row r="46" spans="1:6">
      <c r="F46" s="591">
        <f>SUM(F42:F45)</f>
        <v>20352744</v>
      </c>
    </row>
    <row r="47" spans="1:6">
      <c r="D47" s="6" t="s">
        <v>57</v>
      </c>
    </row>
  </sheetData>
  <mergeCells count="5">
    <mergeCell ref="B2:H2"/>
    <mergeCell ref="B3:H3"/>
    <mergeCell ref="B4:H4"/>
    <mergeCell ref="B5:H5"/>
    <mergeCell ref="B6:H6"/>
  </mergeCells>
  <printOptions horizontalCentered="1"/>
  <pageMargins left="0.7" right="0.7" top="0.75" bottom="0.75" header="0.3" footer="0.3"/>
  <pageSetup scale="82" orientation="portrait" r:id="rId1"/>
  <headerFooter scaleWithDoc="0" alignWithMargins="0">
    <oddHeader>&amp;RPage &amp;P of &amp;N</oddHeader>
    <oddFooter>&amp;LElectronic Tab Name:&amp;A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75"/>
  <sheetViews>
    <sheetView showGridLines="0" view="pageBreakPreview" zoomScale="60" zoomScaleNormal="100" workbookViewId="0">
      <selection activeCell="A3" sqref="A3:H3"/>
    </sheetView>
  </sheetViews>
  <sheetFormatPr defaultRowHeight="15.75"/>
  <cols>
    <col min="1" max="1" width="9.28515625" style="8" bestFit="1" customWidth="1"/>
    <col min="2" max="2" width="35.42578125" style="6" bestFit="1" customWidth="1"/>
    <col min="3" max="3" width="32.5703125" style="6" bestFit="1" customWidth="1"/>
    <col min="4" max="5" width="14" style="6" bestFit="1" customWidth="1"/>
    <col min="6" max="6" width="14.42578125" style="6" bestFit="1" customWidth="1"/>
    <col min="7" max="7" width="5.85546875" style="6" bestFit="1" customWidth="1"/>
    <col min="8" max="16384" width="9.140625" style="6"/>
  </cols>
  <sheetData>
    <row r="1" spans="1:7">
      <c r="B1" s="1066" t="s">
        <v>61</v>
      </c>
      <c r="C1" s="1066"/>
      <c r="D1" s="1066"/>
      <c r="E1" s="1066"/>
      <c r="F1" s="1066"/>
      <c r="G1" s="1066"/>
    </row>
    <row r="2" spans="1:7">
      <c r="B2" s="36"/>
      <c r="C2" s="36" t="s">
        <v>991</v>
      </c>
      <c r="D2" s="36"/>
      <c r="E2" s="36"/>
      <c r="F2" s="36"/>
      <c r="G2" s="36"/>
    </row>
    <row r="3" spans="1:7">
      <c r="B3" s="36"/>
      <c r="C3" s="36" t="s">
        <v>1704</v>
      </c>
      <c r="D3" s="36"/>
      <c r="E3" s="36"/>
      <c r="F3" s="36"/>
      <c r="G3" s="36"/>
    </row>
    <row r="4" spans="1:7">
      <c r="B4" s="1066" t="s">
        <v>84</v>
      </c>
      <c r="C4" s="1066"/>
      <c r="D4" s="1066"/>
      <c r="E4" s="1066"/>
      <c r="F4" s="1066"/>
      <c r="G4" s="1066"/>
    </row>
    <row r="5" spans="1:7">
      <c r="B5" s="1066" t="s">
        <v>985</v>
      </c>
      <c r="C5" s="1066"/>
      <c r="D5" s="1066"/>
      <c r="E5" s="1066"/>
      <c r="F5" s="1066"/>
      <c r="G5" s="1066"/>
    </row>
    <row r="6" spans="1:7">
      <c r="B6" s="39"/>
      <c r="C6" s="39"/>
      <c r="D6" s="39"/>
      <c r="E6" s="39"/>
      <c r="F6" s="39"/>
      <c r="G6" s="39"/>
    </row>
    <row r="7" spans="1:7">
      <c r="B7" s="33" t="s">
        <v>1731</v>
      </c>
      <c r="C7" s="33" t="s">
        <v>1729</v>
      </c>
      <c r="D7" s="33" t="s">
        <v>1730</v>
      </c>
      <c r="E7" s="33" t="s">
        <v>1733</v>
      </c>
      <c r="F7" s="33" t="s">
        <v>1734</v>
      </c>
      <c r="G7" s="2" t="s">
        <v>1743</v>
      </c>
    </row>
    <row r="8" spans="1:7">
      <c r="B8" s="568"/>
      <c r="C8" s="568"/>
      <c r="D8" s="568"/>
      <c r="E8" s="1067" t="s">
        <v>1066</v>
      </c>
      <c r="F8" s="568"/>
      <c r="G8" s="568"/>
    </row>
    <row r="9" spans="1:7">
      <c r="A9" s="15" t="s">
        <v>891</v>
      </c>
      <c r="B9" s="568"/>
      <c r="C9" s="568"/>
      <c r="D9" s="33" t="s">
        <v>1065</v>
      </c>
      <c r="E9" s="1068"/>
      <c r="F9" s="33" t="s">
        <v>1067</v>
      </c>
      <c r="G9" s="568"/>
    </row>
    <row r="10" spans="1:7">
      <c r="A10" s="8">
        <v>1</v>
      </c>
      <c r="B10" s="592" t="s">
        <v>1039</v>
      </c>
      <c r="C10" s="593" t="s">
        <v>1049</v>
      </c>
      <c r="D10" s="594">
        <v>0.25</v>
      </c>
      <c r="E10" s="594"/>
      <c r="F10" s="594">
        <v>0.25</v>
      </c>
      <c r="G10" s="592">
        <v>913</v>
      </c>
    </row>
    <row r="11" spans="1:7">
      <c r="A11" s="8">
        <v>2</v>
      </c>
      <c r="B11" s="592" t="s">
        <v>1040</v>
      </c>
      <c r="C11" s="593" t="s">
        <v>1050</v>
      </c>
      <c r="D11" s="594">
        <v>20</v>
      </c>
      <c r="E11" s="594"/>
      <c r="F11" s="594">
        <v>20</v>
      </c>
      <c r="G11" s="592">
        <v>913</v>
      </c>
    </row>
    <row r="12" spans="1:7">
      <c r="A12" s="8">
        <v>3</v>
      </c>
      <c r="B12" s="592" t="s">
        <v>1041</v>
      </c>
      <c r="C12" s="593" t="s">
        <v>1051</v>
      </c>
      <c r="D12" s="594">
        <v>250</v>
      </c>
      <c r="E12" s="594"/>
      <c r="F12" s="594"/>
      <c r="G12" s="592">
        <v>913</v>
      </c>
    </row>
    <row r="13" spans="1:7">
      <c r="A13" s="8">
        <v>4</v>
      </c>
      <c r="B13" s="592" t="s">
        <v>1042</v>
      </c>
      <c r="C13" s="593" t="s">
        <v>1052</v>
      </c>
      <c r="D13" s="594">
        <v>200</v>
      </c>
      <c r="E13" s="594"/>
      <c r="F13" s="594"/>
      <c r="G13" s="592">
        <v>913</v>
      </c>
    </row>
    <row r="14" spans="1:7">
      <c r="A14" s="8">
        <v>5</v>
      </c>
      <c r="B14" s="592" t="s">
        <v>1043</v>
      </c>
      <c r="C14" s="593" t="s">
        <v>1053</v>
      </c>
      <c r="D14" s="594">
        <v>1300</v>
      </c>
      <c r="E14" s="594">
        <v>978.51</v>
      </c>
      <c r="F14" s="594"/>
      <c r="G14" s="592">
        <v>913</v>
      </c>
    </row>
    <row r="15" spans="1:7">
      <c r="A15" s="8">
        <v>6</v>
      </c>
      <c r="B15" s="592" t="s">
        <v>1044</v>
      </c>
      <c r="C15" s="593" t="s">
        <v>1054</v>
      </c>
      <c r="D15" s="594">
        <v>9.3699999999999992</v>
      </c>
      <c r="E15" s="594">
        <v>7.05</v>
      </c>
      <c r="F15" s="594"/>
      <c r="G15" s="592">
        <v>913</v>
      </c>
    </row>
    <row r="16" spans="1:7">
      <c r="A16" s="8">
        <v>7</v>
      </c>
      <c r="B16" s="592" t="s">
        <v>1045</v>
      </c>
      <c r="C16" s="593" t="s">
        <v>1055</v>
      </c>
      <c r="D16" s="594">
        <v>1.1299999999999999</v>
      </c>
      <c r="E16" s="594">
        <v>0.85</v>
      </c>
      <c r="F16" s="594"/>
      <c r="G16" s="592">
        <v>913</v>
      </c>
    </row>
    <row r="17" spans="1:7">
      <c r="A17" s="8">
        <v>8</v>
      </c>
      <c r="B17" s="592" t="s">
        <v>1046</v>
      </c>
      <c r="C17" s="593" t="s">
        <v>1056</v>
      </c>
      <c r="D17" s="594">
        <v>30.6</v>
      </c>
      <c r="E17" s="594">
        <v>23.03</v>
      </c>
      <c r="F17" s="594"/>
      <c r="G17" s="592">
        <v>913</v>
      </c>
    </row>
    <row r="18" spans="1:7">
      <c r="A18" s="8">
        <v>9</v>
      </c>
      <c r="B18" s="592" t="s">
        <v>918</v>
      </c>
      <c r="C18" s="593" t="s">
        <v>1057</v>
      </c>
      <c r="D18" s="594">
        <v>875</v>
      </c>
      <c r="E18" s="594">
        <v>658.61</v>
      </c>
      <c r="F18" s="594"/>
      <c r="G18" s="592">
        <v>913</v>
      </c>
    </row>
    <row r="19" spans="1:7">
      <c r="A19" s="8">
        <v>10</v>
      </c>
      <c r="B19" s="592" t="s">
        <v>918</v>
      </c>
      <c r="C19" s="593" t="s">
        <v>1058</v>
      </c>
      <c r="D19" s="594">
        <v>537.5</v>
      </c>
      <c r="E19" s="594">
        <v>404.58</v>
      </c>
      <c r="F19" s="594"/>
      <c r="G19" s="592">
        <v>913</v>
      </c>
    </row>
    <row r="20" spans="1:7">
      <c r="A20" s="8">
        <v>11</v>
      </c>
      <c r="B20" s="592" t="s">
        <v>913</v>
      </c>
      <c r="C20" s="593" t="s">
        <v>1059</v>
      </c>
      <c r="D20" s="594">
        <v>800</v>
      </c>
      <c r="E20" s="594">
        <v>602.16</v>
      </c>
      <c r="F20" s="594"/>
      <c r="G20" s="592">
        <v>913</v>
      </c>
    </row>
    <row r="21" spans="1:7">
      <c r="A21" s="8">
        <v>12</v>
      </c>
      <c r="B21" s="592" t="s">
        <v>1047</v>
      </c>
      <c r="C21" s="593" t="s">
        <v>1060</v>
      </c>
      <c r="D21" s="594">
        <v>537.5</v>
      </c>
      <c r="E21" s="594">
        <v>404.58</v>
      </c>
      <c r="F21" s="594"/>
      <c r="G21" s="592">
        <v>913</v>
      </c>
    </row>
    <row r="22" spans="1:7">
      <c r="A22" s="8">
        <v>13</v>
      </c>
      <c r="B22" s="592" t="s">
        <v>1048</v>
      </c>
      <c r="C22" s="593" t="s">
        <v>1061</v>
      </c>
      <c r="D22" s="594">
        <v>13.93</v>
      </c>
      <c r="E22" s="594">
        <v>10.49</v>
      </c>
      <c r="F22" s="594"/>
      <c r="G22" s="592">
        <v>913</v>
      </c>
    </row>
    <row r="23" spans="1:7">
      <c r="A23" s="8">
        <v>14</v>
      </c>
      <c r="B23" s="592" t="s">
        <v>913</v>
      </c>
      <c r="C23" s="593" t="s">
        <v>1062</v>
      </c>
      <c r="D23" s="594">
        <v>800</v>
      </c>
      <c r="E23" s="594">
        <v>602.16</v>
      </c>
      <c r="F23" s="594"/>
      <c r="G23" s="592">
        <v>913</v>
      </c>
    </row>
    <row r="24" spans="1:7">
      <c r="A24" s="8">
        <v>15</v>
      </c>
      <c r="B24" s="592" t="s">
        <v>913</v>
      </c>
      <c r="C24" s="593" t="s">
        <v>1063</v>
      </c>
      <c r="D24" s="594">
        <v>800</v>
      </c>
      <c r="E24" s="594">
        <v>602.16</v>
      </c>
      <c r="F24" s="594"/>
      <c r="G24" s="592">
        <v>913</v>
      </c>
    </row>
    <row r="25" spans="1:7">
      <c r="A25" s="8">
        <v>16</v>
      </c>
      <c r="B25" s="592" t="s">
        <v>913</v>
      </c>
      <c r="C25" s="593" t="s">
        <v>1064</v>
      </c>
      <c r="D25" s="594">
        <v>800</v>
      </c>
      <c r="E25" s="594">
        <v>602.16</v>
      </c>
      <c r="F25" s="594"/>
      <c r="G25" s="592">
        <v>913</v>
      </c>
    </row>
    <row r="26" spans="1:7">
      <c r="A26" s="8">
        <v>17</v>
      </c>
      <c r="B26" s="592"/>
      <c r="C26" s="593"/>
      <c r="D26" s="594"/>
      <c r="E26" s="594"/>
      <c r="F26" s="594"/>
      <c r="G26" s="592"/>
    </row>
    <row r="27" spans="1:7">
      <c r="B27" s="568"/>
      <c r="C27" s="568"/>
      <c r="D27" s="568"/>
      <c r="E27" s="568"/>
      <c r="F27" s="568"/>
      <c r="G27" s="568"/>
    </row>
    <row r="28" spans="1:7">
      <c r="A28" s="595">
        <v>18</v>
      </c>
      <c r="B28" s="568"/>
      <c r="C28" s="568"/>
      <c r="D28" s="568"/>
      <c r="E28" s="596">
        <f>SUM(E10:E26)</f>
        <v>4896.3399999999992</v>
      </c>
      <c r="F28" s="596">
        <f>SUM(F10:F26)</f>
        <v>20.25</v>
      </c>
      <c r="G28" s="568"/>
    </row>
    <row r="29" spans="1:7">
      <c r="A29" s="595">
        <v>19</v>
      </c>
      <c r="B29" s="568" t="s">
        <v>919</v>
      </c>
      <c r="C29" s="568"/>
      <c r="D29" s="568"/>
      <c r="E29" s="568"/>
      <c r="F29" s="596">
        <f>+F28+E28</f>
        <v>4916.5899999999992</v>
      </c>
      <c r="G29" s="568"/>
    </row>
    <row r="30" spans="1:7">
      <c r="B30" s="568"/>
      <c r="C30" s="568"/>
      <c r="D30" s="568"/>
      <c r="E30" s="568"/>
      <c r="F30" s="568"/>
      <c r="G30" s="568"/>
    </row>
    <row r="32" spans="1:7">
      <c r="B32" s="33" t="s">
        <v>1731</v>
      </c>
      <c r="C32" s="33" t="s">
        <v>1729</v>
      </c>
      <c r="D32" s="33" t="s">
        <v>1730</v>
      </c>
      <c r="E32" s="33" t="s">
        <v>1733</v>
      </c>
      <c r="F32" s="33" t="s">
        <v>1734</v>
      </c>
      <c r="G32" s="2" t="s">
        <v>1743</v>
      </c>
    </row>
    <row r="33" spans="1:7">
      <c r="A33" s="15" t="s">
        <v>891</v>
      </c>
      <c r="D33" s="33" t="s">
        <v>1065</v>
      </c>
      <c r="E33" s="33" t="s">
        <v>1066</v>
      </c>
      <c r="F33" s="33" t="s">
        <v>1067</v>
      </c>
    </row>
    <row r="34" spans="1:7">
      <c r="A34" s="8">
        <v>20</v>
      </c>
      <c r="B34" s="592" t="s">
        <v>1068</v>
      </c>
      <c r="C34" s="592" t="s">
        <v>1095</v>
      </c>
      <c r="D34" s="594">
        <v>250</v>
      </c>
      <c r="E34" s="594"/>
      <c r="F34" s="594">
        <v>250</v>
      </c>
      <c r="G34" s="592">
        <v>930.1</v>
      </c>
    </row>
    <row r="35" spans="1:7">
      <c r="A35" s="8">
        <v>21</v>
      </c>
      <c r="B35" s="592" t="s">
        <v>1069</v>
      </c>
      <c r="C35" s="592" t="s">
        <v>1096</v>
      </c>
      <c r="D35" s="594">
        <v>5000</v>
      </c>
      <c r="E35" s="594"/>
      <c r="F35" s="594">
        <v>5000</v>
      </c>
      <c r="G35" s="592">
        <v>930.1</v>
      </c>
    </row>
    <row r="36" spans="1:7">
      <c r="A36" s="8">
        <v>22</v>
      </c>
      <c r="B36" s="592" t="s">
        <v>1070</v>
      </c>
      <c r="C36" s="592" t="s">
        <v>1097</v>
      </c>
      <c r="D36" s="594">
        <v>500</v>
      </c>
      <c r="E36" s="594"/>
      <c r="F36" s="594">
        <v>500</v>
      </c>
      <c r="G36" s="592">
        <v>930.1</v>
      </c>
    </row>
    <row r="37" spans="1:7">
      <c r="A37" s="8">
        <v>23</v>
      </c>
      <c r="B37" s="592" t="s">
        <v>914</v>
      </c>
      <c r="C37" s="592" t="s">
        <v>1098</v>
      </c>
      <c r="D37" s="594">
        <v>250</v>
      </c>
      <c r="E37" s="594"/>
      <c r="F37" s="594">
        <v>250</v>
      </c>
      <c r="G37" s="592">
        <v>930.1</v>
      </c>
    </row>
    <row r="38" spans="1:7">
      <c r="A38" s="8">
        <v>24</v>
      </c>
      <c r="B38" s="592" t="s">
        <v>908</v>
      </c>
      <c r="C38" s="592" t="s">
        <v>1099</v>
      </c>
      <c r="D38" s="594">
        <v>367</v>
      </c>
      <c r="E38" s="594"/>
      <c r="F38" s="594">
        <v>367</v>
      </c>
      <c r="G38" s="592">
        <v>930.1</v>
      </c>
    </row>
    <row r="39" spans="1:7">
      <c r="A39" s="8">
        <v>25</v>
      </c>
      <c r="B39" s="592" t="s">
        <v>915</v>
      </c>
      <c r="C39" s="592" t="s">
        <v>1100</v>
      </c>
      <c r="D39" s="594">
        <v>125</v>
      </c>
      <c r="E39" s="594"/>
      <c r="F39" s="594">
        <v>125</v>
      </c>
      <c r="G39" s="592">
        <v>930.1</v>
      </c>
    </row>
    <row r="40" spans="1:7">
      <c r="A40" s="8">
        <v>26</v>
      </c>
      <c r="B40" s="592" t="s">
        <v>1071</v>
      </c>
      <c r="C40" s="592" t="s">
        <v>1101</v>
      </c>
      <c r="D40" s="594">
        <v>250</v>
      </c>
      <c r="E40" s="594"/>
      <c r="F40" s="594">
        <v>250</v>
      </c>
      <c r="G40" s="592">
        <v>930.1</v>
      </c>
    </row>
    <row r="41" spans="1:7">
      <c r="A41" s="8">
        <v>27</v>
      </c>
      <c r="B41" s="592" t="s">
        <v>910</v>
      </c>
      <c r="C41" s="592" t="s">
        <v>1102</v>
      </c>
      <c r="D41" s="594">
        <v>135</v>
      </c>
      <c r="E41" s="594"/>
      <c r="F41" s="594">
        <v>135</v>
      </c>
      <c r="G41" s="592">
        <v>930.1</v>
      </c>
    </row>
    <row r="42" spans="1:7">
      <c r="A42" s="8">
        <v>28</v>
      </c>
      <c r="B42" s="592" t="s">
        <v>1072</v>
      </c>
      <c r="C42" s="592" t="s">
        <v>1103</v>
      </c>
      <c r="D42" s="594">
        <v>1518</v>
      </c>
      <c r="E42" s="594"/>
      <c r="F42" s="594">
        <v>1518</v>
      </c>
      <c r="G42" s="592">
        <v>930.1</v>
      </c>
    </row>
    <row r="43" spans="1:7">
      <c r="A43" s="8">
        <v>29</v>
      </c>
      <c r="B43" s="592" t="s">
        <v>1073</v>
      </c>
      <c r="C43" s="592" t="s">
        <v>1104</v>
      </c>
      <c r="D43" s="594">
        <v>71</v>
      </c>
      <c r="E43" s="594"/>
      <c r="F43" s="594"/>
      <c r="G43" s="592">
        <v>930.1</v>
      </c>
    </row>
    <row r="44" spans="1:7">
      <c r="A44" s="8">
        <v>30</v>
      </c>
      <c r="B44" s="592" t="s">
        <v>1073</v>
      </c>
      <c r="C44" s="592" t="s">
        <v>1105</v>
      </c>
      <c r="D44" s="594">
        <v>71</v>
      </c>
      <c r="E44" s="594"/>
      <c r="F44" s="594"/>
      <c r="G44" s="592">
        <v>930.1</v>
      </c>
    </row>
    <row r="45" spans="1:7">
      <c r="A45" s="8">
        <v>31</v>
      </c>
      <c r="B45" s="592" t="s">
        <v>1073</v>
      </c>
      <c r="C45" s="592" t="s">
        <v>1106</v>
      </c>
      <c r="D45" s="594">
        <v>71</v>
      </c>
      <c r="E45" s="594"/>
      <c r="F45" s="594"/>
      <c r="G45" s="592">
        <v>930.1</v>
      </c>
    </row>
    <row r="46" spans="1:7">
      <c r="A46" s="8">
        <v>32</v>
      </c>
      <c r="B46" s="592" t="s">
        <v>1039</v>
      </c>
      <c r="C46" s="592" t="s">
        <v>1107</v>
      </c>
      <c r="D46" s="594">
        <v>13.9</v>
      </c>
      <c r="E46" s="594"/>
      <c r="F46" s="594"/>
      <c r="G46" s="592">
        <v>930.1</v>
      </c>
    </row>
    <row r="47" spans="1:7">
      <c r="A47" s="8">
        <v>33</v>
      </c>
      <c r="B47" s="592" t="s">
        <v>1074</v>
      </c>
      <c r="C47" s="592" t="s">
        <v>1108</v>
      </c>
      <c r="D47" s="594">
        <v>135</v>
      </c>
      <c r="E47" s="594"/>
      <c r="F47" s="594"/>
      <c r="G47" s="592">
        <v>930.1</v>
      </c>
    </row>
    <row r="48" spans="1:7">
      <c r="A48" s="8">
        <v>34</v>
      </c>
      <c r="B48" s="592" t="s">
        <v>1075</v>
      </c>
      <c r="C48" s="592" t="s">
        <v>1109</v>
      </c>
      <c r="D48" s="594">
        <v>17142.41</v>
      </c>
      <c r="E48" s="594">
        <v>12903.09</v>
      </c>
      <c r="F48" s="594"/>
      <c r="G48" s="592">
        <v>930.1</v>
      </c>
    </row>
    <row r="49" spans="1:7">
      <c r="A49" s="8">
        <v>35</v>
      </c>
      <c r="B49" s="592" t="s">
        <v>1076</v>
      </c>
      <c r="C49" s="592" t="s">
        <v>916</v>
      </c>
      <c r="D49" s="594">
        <v>883.44</v>
      </c>
      <c r="E49" s="594">
        <v>664.97</v>
      </c>
      <c r="F49" s="594"/>
      <c r="G49" s="592">
        <v>930.1</v>
      </c>
    </row>
    <row r="50" spans="1:7">
      <c r="A50" s="8">
        <v>36</v>
      </c>
      <c r="B50" s="592" t="s">
        <v>1077</v>
      </c>
      <c r="C50" s="592" t="s">
        <v>916</v>
      </c>
      <c r="D50" s="594">
        <v>263.25</v>
      </c>
      <c r="E50" s="594">
        <v>198.15</v>
      </c>
      <c r="F50" s="594"/>
      <c r="G50" s="592">
        <v>930.1</v>
      </c>
    </row>
    <row r="51" spans="1:7">
      <c r="A51" s="8">
        <v>37</v>
      </c>
      <c r="B51" s="592" t="s">
        <v>1078</v>
      </c>
      <c r="C51" s="592" t="s">
        <v>916</v>
      </c>
      <c r="D51" s="594">
        <v>1761.06</v>
      </c>
      <c r="E51" s="594">
        <v>1325.55</v>
      </c>
      <c r="F51" s="594"/>
      <c r="G51" s="592">
        <v>930.1</v>
      </c>
    </row>
    <row r="52" spans="1:7">
      <c r="A52" s="8">
        <v>38</v>
      </c>
      <c r="B52" s="592" t="s">
        <v>1079</v>
      </c>
      <c r="C52" s="592" t="s">
        <v>916</v>
      </c>
      <c r="D52" s="594">
        <v>1159.3900000000001</v>
      </c>
      <c r="E52" s="594">
        <v>872.67</v>
      </c>
      <c r="F52" s="594"/>
      <c r="G52" s="592">
        <v>930.1</v>
      </c>
    </row>
    <row r="53" spans="1:7">
      <c r="A53" s="8">
        <v>39</v>
      </c>
      <c r="B53" s="592" t="s">
        <v>1080</v>
      </c>
      <c r="C53" s="592" t="s">
        <v>1110</v>
      </c>
      <c r="D53" s="594">
        <v>136.9</v>
      </c>
      <c r="E53" s="594">
        <v>103.04</v>
      </c>
      <c r="F53" s="594"/>
      <c r="G53" s="592">
        <v>930.1</v>
      </c>
    </row>
    <row r="54" spans="1:7">
      <c r="A54" s="8">
        <v>40</v>
      </c>
      <c r="B54" s="592" t="s">
        <v>1081</v>
      </c>
      <c r="C54" s="592" t="s">
        <v>1110</v>
      </c>
      <c r="D54" s="594">
        <v>61.15</v>
      </c>
      <c r="E54" s="594">
        <v>46.03</v>
      </c>
      <c r="F54" s="594"/>
      <c r="G54" s="592">
        <v>930.1</v>
      </c>
    </row>
    <row r="55" spans="1:7">
      <c r="A55" s="8">
        <v>41</v>
      </c>
      <c r="B55" s="592" t="s">
        <v>1082</v>
      </c>
      <c r="C55" s="592" t="s">
        <v>916</v>
      </c>
      <c r="D55" s="594">
        <v>980.15</v>
      </c>
      <c r="E55" s="594">
        <v>737.76</v>
      </c>
      <c r="F55" s="594"/>
      <c r="G55" s="592">
        <v>930.1</v>
      </c>
    </row>
    <row r="56" spans="1:7">
      <c r="A56" s="8">
        <v>42</v>
      </c>
      <c r="B56" s="592" t="s">
        <v>1083</v>
      </c>
      <c r="C56" s="592" t="s">
        <v>916</v>
      </c>
      <c r="D56" s="594">
        <v>471.98</v>
      </c>
      <c r="E56" s="594">
        <v>355.26</v>
      </c>
      <c r="F56" s="594"/>
      <c r="G56" s="592">
        <v>930.1</v>
      </c>
    </row>
    <row r="57" spans="1:7">
      <c r="A57" s="8">
        <v>43</v>
      </c>
      <c r="B57" s="592" t="s">
        <v>1084</v>
      </c>
      <c r="C57" s="592" t="s">
        <v>916</v>
      </c>
      <c r="D57" s="594">
        <v>227.74</v>
      </c>
      <c r="E57" s="594">
        <v>171.42</v>
      </c>
      <c r="F57" s="594"/>
      <c r="G57" s="592">
        <v>930.1</v>
      </c>
    </row>
    <row r="58" spans="1:7">
      <c r="A58" s="8">
        <v>44</v>
      </c>
      <c r="B58" s="592" t="s">
        <v>1085</v>
      </c>
      <c r="C58" s="592" t="s">
        <v>916</v>
      </c>
      <c r="D58" s="594">
        <v>423</v>
      </c>
      <c r="E58" s="594">
        <v>318.39</v>
      </c>
      <c r="F58" s="594"/>
      <c r="G58" s="592">
        <v>930.1</v>
      </c>
    </row>
    <row r="59" spans="1:7">
      <c r="A59" s="8">
        <v>45</v>
      </c>
      <c r="B59" s="592" t="s">
        <v>1086</v>
      </c>
      <c r="C59" s="592" t="s">
        <v>916</v>
      </c>
      <c r="D59" s="594">
        <v>1327.52</v>
      </c>
      <c r="E59" s="594">
        <v>999.22</v>
      </c>
      <c r="F59" s="594"/>
      <c r="G59" s="592">
        <v>930.1</v>
      </c>
    </row>
    <row r="60" spans="1:7">
      <c r="A60" s="8">
        <v>46</v>
      </c>
      <c r="B60" s="592" t="s">
        <v>1087</v>
      </c>
      <c r="C60" s="592" t="s">
        <v>916</v>
      </c>
      <c r="D60" s="594">
        <v>1192.3699999999999</v>
      </c>
      <c r="E60" s="594">
        <v>897.5</v>
      </c>
      <c r="F60" s="594"/>
      <c r="G60" s="592">
        <v>930.1</v>
      </c>
    </row>
    <row r="61" spans="1:7">
      <c r="A61" s="8">
        <v>47</v>
      </c>
      <c r="B61" s="592" t="s">
        <v>1088</v>
      </c>
      <c r="C61" s="592" t="s">
        <v>916</v>
      </c>
      <c r="D61" s="594">
        <v>4898.2</v>
      </c>
      <c r="E61" s="594">
        <v>3686.88</v>
      </c>
      <c r="F61" s="594"/>
      <c r="G61" s="592">
        <v>930.1</v>
      </c>
    </row>
    <row r="62" spans="1:7">
      <c r="A62" s="8">
        <v>48</v>
      </c>
      <c r="B62" s="592" t="s">
        <v>1089</v>
      </c>
      <c r="C62" s="592" t="s">
        <v>916</v>
      </c>
      <c r="D62" s="594">
        <v>6137.3</v>
      </c>
      <c r="E62" s="594">
        <v>4619.55</v>
      </c>
      <c r="F62" s="594"/>
      <c r="G62" s="592">
        <v>930.1</v>
      </c>
    </row>
    <row r="63" spans="1:7">
      <c r="A63" s="8">
        <v>49</v>
      </c>
      <c r="B63" s="592" t="s">
        <v>917</v>
      </c>
      <c r="C63" s="592">
        <v>6540</v>
      </c>
      <c r="D63" s="594">
        <v>13875</v>
      </c>
      <c r="E63" s="594">
        <v>10443.709999999999</v>
      </c>
      <c r="F63" s="594"/>
      <c r="G63" s="592">
        <v>930.1</v>
      </c>
    </row>
    <row r="64" spans="1:7">
      <c r="A64" s="8">
        <v>50</v>
      </c>
      <c r="B64" s="592" t="s">
        <v>917</v>
      </c>
      <c r="C64" s="592" t="s">
        <v>1111</v>
      </c>
      <c r="D64" s="594">
        <v>500</v>
      </c>
      <c r="E64" s="594">
        <v>376.35</v>
      </c>
      <c r="F64" s="594"/>
      <c r="G64" s="592">
        <v>930.1</v>
      </c>
    </row>
    <row r="65" spans="1:7">
      <c r="A65" s="8">
        <v>51</v>
      </c>
      <c r="B65" s="592" t="s">
        <v>912</v>
      </c>
      <c r="C65" s="592" t="s">
        <v>1112</v>
      </c>
      <c r="D65" s="594">
        <v>1500</v>
      </c>
      <c r="E65" s="594">
        <v>1129.05</v>
      </c>
      <c r="F65" s="594"/>
      <c r="G65" s="592">
        <v>930.1</v>
      </c>
    </row>
    <row r="66" spans="1:7">
      <c r="A66" s="8">
        <v>52</v>
      </c>
      <c r="B66" s="592" t="s">
        <v>1090</v>
      </c>
      <c r="C66" s="592" t="s">
        <v>1113</v>
      </c>
      <c r="D66" s="594">
        <v>109.67</v>
      </c>
      <c r="E66" s="594">
        <v>82.55</v>
      </c>
      <c r="F66" s="594"/>
      <c r="G66" s="592">
        <v>930.1</v>
      </c>
    </row>
    <row r="67" spans="1:7">
      <c r="A67" s="8">
        <v>53</v>
      </c>
      <c r="B67" s="592" t="s">
        <v>1091</v>
      </c>
      <c r="C67" s="592" t="s">
        <v>1114</v>
      </c>
      <c r="D67" s="594">
        <v>120.85</v>
      </c>
      <c r="E67" s="594">
        <v>90.96</v>
      </c>
      <c r="F67" s="594"/>
      <c r="G67" s="592">
        <v>930.1</v>
      </c>
    </row>
    <row r="68" spans="1:7">
      <c r="A68" s="8">
        <v>54</v>
      </c>
      <c r="B68" s="592" t="s">
        <v>1092</v>
      </c>
      <c r="C68" s="592" t="s">
        <v>909</v>
      </c>
      <c r="D68" s="594">
        <v>650</v>
      </c>
      <c r="E68" s="594">
        <v>489.26</v>
      </c>
      <c r="F68" s="594"/>
      <c r="G68" s="592">
        <v>930.1</v>
      </c>
    </row>
    <row r="69" spans="1:7">
      <c r="A69" s="8">
        <v>55</v>
      </c>
      <c r="B69" s="592" t="s">
        <v>1093</v>
      </c>
      <c r="C69" s="592" t="s">
        <v>1115</v>
      </c>
      <c r="D69" s="594">
        <v>42.5</v>
      </c>
      <c r="E69" s="594">
        <v>31.99</v>
      </c>
      <c r="F69" s="594"/>
      <c r="G69" s="592">
        <v>930.1</v>
      </c>
    </row>
    <row r="70" spans="1:7">
      <c r="A70" s="8">
        <v>56</v>
      </c>
      <c r="B70" s="592" t="s">
        <v>1094</v>
      </c>
      <c r="C70" s="592" t="s">
        <v>911</v>
      </c>
      <c r="D70" s="594">
        <v>1133.3399999999999</v>
      </c>
      <c r="E70" s="594">
        <v>853.07</v>
      </c>
      <c r="F70" s="594"/>
      <c r="G70" s="592">
        <v>930.1</v>
      </c>
    </row>
    <row r="71" spans="1:7">
      <c r="A71" s="8">
        <v>57</v>
      </c>
      <c r="B71" s="592" t="s">
        <v>1094</v>
      </c>
      <c r="C71" s="592" t="s">
        <v>1116</v>
      </c>
      <c r="D71" s="594">
        <v>12</v>
      </c>
      <c r="E71" s="594">
        <v>9.0299999999999994</v>
      </c>
      <c r="F71" s="594"/>
      <c r="G71" s="592">
        <v>930.1</v>
      </c>
    </row>
    <row r="72" spans="1:7">
      <c r="A72" s="8">
        <v>58</v>
      </c>
      <c r="B72" s="592"/>
      <c r="C72" s="592"/>
      <c r="D72" s="594"/>
      <c r="E72" s="594"/>
      <c r="F72" s="594"/>
      <c r="G72" s="592"/>
    </row>
    <row r="74" spans="1:7">
      <c r="A74" s="595">
        <v>59</v>
      </c>
      <c r="E74" s="91">
        <f>SUM(E34:E72)</f>
        <v>41405.449999999997</v>
      </c>
      <c r="F74" s="91">
        <f>SUM(F34:F72)</f>
        <v>8395</v>
      </c>
    </row>
    <row r="75" spans="1:7">
      <c r="A75" s="595">
        <v>60</v>
      </c>
      <c r="B75" s="6" t="s">
        <v>920</v>
      </c>
      <c r="F75" s="91">
        <f>+E74+F74</f>
        <v>49800.45</v>
      </c>
    </row>
  </sheetData>
  <mergeCells count="4">
    <mergeCell ref="B1:G1"/>
    <mergeCell ref="B4:G4"/>
    <mergeCell ref="B5:G5"/>
    <mergeCell ref="E8:E9"/>
  </mergeCells>
  <printOptions horizontalCentered="1"/>
  <pageMargins left="0.7" right="0.7" top="0.75" bottom="0.75" header="0.3" footer="0.3"/>
  <pageSetup scale="69" orientation="portrait" r:id="rId1"/>
  <headerFooter scaleWithDoc="0" alignWithMargins="0">
    <oddHeader>&amp;RPage &amp;P of &amp;N</oddHeader>
    <oddFooter>&amp;LElectronic Tab Name:&amp;A</oddFooter>
  </headerFooter>
  <rowBreaks count="1" manualBreakCount="1">
    <brk id="3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58"/>
  <sheetViews>
    <sheetView view="pageBreakPreview" zoomScale="60" zoomScaleNormal="85" workbookViewId="0">
      <selection activeCell="A3" sqref="A3:H3"/>
    </sheetView>
  </sheetViews>
  <sheetFormatPr defaultRowHeight="15.75"/>
  <cols>
    <col min="1" max="1" width="9.28515625" style="6" bestFit="1" customWidth="1"/>
    <col min="2" max="2" width="9.42578125" style="6" customWidth="1"/>
    <col min="3" max="3" width="27.28515625" style="6" customWidth="1"/>
    <col min="4" max="4" width="16.5703125" style="6" bestFit="1" customWidth="1"/>
    <col min="5" max="5" width="3" style="6" customWidth="1"/>
    <col min="6" max="6" width="16.7109375" style="6" bestFit="1" customWidth="1"/>
    <col min="7" max="7" width="3.140625" style="6" customWidth="1"/>
    <col min="8" max="8" width="23.5703125" style="6" customWidth="1"/>
    <col min="9" max="9" width="17.7109375" style="6" customWidth="1"/>
    <col min="10" max="10" width="19" style="6" bestFit="1" customWidth="1"/>
    <col min="11" max="11" width="3" style="6" customWidth="1"/>
    <col min="12" max="12" width="17.28515625" style="6" bestFit="1" customWidth="1"/>
    <col min="13" max="13" width="19.42578125" style="6" bestFit="1" customWidth="1"/>
    <col min="14" max="14" width="9.140625" style="6"/>
    <col min="15" max="15" width="11.28515625" style="6" bestFit="1" customWidth="1"/>
    <col min="16" max="16" width="3.85546875" style="6" customWidth="1"/>
    <col min="17" max="17" width="9.140625" style="6"/>
    <col min="18" max="18" width="4.5703125" style="6" customWidth="1"/>
    <col min="19" max="19" width="10" style="6" bestFit="1" customWidth="1"/>
    <col min="20" max="20" width="9.140625" style="6"/>
    <col min="21" max="21" width="16.28515625" style="6" bestFit="1" customWidth="1"/>
    <col min="22" max="22" width="9.140625" style="6"/>
    <col min="23" max="23" width="19.42578125" style="6" bestFit="1" customWidth="1"/>
    <col min="24" max="16384" width="9.140625" style="6"/>
  </cols>
  <sheetData>
    <row r="1" spans="1:13">
      <c r="B1" s="1032"/>
      <c r="C1" s="1032"/>
      <c r="D1" s="1032"/>
      <c r="E1" s="1032"/>
      <c r="F1" s="1032"/>
      <c r="G1" s="1032"/>
      <c r="H1" s="1032"/>
    </row>
    <row r="2" spans="1:13">
      <c r="B2" s="1025" t="s">
        <v>61</v>
      </c>
      <c r="C2" s="1025"/>
      <c r="D2" s="1025"/>
      <c r="E2" s="1025"/>
      <c r="F2" s="1025"/>
      <c r="G2" s="1025"/>
      <c r="H2" s="1025"/>
      <c r="I2" s="1025"/>
      <c r="J2" s="1025"/>
      <c r="K2" s="1025"/>
      <c r="L2" s="1025"/>
      <c r="M2" s="1025"/>
    </row>
    <row r="3" spans="1:13">
      <c r="B3" s="1025" t="s">
        <v>1690</v>
      </c>
      <c r="C3" s="1025"/>
      <c r="D3" s="1025"/>
      <c r="E3" s="1025"/>
      <c r="F3" s="1025"/>
      <c r="G3" s="1025"/>
      <c r="H3" s="1025"/>
      <c r="I3" s="1025"/>
      <c r="J3" s="1025"/>
      <c r="K3" s="1025"/>
      <c r="L3" s="1025"/>
      <c r="M3" s="1025"/>
    </row>
    <row r="4" spans="1:13">
      <c r="B4" s="1025" t="s">
        <v>1705</v>
      </c>
      <c r="C4" s="1025"/>
      <c r="D4" s="1025"/>
      <c r="E4" s="1025"/>
      <c r="F4" s="1025"/>
      <c r="G4" s="1025"/>
      <c r="H4" s="1025"/>
      <c r="I4" s="1025"/>
      <c r="J4" s="1025"/>
      <c r="K4" s="1025"/>
      <c r="L4" s="1025"/>
      <c r="M4" s="1025"/>
    </row>
    <row r="5" spans="1:13">
      <c r="B5" s="1025" t="s">
        <v>1716</v>
      </c>
      <c r="C5" s="1025"/>
      <c r="D5" s="1025"/>
      <c r="E5" s="1025"/>
      <c r="F5" s="1025"/>
      <c r="G5" s="1025"/>
      <c r="H5" s="1025"/>
      <c r="I5" s="1025"/>
      <c r="J5" s="1025"/>
      <c r="K5" s="1025"/>
      <c r="L5" s="1025"/>
      <c r="M5" s="1025"/>
    </row>
    <row r="6" spans="1:13">
      <c r="B6" s="1025" t="s">
        <v>985</v>
      </c>
      <c r="C6" s="1025"/>
      <c r="D6" s="1025"/>
      <c r="E6" s="1025"/>
      <c r="F6" s="1025"/>
      <c r="G6" s="1025"/>
      <c r="H6" s="1025"/>
      <c r="I6" s="1025"/>
      <c r="J6" s="1025"/>
      <c r="K6" s="1025"/>
      <c r="L6" s="1025"/>
      <c r="M6" s="1025"/>
    </row>
    <row r="7" spans="1:13">
      <c r="D7" s="37"/>
    </row>
    <row r="8" spans="1:13" s="8" customFormat="1">
      <c r="B8" s="8" t="s">
        <v>1731</v>
      </c>
      <c r="C8" s="8" t="s">
        <v>1729</v>
      </c>
      <c r="D8" s="8" t="s">
        <v>1730</v>
      </c>
      <c r="F8" s="8" t="s">
        <v>1733</v>
      </c>
      <c r="H8" s="8" t="s">
        <v>1734</v>
      </c>
      <c r="I8" s="8" t="s">
        <v>1743</v>
      </c>
      <c r="J8" s="597" t="s">
        <v>1744</v>
      </c>
      <c r="L8" s="8" t="s">
        <v>1745</v>
      </c>
      <c r="M8" s="8" t="s">
        <v>1746</v>
      </c>
    </row>
    <row r="9" spans="1:13">
      <c r="A9" s="598" t="s">
        <v>1180</v>
      </c>
      <c r="D9" s="37"/>
    </row>
    <row r="10" spans="1:13">
      <c r="A10" s="598"/>
      <c r="D10" s="8" t="s">
        <v>1139</v>
      </c>
    </row>
    <row r="11" spans="1:13">
      <c r="A11" s="598"/>
      <c r="D11" s="8" t="s">
        <v>1140</v>
      </c>
      <c r="F11" s="8" t="s">
        <v>897</v>
      </c>
      <c r="H11" s="599" t="s">
        <v>897</v>
      </c>
    </row>
    <row r="12" spans="1:13">
      <c r="A12" s="15" t="s">
        <v>891</v>
      </c>
      <c r="D12" s="32" t="s">
        <v>892</v>
      </c>
      <c r="F12" s="8" t="s">
        <v>1366</v>
      </c>
      <c r="H12" s="599" t="s">
        <v>969</v>
      </c>
    </row>
    <row r="13" spans="1:13">
      <c r="A13" s="8">
        <v>1</v>
      </c>
      <c r="B13" s="8">
        <v>503</v>
      </c>
      <c r="C13" s="6" t="s">
        <v>2075</v>
      </c>
      <c r="D13" s="600">
        <v>120189407</v>
      </c>
      <c r="F13" s="132">
        <v>0.49569000000000002</v>
      </c>
      <c r="H13" s="601">
        <f>+D13*F13</f>
        <v>59576687.155830003</v>
      </c>
    </row>
    <row r="14" spans="1:13">
      <c r="A14" s="8"/>
      <c r="B14" s="8"/>
      <c r="D14" s="600"/>
      <c r="F14" s="132"/>
      <c r="H14" s="601"/>
    </row>
    <row r="15" spans="1:13">
      <c r="A15" s="8">
        <v>2</v>
      </c>
      <c r="B15" s="8">
        <v>504</v>
      </c>
      <c r="C15" s="6" t="s">
        <v>2076</v>
      </c>
      <c r="D15" s="600">
        <v>81344242</v>
      </c>
      <c r="F15" s="132">
        <v>0.49303999999999998</v>
      </c>
      <c r="H15" s="601">
        <f>+D15*F15</f>
        <v>40105965.075679995</v>
      </c>
    </row>
    <row r="16" spans="1:13">
      <c r="A16" s="8"/>
      <c r="B16" s="8"/>
      <c r="D16" s="600"/>
      <c r="F16" s="132"/>
      <c r="H16" s="601"/>
    </row>
    <row r="17" spans="1:13">
      <c r="A17" s="8">
        <v>3</v>
      </c>
      <c r="B17" s="8">
        <v>505</v>
      </c>
      <c r="C17" s="6" t="s">
        <v>2077</v>
      </c>
      <c r="D17" s="600">
        <v>11417671</v>
      </c>
      <c r="F17" s="132">
        <v>0.47993000000000002</v>
      </c>
      <c r="H17" s="601">
        <f>+D17*F17</f>
        <v>5479682.8430300001</v>
      </c>
    </row>
    <row r="18" spans="1:13">
      <c r="A18" s="8"/>
      <c r="B18" s="8"/>
      <c r="D18" s="600"/>
      <c r="F18" s="132"/>
      <c r="H18" s="601"/>
    </row>
    <row r="19" spans="1:13">
      <c r="A19" s="8">
        <v>4</v>
      </c>
      <c r="B19" s="8">
        <v>511</v>
      </c>
      <c r="C19" s="6" t="s">
        <v>2078</v>
      </c>
      <c r="D19" s="600">
        <v>11107096</v>
      </c>
      <c r="F19" s="132">
        <v>0.47993000000000002</v>
      </c>
      <c r="H19" s="601">
        <f>+D19*F19</f>
        <v>5330628.5832799999</v>
      </c>
    </row>
    <row r="20" spans="1:13">
      <c r="A20" s="8"/>
      <c r="B20" s="8"/>
      <c r="D20" s="600"/>
      <c r="F20" s="132"/>
      <c r="H20" s="601"/>
    </row>
    <row r="21" spans="1:13">
      <c r="A21" s="8">
        <v>5</v>
      </c>
      <c r="B21" s="8">
        <v>570</v>
      </c>
      <c r="C21" s="6" t="s">
        <v>2079</v>
      </c>
      <c r="D21" s="600">
        <v>3848935</v>
      </c>
      <c r="F21" s="132">
        <v>0.46687000000000001</v>
      </c>
      <c r="H21" s="602">
        <f>+D21*F21</f>
        <v>1796952.28345</v>
      </c>
    </row>
    <row r="22" spans="1:13">
      <c r="A22" s="8"/>
      <c r="B22" s="8"/>
      <c r="D22" s="37"/>
      <c r="H22" s="247"/>
    </row>
    <row r="23" spans="1:13">
      <c r="A23" s="8">
        <v>6</v>
      </c>
      <c r="B23" s="6" t="s">
        <v>2006</v>
      </c>
      <c r="D23" s="37"/>
      <c r="H23" s="247">
        <f>SUM(H13:H22)</f>
        <v>112289915.94126999</v>
      </c>
    </row>
    <row r="24" spans="1:13">
      <c r="A24" s="8"/>
      <c r="G24" s="603"/>
      <c r="H24" s="603"/>
      <c r="I24" s="603"/>
    </row>
    <row r="25" spans="1:13">
      <c r="A25" s="8"/>
      <c r="B25" s="6" t="s">
        <v>1142</v>
      </c>
      <c r="G25" s="603"/>
      <c r="H25" s="603"/>
      <c r="I25" s="603"/>
      <c r="M25" s="597" t="s">
        <v>969</v>
      </c>
    </row>
    <row r="26" spans="1:13">
      <c r="A26" s="8">
        <v>7</v>
      </c>
      <c r="C26" s="6" t="s">
        <v>2069</v>
      </c>
      <c r="G26" s="603"/>
      <c r="H26" s="603"/>
      <c r="I26" s="603"/>
      <c r="J26" s="90">
        <v>110133416.64</v>
      </c>
      <c r="M26" s="597" t="s">
        <v>63</v>
      </c>
    </row>
    <row r="27" spans="1:13">
      <c r="A27" s="8">
        <v>8</v>
      </c>
      <c r="C27" s="6" t="s">
        <v>2070</v>
      </c>
      <c r="G27" s="603"/>
      <c r="H27" s="603"/>
      <c r="I27" s="603"/>
      <c r="J27" s="90">
        <f>+'Weather Normalization'!F21-'Weather Normalization'!H21</f>
        <v>10051636.126770001</v>
      </c>
      <c r="M27" s="247"/>
    </row>
    <row r="28" spans="1:13">
      <c r="A28" s="8">
        <v>9</v>
      </c>
      <c r="C28" s="6" t="s">
        <v>2007</v>
      </c>
      <c r="G28" s="603"/>
      <c r="I28" s="604" t="s">
        <v>15</v>
      </c>
      <c r="J28" s="90">
        <v>488031.55000002589</v>
      </c>
      <c r="L28" s="247">
        <f>+J28+J27+J26</f>
        <v>120673084.31677003</v>
      </c>
      <c r="M28" s="605">
        <f>+H23-L28</f>
        <v>-8383168.3755000383</v>
      </c>
    </row>
    <row r="29" spans="1:13">
      <c r="A29" s="8">
        <v>10</v>
      </c>
      <c r="C29" s="6" t="s">
        <v>2080</v>
      </c>
      <c r="G29" s="603"/>
      <c r="I29" s="604" t="s">
        <v>1602</v>
      </c>
      <c r="J29" s="90">
        <v>346008.79999999795</v>
      </c>
      <c r="L29" s="247">
        <f>J29</f>
        <v>346008.79999999795</v>
      </c>
      <c r="M29" s="606">
        <f>-L29</f>
        <v>-346008.79999999795</v>
      </c>
    </row>
    <row r="30" spans="1:13">
      <c r="A30" s="598" t="s">
        <v>1179</v>
      </c>
      <c r="G30" s="603"/>
      <c r="H30" s="603"/>
      <c r="I30" s="603"/>
      <c r="J30" s="90"/>
      <c r="L30" s="247"/>
      <c r="M30" s="247"/>
    </row>
    <row r="32" spans="1:13">
      <c r="B32" s="8" t="s">
        <v>1136</v>
      </c>
      <c r="C32" s="8"/>
      <c r="D32" s="8" t="s">
        <v>1139</v>
      </c>
      <c r="E32" s="8"/>
      <c r="F32" s="8" t="s">
        <v>1137</v>
      </c>
      <c r="G32" s="8"/>
      <c r="H32" s="8" t="s">
        <v>1138</v>
      </c>
      <c r="I32" s="8"/>
      <c r="J32" s="8" t="s">
        <v>59</v>
      </c>
      <c r="K32" s="8"/>
      <c r="L32" s="8" t="s">
        <v>984</v>
      </c>
    </row>
    <row r="33" spans="1:13">
      <c r="B33" s="8"/>
      <c r="D33" s="8" t="s">
        <v>1140</v>
      </c>
      <c r="F33" s="8" t="s">
        <v>1141</v>
      </c>
      <c r="G33" s="8"/>
      <c r="H33" s="8" t="s">
        <v>1141</v>
      </c>
      <c r="J33" s="8" t="s">
        <v>2081</v>
      </c>
    </row>
    <row r="34" spans="1:13">
      <c r="B34" s="8"/>
      <c r="D34" s="8" t="s">
        <v>892</v>
      </c>
      <c r="J34" s="8" t="s">
        <v>2082</v>
      </c>
    </row>
    <row r="35" spans="1:13">
      <c r="A35" s="15" t="s">
        <v>891</v>
      </c>
      <c r="B35" s="8"/>
      <c r="D35" s="37"/>
      <c r="L35" s="247"/>
    </row>
    <row r="36" spans="1:13">
      <c r="A36" s="8">
        <v>11</v>
      </c>
      <c r="B36" s="8">
        <v>503</v>
      </c>
      <c r="D36" s="600">
        <v>120189407</v>
      </c>
      <c r="F36" s="132">
        <v>0.30640000000000001</v>
      </c>
      <c r="H36" s="6">
        <v>0.16864000000000001</v>
      </c>
      <c r="J36" s="132">
        <f>+F36+H36</f>
        <v>0.47504000000000002</v>
      </c>
      <c r="L36" s="601">
        <f>+D36*J36</f>
        <v>57094775.901280001</v>
      </c>
    </row>
    <row r="37" spans="1:13">
      <c r="A37" s="8"/>
      <c r="B37" s="8"/>
      <c r="D37" s="600"/>
      <c r="F37" s="132"/>
      <c r="J37" s="132"/>
      <c r="L37" s="601"/>
    </row>
    <row r="38" spans="1:13">
      <c r="A38" s="8">
        <v>12</v>
      </c>
      <c r="B38" s="8">
        <v>504</v>
      </c>
      <c r="D38" s="600">
        <v>81344242</v>
      </c>
      <c r="F38" s="132">
        <v>0.30640000000000001</v>
      </c>
      <c r="H38" s="132">
        <v>0.1661</v>
      </c>
      <c r="J38" s="132">
        <f t="shared" ref="J38:J44" si="0">+F38+H38</f>
        <v>0.47250000000000003</v>
      </c>
      <c r="L38" s="601">
        <f t="shared" ref="L38:L44" si="1">+D38*J38</f>
        <v>38435154.344999999</v>
      </c>
    </row>
    <row r="39" spans="1:13">
      <c r="A39" s="8"/>
      <c r="B39" s="8"/>
      <c r="D39" s="600"/>
      <c r="F39" s="132"/>
      <c r="J39" s="132"/>
      <c r="L39" s="601"/>
    </row>
    <row r="40" spans="1:13">
      <c r="A40" s="8">
        <v>13</v>
      </c>
      <c r="B40" s="8">
        <v>505</v>
      </c>
      <c r="D40" s="600">
        <v>11417671</v>
      </c>
      <c r="F40" s="132">
        <v>0.30640000000000001</v>
      </c>
      <c r="H40" s="6">
        <v>0.15354999999999999</v>
      </c>
      <c r="J40" s="132">
        <f t="shared" si="0"/>
        <v>0.45994999999999997</v>
      </c>
      <c r="L40" s="601">
        <f t="shared" si="1"/>
        <v>5251557.7764499998</v>
      </c>
    </row>
    <row r="41" spans="1:13">
      <c r="A41" s="8"/>
      <c r="B41" s="8"/>
      <c r="D41" s="600"/>
      <c r="F41" s="132"/>
      <c r="J41" s="132"/>
      <c r="L41" s="601"/>
    </row>
    <row r="42" spans="1:13">
      <c r="A42" s="8">
        <v>14</v>
      </c>
      <c r="B42" s="8">
        <v>511</v>
      </c>
      <c r="D42" s="600">
        <v>11107096</v>
      </c>
      <c r="F42" s="132">
        <v>0.30640000000000001</v>
      </c>
      <c r="H42" s="6">
        <v>0.15354999999999999</v>
      </c>
      <c r="J42" s="132">
        <f t="shared" si="0"/>
        <v>0.45994999999999997</v>
      </c>
      <c r="L42" s="601">
        <f t="shared" si="1"/>
        <v>5108708.8051999994</v>
      </c>
    </row>
    <row r="43" spans="1:13">
      <c r="A43" s="8"/>
      <c r="B43" s="8"/>
      <c r="D43" s="600"/>
      <c r="F43" s="132"/>
      <c r="J43" s="132"/>
      <c r="L43" s="601"/>
    </row>
    <row r="44" spans="1:13">
      <c r="A44" s="8">
        <v>15</v>
      </c>
      <c r="B44" s="8">
        <v>570</v>
      </c>
      <c r="D44" s="600">
        <v>3848935</v>
      </c>
      <c r="F44" s="132">
        <v>0.30640000000000001</v>
      </c>
      <c r="H44" s="6">
        <v>0.14105000000000001</v>
      </c>
      <c r="J44" s="132">
        <f t="shared" si="0"/>
        <v>0.44745000000000001</v>
      </c>
      <c r="L44" s="602">
        <f t="shared" si="1"/>
        <v>1722205.96575</v>
      </c>
    </row>
    <row r="45" spans="1:13">
      <c r="A45" s="8"/>
      <c r="B45" s="8"/>
      <c r="D45" s="37"/>
      <c r="M45" s="8" t="s">
        <v>897</v>
      </c>
    </row>
    <row r="46" spans="1:13">
      <c r="A46" s="8">
        <v>16</v>
      </c>
      <c r="B46" s="6" t="s">
        <v>2005</v>
      </c>
      <c r="L46" s="247">
        <f>SUM(L36:L44)</f>
        <v>107612402.79367998</v>
      </c>
      <c r="M46" s="8" t="s">
        <v>63</v>
      </c>
    </row>
    <row r="47" spans="1:13">
      <c r="A47" s="8"/>
    </row>
    <row r="48" spans="1:13">
      <c r="A48" s="8">
        <v>17</v>
      </c>
      <c r="B48" s="6" t="s">
        <v>2003</v>
      </c>
      <c r="L48" s="247">
        <f>+'Exh MPP-2 - ROO Summary Sheet'!D19+'Weather Normalization'!F37</f>
        <v>113645500.64677002</v>
      </c>
      <c r="M48" s="607">
        <f>+L46-L48</f>
        <v>-6033097.8530900329</v>
      </c>
    </row>
    <row r="49" spans="3:13">
      <c r="C49" s="6" t="s">
        <v>2004</v>
      </c>
    </row>
    <row r="50" spans="3:13">
      <c r="L50" s="247"/>
      <c r="M50" s="247"/>
    </row>
    <row r="52" spans="3:13">
      <c r="L52" s="247"/>
      <c r="M52" s="247"/>
    </row>
    <row r="53" spans="3:13">
      <c r="J53" s="90"/>
      <c r="L53" s="247"/>
    </row>
    <row r="54" spans="3:13">
      <c r="L54" s="247"/>
    </row>
    <row r="55" spans="3:13">
      <c r="L55" s="247"/>
    </row>
    <row r="57" spans="3:13">
      <c r="J57" s="90"/>
      <c r="L57" s="247"/>
      <c r="M57" s="247"/>
    </row>
    <row r="58" spans="3:13">
      <c r="J58" s="90"/>
      <c r="L58" s="247"/>
      <c r="M58" s="437"/>
    </row>
  </sheetData>
  <mergeCells count="6">
    <mergeCell ref="B6:M6"/>
    <mergeCell ref="B1:H1"/>
    <mergeCell ref="B2:M2"/>
    <mergeCell ref="B3:M3"/>
    <mergeCell ref="B4:M4"/>
    <mergeCell ref="B5:M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2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1"/>
  <sheetViews>
    <sheetView zoomScaleNormal="100" workbookViewId="0">
      <selection activeCell="A3" sqref="A3:H3"/>
    </sheetView>
  </sheetViews>
  <sheetFormatPr defaultRowHeight="15.75"/>
  <cols>
    <col min="1" max="5" width="9.140625" style="6"/>
    <col min="6" max="6" width="20.7109375" style="6" customWidth="1"/>
    <col min="7" max="16384" width="9.140625" style="6"/>
  </cols>
  <sheetData>
    <row r="1" spans="1:11">
      <c r="A1" s="1025" t="s">
        <v>61</v>
      </c>
      <c r="B1" s="1025"/>
      <c r="C1" s="1025"/>
      <c r="D1" s="1025"/>
      <c r="E1" s="1025"/>
      <c r="F1" s="1025"/>
      <c r="G1" s="1025"/>
      <c r="H1" s="1025"/>
      <c r="I1" s="1025"/>
      <c r="J1" s="5"/>
      <c r="K1" s="5"/>
    </row>
    <row r="2" spans="1:11">
      <c r="A2" s="1025" t="s">
        <v>1690</v>
      </c>
      <c r="B2" s="1025"/>
      <c r="C2" s="1025"/>
      <c r="D2" s="1025"/>
      <c r="E2" s="1025"/>
      <c r="F2" s="1025"/>
      <c r="G2" s="1025"/>
      <c r="H2" s="1025"/>
      <c r="I2" s="1025"/>
      <c r="J2" s="5"/>
      <c r="K2" s="5"/>
    </row>
    <row r="3" spans="1:11">
      <c r="A3" s="1025" t="s">
        <v>1706</v>
      </c>
      <c r="B3" s="1025"/>
      <c r="C3" s="1025"/>
      <c r="D3" s="1025"/>
      <c r="E3" s="1025"/>
      <c r="F3" s="1025"/>
      <c r="G3" s="1025"/>
      <c r="H3" s="1025"/>
      <c r="I3" s="1025"/>
      <c r="J3" s="5"/>
      <c r="K3" s="5"/>
    </row>
    <row r="4" spans="1:11">
      <c r="A4" s="1025" t="s">
        <v>1126</v>
      </c>
      <c r="B4" s="1025"/>
      <c r="C4" s="1025"/>
      <c r="D4" s="1025"/>
      <c r="E4" s="1025"/>
      <c r="F4" s="1025"/>
      <c r="G4" s="1025"/>
      <c r="H4" s="1025"/>
      <c r="I4" s="1025"/>
      <c r="J4" s="5"/>
      <c r="K4" s="5"/>
    </row>
    <row r="5" spans="1:11">
      <c r="A5" s="1025" t="s">
        <v>985</v>
      </c>
      <c r="B5" s="1025"/>
      <c r="C5" s="1025"/>
      <c r="D5" s="1025"/>
      <c r="E5" s="1025"/>
      <c r="F5" s="1025"/>
      <c r="G5" s="1025"/>
      <c r="H5" s="1025"/>
      <c r="I5" s="1025"/>
      <c r="J5" s="5"/>
      <c r="K5" s="5"/>
    </row>
    <row r="8" spans="1:11">
      <c r="A8" s="608" t="s">
        <v>1127</v>
      </c>
      <c r="B8" s="37"/>
      <c r="C8" s="37"/>
      <c r="D8" s="37"/>
      <c r="E8" s="37"/>
      <c r="F8" s="37"/>
      <c r="G8" s="37"/>
      <c r="H8" s="37"/>
      <c r="I8" s="37"/>
      <c r="J8" s="37"/>
      <c r="K8" s="37"/>
    </row>
    <row r="10" spans="1:11">
      <c r="D10" s="8" t="s">
        <v>891</v>
      </c>
      <c r="E10" s="8" t="s">
        <v>1731</v>
      </c>
      <c r="F10" s="8" t="s">
        <v>1729</v>
      </c>
    </row>
    <row r="11" spans="1:11" ht="63">
      <c r="D11" s="8"/>
      <c r="E11" s="609" t="s">
        <v>1725</v>
      </c>
      <c r="F11" s="610" t="s">
        <v>1977</v>
      </c>
    </row>
    <row r="12" spans="1:11">
      <c r="D12" s="8">
        <v>1</v>
      </c>
      <c r="E12" s="8" t="s">
        <v>1128</v>
      </c>
      <c r="F12" s="590">
        <v>66666.67</v>
      </c>
    </row>
    <row r="13" spans="1:11">
      <c r="D13" s="8">
        <v>2</v>
      </c>
      <c r="E13" s="8" t="s">
        <v>1129</v>
      </c>
      <c r="F13" s="590">
        <v>66666.67</v>
      </c>
    </row>
    <row r="14" spans="1:11">
      <c r="D14" s="8">
        <v>3</v>
      </c>
      <c r="E14" s="8" t="s">
        <v>1130</v>
      </c>
      <c r="F14" s="590">
        <v>66666.67</v>
      </c>
    </row>
    <row r="15" spans="1:11">
      <c r="D15" s="8">
        <v>4</v>
      </c>
      <c r="E15" s="8" t="s">
        <v>1131</v>
      </c>
      <c r="F15" s="590">
        <v>66666.67</v>
      </c>
    </row>
    <row r="16" spans="1:11">
      <c r="D16" s="8">
        <v>5</v>
      </c>
      <c r="E16" s="8" t="s">
        <v>1132</v>
      </c>
      <c r="F16" s="590">
        <v>66666.67</v>
      </c>
    </row>
    <row r="17" spans="3:6">
      <c r="D17" s="8">
        <v>6</v>
      </c>
      <c r="E17" s="8" t="s">
        <v>1133</v>
      </c>
      <c r="F17" s="590">
        <v>66666.67</v>
      </c>
    </row>
    <row r="18" spans="3:6">
      <c r="D18" s="8">
        <v>7</v>
      </c>
      <c r="E18" s="8" t="s">
        <v>1134</v>
      </c>
      <c r="F18" s="590">
        <v>66666.67</v>
      </c>
    </row>
    <row r="19" spans="3:6">
      <c r="C19" s="496"/>
      <c r="D19" s="8">
        <v>8</v>
      </c>
      <c r="E19" s="8" t="s">
        <v>1135</v>
      </c>
      <c r="F19" s="590">
        <v>66666.67</v>
      </c>
    </row>
    <row r="20" spans="3:6" ht="16.5" thickBot="1">
      <c r="D20" s="8">
        <v>9</v>
      </c>
      <c r="E20" s="8" t="s">
        <v>59</v>
      </c>
      <c r="F20" s="896">
        <f>SUM(F12:F19)</f>
        <v>533333.36</v>
      </c>
    </row>
    <row r="21" spans="3:6" ht="16.5" thickTop="1"/>
  </sheetData>
  <mergeCells count="5">
    <mergeCell ref="A1:I1"/>
    <mergeCell ref="A2:I2"/>
    <mergeCell ref="A3:I3"/>
    <mergeCell ref="A4:I4"/>
    <mergeCell ref="A5:I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1"/>
  <sheetViews>
    <sheetView workbookViewId="0">
      <selection activeCell="A3" sqref="A3:H3"/>
    </sheetView>
  </sheetViews>
  <sheetFormatPr defaultRowHeight="15.75"/>
  <cols>
    <col min="1" max="1" width="9.28515625" style="612" bestFit="1" customWidth="1"/>
    <col min="2" max="2" width="13.5703125" style="148" bestFit="1" customWidth="1"/>
    <col min="3" max="4" width="10.85546875" style="148" bestFit="1" customWidth="1"/>
    <col min="5" max="5" width="15.42578125" style="148" bestFit="1" customWidth="1"/>
    <col min="6" max="6" width="10.85546875" style="148" bestFit="1" customWidth="1"/>
    <col min="7" max="7" width="9.28515625" style="148" bestFit="1" customWidth="1"/>
    <col min="8" max="8" width="12.7109375" style="612" bestFit="1" customWidth="1"/>
    <col min="9" max="16384" width="9.140625" style="148"/>
  </cols>
  <sheetData>
    <row r="1" spans="1:13">
      <c r="A1" s="1025" t="s">
        <v>61</v>
      </c>
      <c r="B1" s="1025"/>
      <c r="C1" s="1025"/>
      <c r="D1" s="1025"/>
      <c r="E1" s="1025"/>
      <c r="F1" s="1025"/>
      <c r="G1" s="1025"/>
      <c r="H1" s="1025"/>
      <c r="I1" s="5"/>
      <c r="J1" s="5"/>
      <c r="K1" s="611"/>
      <c r="L1" s="611"/>
      <c r="M1" s="611"/>
    </row>
    <row r="2" spans="1:13">
      <c r="A2" s="1025" t="s">
        <v>1690</v>
      </c>
      <c r="B2" s="1025"/>
      <c r="C2" s="1025"/>
      <c r="D2" s="1025"/>
      <c r="E2" s="1025"/>
      <c r="F2" s="1025"/>
      <c r="G2" s="1025"/>
      <c r="H2" s="1025"/>
      <c r="I2" s="5"/>
      <c r="J2" s="5"/>
      <c r="K2" s="611"/>
      <c r="L2" s="611"/>
      <c r="M2" s="611"/>
    </row>
    <row r="3" spans="1:13">
      <c r="A3" s="1025" t="s">
        <v>1707</v>
      </c>
      <c r="B3" s="1025"/>
      <c r="C3" s="1025"/>
      <c r="D3" s="1025"/>
      <c r="E3" s="1025"/>
      <c r="F3" s="1025"/>
      <c r="G3" s="1025"/>
      <c r="H3" s="1025"/>
      <c r="I3" s="5"/>
      <c r="J3" s="5"/>
      <c r="K3" s="611"/>
      <c r="L3" s="611"/>
      <c r="M3" s="611"/>
    </row>
    <row r="4" spans="1:13">
      <c r="A4" s="1025" t="s">
        <v>87</v>
      </c>
      <c r="B4" s="1025"/>
      <c r="C4" s="1025"/>
      <c r="D4" s="1025"/>
      <c r="E4" s="1025"/>
      <c r="F4" s="1025"/>
      <c r="G4" s="1025"/>
      <c r="H4" s="1025"/>
      <c r="I4" s="5"/>
      <c r="J4" s="5"/>
      <c r="K4" s="611"/>
      <c r="L4" s="611"/>
      <c r="M4" s="611"/>
    </row>
    <row r="5" spans="1:13">
      <c r="A5" s="1025" t="s">
        <v>985</v>
      </c>
      <c r="B5" s="1025"/>
      <c r="C5" s="1025"/>
      <c r="D5" s="1025"/>
      <c r="E5" s="1025"/>
      <c r="F5" s="1025"/>
      <c r="G5" s="1025"/>
      <c r="H5" s="1025"/>
      <c r="I5" s="5"/>
      <c r="J5" s="5"/>
      <c r="K5" s="611"/>
      <c r="L5" s="611"/>
      <c r="M5" s="611"/>
    </row>
    <row r="6" spans="1:13">
      <c r="K6" s="611"/>
      <c r="L6" s="611"/>
      <c r="M6" s="611"/>
    </row>
    <row r="7" spans="1:13">
      <c r="K7" s="611"/>
      <c r="L7" s="611"/>
      <c r="M7" s="611"/>
    </row>
    <row r="8" spans="1:13">
      <c r="K8" s="611"/>
      <c r="L8" s="611"/>
      <c r="M8" s="611"/>
    </row>
    <row r="9" spans="1:13" s="612" customFormat="1">
      <c r="B9" s="612" t="s">
        <v>1731</v>
      </c>
      <c r="C9" s="612" t="s">
        <v>1729</v>
      </c>
      <c r="D9" s="612" t="s">
        <v>1730</v>
      </c>
      <c r="E9" s="612" t="s">
        <v>1733</v>
      </c>
      <c r="F9" s="612" t="s">
        <v>1734</v>
      </c>
      <c r="G9" s="612" t="s">
        <v>1743</v>
      </c>
      <c r="H9" s="612" t="s">
        <v>1744</v>
      </c>
      <c r="K9" s="613"/>
      <c r="L9" s="613"/>
      <c r="M9" s="613"/>
    </row>
    <row r="10" spans="1:13">
      <c r="B10" s="614" t="s">
        <v>390</v>
      </c>
      <c r="C10" s="611"/>
      <c r="D10" s="611"/>
      <c r="E10" s="611"/>
      <c r="F10" s="611"/>
      <c r="G10" s="611"/>
      <c r="H10" s="613"/>
      <c r="I10" s="611"/>
      <c r="J10" s="611"/>
    </row>
    <row r="11" spans="1:13">
      <c r="B11" s="611"/>
      <c r="C11" s="611"/>
      <c r="D11" s="611"/>
      <c r="E11" s="615"/>
      <c r="F11" s="611"/>
      <c r="G11" s="611"/>
      <c r="H11" s="613"/>
      <c r="I11" s="611"/>
      <c r="J11" s="611"/>
    </row>
    <row r="12" spans="1:13">
      <c r="A12" s="612" t="s">
        <v>891</v>
      </c>
      <c r="B12" s="611" t="s">
        <v>93</v>
      </c>
      <c r="C12" s="613" t="s">
        <v>94</v>
      </c>
      <c r="D12" s="613"/>
      <c r="E12" s="613" t="s">
        <v>95</v>
      </c>
      <c r="F12" s="613"/>
      <c r="G12" s="613" t="s">
        <v>96</v>
      </c>
      <c r="H12" s="613"/>
      <c r="I12" s="611"/>
      <c r="J12" s="611"/>
    </row>
    <row r="13" spans="1:13">
      <c r="A13" s="612">
        <v>1</v>
      </c>
      <c r="B13" s="616">
        <v>42735</v>
      </c>
      <c r="C13" s="613" t="s">
        <v>97</v>
      </c>
      <c r="D13" s="613" t="s">
        <v>98</v>
      </c>
      <c r="E13" s="613" t="s">
        <v>99</v>
      </c>
      <c r="F13" s="613" t="s">
        <v>63</v>
      </c>
      <c r="G13" s="613" t="s">
        <v>100</v>
      </c>
      <c r="H13" s="617" t="s">
        <v>101</v>
      </c>
      <c r="I13" s="611"/>
      <c r="J13" s="611"/>
    </row>
    <row r="14" spans="1:13">
      <c r="B14" s="616"/>
      <c r="C14" s="613"/>
      <c r="D14" s="613"/>
      <c r="E14" s="613"/>
      <c r="F14" s="613"/>
      <c r="G14" s="618"/>
      <c r="H14" s="619"/>
    </row>
    <row r="15" spans="1:13">
      <c r="B15" s="611"/>
      <c r="C15" s="613"/>
      <c r="D15" s="613"/>
      <c r="E15" s="613"/>
      <c r="F15" s="613"/>
      <c r="G15" s="613"/>
      <c r="H15" s="619"/>
    </row>
    <row r="16" spans="1:13" ht="16.5" thickBot="1">
      <c r="A16" s="612">
        <v>2</v>
      </c>
      <c r="B16" s="620">
        <f>+'Exh MPP-2 - ROO Summary Sheet'!P40</f>
        <v>300860725.69764143</v>
      </c>
      <c r="C16" s="621">
        <f>+'Capital Structure Calculation'!J11</f>
        <v>2.648E-2</v>
      </c>
      <c r="D16" s="619">
        <f>B16*C16</f>
        <v>7966792.0164735448</v>
      </c>
      <c r="E16" s="619">
        <f>+'Operating Report'!G159</f>
        <v>8752011.7399999984</v>
      </c>
      <c r="F16" s="613">
        <f>+D16-E16</f>
        <v>-785219.7235264536</v>
      </c>
      <c r="G16" s="622">
        <f>+'Exh MPP-4 - Conversion Factor'!C33</f>
        <v>0.35</v>
      </c>
      <c r="H16" s="623">
        <f>+F16*-G16</f>
        <v>274826.90323425876</v>
      </c>
      <c r="K16" s="611"/>
      <c r="L16" s="611"/>
      <c r="M16" s="611"/>
    </row>
    <row r="17" spans="2:13" ht="16.5" thickTop="1">
      <c r="B17" s="611"/>
      <c r="C17" s="611"/>
      <c r="D17" s="624"/>
      <c r="E17" s="611"/>
      <c r="F17" s="611"/>
      <c r="G17" s="625"/>
      <c r="H17" s="613"/>
      <c r="K17" s="611"/>
      <c r="L17" s="626"/>
      <c r="M17" s="611"/>
    </row>
    <row r="18" spans="2:13">
      <c r="G18" s="611"/>
      <c r="H18" s="613"/>
      <c r="K18" s="611"/>
      <c r="L18" s="611"/>
      <c r="M18" s="611"/>
    </row>
    <row r="19" spans="2:13">
      <c r="B19" s="627"/>
      <c r="C19" s="624"/>
      <c r="D19" s="624"/>
      <c r="E19" s="611"/>
      <c r="F19" s="611"/>
      <c r="I19" s="611"/>
      <c r="J19" s="611"/>
      <c r="K19" s="611"/>
      <c r="L19" s="611"/>
      <c r="M19" s="611"/>
    </row>
    <row r="20" spans="2:13">
      <c r="B20" s="611"/>
      <c r="C20" s="611"/>
      <c r="D20" s="611"/>
      <c r="E20" s="611"/>
      <c r="F20" s="611"/>
      <c r="I20" s="611"/>
      <c r="J20" s="611"/>
      <c r="K20" s="611"/>
      <c r="L20" s="611"/>
      <c r="M20" s="613"/>
    </row>
    <row r="21" spans="2:13">
      <c r="G21" s="611"/>
      <c r="H21" s="613"/>
      <c r="I21" s="611"/>
      <c r="J21" s="611"/>
      <c r="K21" s="611"/>
      <c r="L21" s="611"/>
      <c r="M21" s="611"/>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9"/>
  <sheetViews>
    <sheetView view="pageBreakPreview" topLeftCell="A49" zoomScale="70" zoomScaleNormal="100" zoomScaleSheetLayoutView="70" workbookViewId="0">
      <selection activeCell="C81" sqref="C81"/>
    </sheetView>
  </sheetViews>
  <sheetFormatPr defaultRowHeight="15.75"/>
  <cols>
    <col min="1" max="1" width="10.140625" style="8" customWidth="1"/>
    <col min="2" max="2" width="46.140625" style="6" customWidth="1"/>
    <col min="3" max="3" width="12.140625" style="6" customWidth="1"/>
    <col min="4" max="4" width="18.42578125" style="6" bestFit="1" customWidth="1"/>
    <col min="5" max="5" width="12.7109375" style="6" bestFit="1" customWidth="1"/>
    <col min="6" max="6" width="19" style="6" bestFit="1" customWidth="1"/>
    <col min="7" max="7" width="8.140625" style="6" bestFit="1" customWidth="1"/>
    <col min="8" max="8" width="17.5703125" style="6" customWidth="1"/>
    <col min="9" max="9" width="19" style="6" customWidth="1"/>
    <col min="10" max="10" width="13.28515625" style="6" customWidth="1"/>
    <col min="11" max="11" width="19.5703125" style="6" customWidth="1"/>
    <col min="12" max="12" width="18.42578125" style="6" customWidth="1"/>
    <col min="13" max="13" width="8.140625" style="6" bestFit="1" customWidth="1"/>
    <col min="14" max="14" width="19" style="6" bestFit="1" customWidth="1"/>
    <col min="15" max="15" width="17.85546875" style="6" bestFit="1" customWidth="1"/>
    <col min="16" max="16" width="22.140625" style="6" bestFit="1" customWidth="1"/>
    <col min="17" max="16384" width="9.140625" style="6"/>
  </cols>
  <sheetData>
    <row r="1" spans="1:16">
      <c r="C1" s="531"/>
      <c r="D1" s="531"/>
      <c r="E1" s="1025" t="s">
        <v>61</v>
      </c>
      <c r="F1" s="1025"/>
      <c r="G1" s="1025"/>
      <c r="H1" s="1025"/>
      <c r="I1" s="1025"/>
      <c r="J1" s="1025"/>
      <c r="K1" s="1025"/>
      <c r="L1" s="1025"/>
      <c r="N1" s="531"/>
      <c r="O1" s="531"/>
      <c r="P1" s="531"/>
    </row>
    <row r="2" spans="1:16">
      <c r="C2" s="628"/>
      <c r="D2" s="628"/>
      <c r="E2" s="1025" t="s">
        <v>1690</v>
      </c>
      <c r="F2" s="1025"/>
      <c r="G2" s="1025"/>
      <c r="H2" s="1025"/>
      <c r="I2" s="1025"/>
      <c r="J2" s="1025"/>
      <c r="K2" s="1025"/>
      <c r="L2" s="1025"/>
      <c r="N2" s="628"/>
      <c r="O2" s="628"/>
      <c r="P2" s="628"/>
    </row>
    <row r="3" spans="1:16">
      <c r="C3" s="628"/>
      <c r="D3" s="628"/>
      <c r="E3" s="1025" t="s">
        <v>1708</v>
      </c>
      <c r="F3" s="1025"/>
      <c r="G3" s="1025"/>
      <c r="H3" s="1025"/>
      <c r="I3" s="1025"/>
      <c r="J3" s="1025"/>
      <c r="K3" s="1025"/>
      <c r="L3" s="1025"/>
      <c r="N3" s="628"/>
      <c r="O3" s="628"/>
      <c r="P3" s="628"/>
    </row>
    <row r="4" spans="1:16">
      <c r="C4" s="628"/>
      <c r="D4" s="628"/>
      <c r="E4" s="1025" t="s">
        <v>980</v>
      </c>
      <c r="F4" s="1025"/>
      <c r="G4" s="1025"/>
      <c r="H4" s="1025"/>
      <c r="I4" s="1025"/>
      <c r="J4" s="1025"/>
      <c r="K4" s="1025"/>
      <c r="L4" s="1025"/>
      <c r="N4" s="628"/>
      <c r="O4" s="628"/>
      <c r="P4" s="628"/>
    </row>
    <row r="5" spans="1:16">
      <c r="C5" s="629"/>
      <c r="D5" s="629"/>
      <c r="E5" s="1025" t="s">
        <v>985</v>
      </c>
      <c r="F5" s="1025"/>
      <c r="G5" s="1025"/>
      <c r="H5" s="1025"/>
      <c r="I5" s="1025"/>
      <c r="J5" s="1025"/>
      <c r="K5" s="1025"/>
      <c r="L5" s="1025"/>
      <c r="N5" s="630"/>
      <c r="O5" s="630"/>
      <c r="P5" s="630"/>
    </row>
    <row r="6" spans="1:16">
      <c r="C6" s="629"/>
      <c r="D6" s="629"/>
      <c r="E6" s="629"/>
      <c r="F6" s="38"/>
      <c r="G6" s="38"/>
      <c r="H6" s="38"/>
      <c r="I6" s="38"/>
      <c r="J6" s="38"/>
      <c r="K6" s="38"/>
      <c r="L6" s="38"/>
      <c r="M6" s="38"/>
      <c r="N6" s="630"/>
      <c r="O6" s="630"/>
      <c r="P6" s="630"/>
    </row>
    <row r="7" spans="1:16" s="8" customFormat="1">
      <c r="B7" s="8" t="s">
        <v>1731</v>
      </c>
      <c r="C7" s="8" t="s">
        <v>1729</v>
      </c>
      <c r="D7" s="8" t="s">
        <v>1730</v>
      </c>
      <c r="E7" s="8" t="s">
        <v>1733</v>
      </c>
      <c r="F7" s="8" t="s">
        <v>1734</v>
      </c>
      <c r="G7" s="8" t="s">
        <v>1743</v>
      </c>
      <c r="H7" s="8" t="s">
        <v>1744</v>
      </c>
      <c r="I7" s="631" t="s">
        <v>1745</v>
      </c>
      <c r="J7" s="631" t="s">
        <v>1746</v>
      </c>
      <c r="K7" s="631" t="s">
        <v>1747</v>
      </c>
      <c r="L7" s="631" t="s">
        <v>1748</v>
      </c>
      <c r="M7" s="631" t="s">
        <v>1749</v>
      </c>
      <c r="N7" s="631" t="s">
        <v>1750</v>
      </c>
      <c r="O7" s="631" t="s">
        <v>1751</v>
      </c>
      <c r="P7" s="631" t="s">
        <v>1752</v>
      </c>
    </row>
    <row r="8" spans="1:16">
      <c r="D8" s="6" t="s">
        <v>933</v>
      </c>
      <c r="E8" s="6" t="s">
        <v>934</v>
      </c>
      <c r="F8" s="6" t="s">
        <v>935</v>
      </c>
      <c r="G8" s="8"/>
      <c r="H8" s="6" t="s">
        <v>936</v>
      </c>
      <c r="P8" s="6" t="s">
        <v>59</v>
      </c>
    </row>
    <row r="9" spans="1:16">
      <c r="C9" s="6" t="s">
        <v>85</v>
      </c>
      <c r="D9" s="8" t="s">
        <v>2142</v>
      </c>
      <c r="E9" s="6" t="s">
        <v>73</v>
      </c>
      <c r="F9" s="6" t="s">
        <v>2143</v>
      </c>
      <c r="G9" s="8" t="s">
        <v>2144</v>
      </c>
      <c r="H9" s="6" t="s">
        <v>1035</v>
      </c>
      <c r="I9" s="6" t="s">
        <v>111</v>
      </c>
      <c r="J9" s="6" t="s">
        <v>937</v>
      </c>
      <c r="K9" s="6" t="s">
        <v>937</v>
      </c>
      <c r="L9" s="6" t="s">
        <v>1036</v>
      </c>
      <c r="N9" s="6" t="s">
        <v>1037</v>
      </c>
      <c r="O9" s="6" t="s">
        <v>1037</v>
      </c>
      <c r="P9" s="6" t="s">
        <v>934</v>
      </c>
    </row>
    <row r="10" spans="1:16">
      <c r="A10" s="15" t="s">
        <v>1727</v>
      </c>
      <c r="C10" s="6" t="s">
        <v>938</v>
      </c>
      <c r="D10" s="6" t="s">
        <v>939</v>
      </c>
      <c r="E10" s="6" t="s">
        <v>940</v>
      </c>
      <c r="F10" s="6" t="s">
        <v>941</v>
      </c>
      <c r="H10" s="6" t="s">
        <v>942</v>
      </c>
      <c r="J10" s="6" t="s">
        <v>2145</v>
      </c>
      <c r="K10" s="6" t="s">
        <v>73</v>
      </c>
      <c r="L10" s="6" t="s">
        <v>114</v>
      </c>
      <c r="N10" s="6" t="s">
        <v>73</v>
      </c>
      <c r="O10" s="6" t="s">
        <v>114</v>
      </c>
      <c r="P10" s="6" t="s">
        <v>63</v>
      </c>
    </row>
    <row r="11" spans="1:16">
      <c r="A11" s="8">
        <v>1</v>
      </c>
      <c r="B11" s="6" t="s">
        <v>943</v>
      </c>
      <c r="D11" s="387">
        <f>+D36</f>
        <v>5559294.3251210293</v>
      </c>
      <c r="E11" s="6" t="s">
        <v>1038</v>
      </c>
      <c r="F11" s="387">
        <v>0</v>
      </c>
      <c r="G11" s="437">
        <v>0.04</v>
      </c>
      <c r="H11" s="387">
        <f>+F11*G11</f>
        <v>0</v>
      </c>
      <c r="I11" s="387">
        <f>+D11+H11</f>
        <v>5559294.3251210293</v>
      </c>
      <c r="J11" s="437">
        <f>K36/I36</f>
        <v>3.9694374895358861E-2</v>
      </c>
      <c r="K11" s="387">
        <f>+I11*J11</f>
        <v>220672.71309499515</v>
      </c>
      <c r="L11" s="387">
        <f>+I11+K11</f>
        <v>5779967.0382160246</v>
      </c>
      <c r="M11" s="437">
        <f>N36/L36</f>
        <v>3.9694872968174484E-2</v>
      </c>
      <c r="N11" s="553">
        <f>+L11*M11</f>
        <v>229435.05734222083</v>
      </c>
      <c r="O11" s="553">
        <f>+L11+N11</f>
        <v>6009402.0955582457</v>
      </c>
      <c r="P11" s="387">
        <f>+N11+K11+H11</f>
        <v>450107.77043721598</v>
      </c>
    </row>
    <row r="12" spans="1:16">
      <c r="A12" s="8">
        <v>2</v>
      </c>
      <c r="D12" s="387"/>
      <c r="F12" s="387"/>
      <c r="G12" s="437"/>
      <c r="H12" s="387"/>
      <c r="I12" s="387"/>
      <c r="J12" s="437"/>
      <c r="K12" s="387"/>
      <c r="L12" s="387"/>
      <c r="M12" s="437"/>
      <c r="N12" s="553"/>
    </row>
    <row r="13" spans="1:16" ht="16.5" thickBot="1">
      <c r="A13" s="8">
        <v>3</v>
      </c>
      <c r="B13" s="6" t="s">
        <v>944</v>
      </c>
      <c r="D13" s="632">
        <f>+D61</f>
        <v>8859248.0217900351</v>
      </c>
      <c r="E13" s="633" t="s">
        <v>945</v>
      </c>
      <c r="F13" s="632">
        <f>+F61</f>
        <v>2308180.6871949974</v>
      </c>
      <c r="G13" s="634">
        <v>3.1E-2</v>
      </c>
      <c r="H13" s="632">
        <f>+F13*G13</f>
        <v>71553.601303044925</v>
      </c>
      <c r="I13" s="632">
        <f>+D13+H13</f>
        <v>8930801.6230930798</v>
      </c>
      <c r="J13" s="634">
        <v>3.1E-2</v>
      </c>
      <c r="K13" s="632">
        <f>+I13*J13</f>
        <v>276854.85031588544</v>
      </c>
      <c r="L13" s="632">
        <f>+I13+K13</f>
        <v>9207656.4734089654</v>
      </c>
      <c r="M13" s="634">
        <v>3.1E-2</v>
      </c>
      <c r="N13" s="635">
        <f>+L13*M13</f>
        <v>285437.35067567794</v>
      </c>
      <c r="O13" s="635">
        <f>+L13+N13</f>
        <v>9493093.8240846433</v>
      </c>
      <c r="P13" s="632">
        <f>+N13+K13+H13</f>
        <v>633845.80229460832</v>
      </c>
    </row>
    <row r="14" spans="1:16">
      <c r="A14" s="8">
        <v>4</v>
      </c>
      <c r="D14" s="387"/>
      <c r="F14" s="387"/>
      <c r="G14" s="437"/>
      <c r="H14" s="387"/>
      <c r="I14" s="387"/>
      <c r="J14" s="437"/>
      <c r="K14" s="387"/>
      <c r="L14" s="387"/>
      <c r="M14" s="437"/>
      <c r="N14" s="553"/>
    </row>
    <row r="15" spans="1:16" ht="16.5" thickBot="1">
      <c r="A15" s="8">
        <v>5</v>
      </c>
      <c r="D15" s="387">
        <v>13816265.910830002</v>
      </c>
      <c r="F15" s="387">
        <v>8816575.5899999999</v>
      </c>
      <c r="G15" s="437"/>
      <c r="H15" s="636">
        <f>+H11+H13</f>
        <v>71553.601303044925</v>
      </c>
      <c r="I15" s="387">
        <f>+I11+I13</f>
        <v>14490095.94821411</v>
      </c>
      <c r="J15" s="437"/>
      <c r="K15" s="636">
        <f>+K11+K13</f>
        <v>497527.56341088063</v>
      </c>
      <c r="L15" s="387">
        <f>+L11+L13</f>
        <v>14987623.51162499</v>
      </c>
      <c r="N15" s="636">
        <f>+N11+N13</f>
        <v>514872.40801789879</v>
      </c>
      <c r="P15" s="637">
        <f>+P11+P13</f>
        <v>1083953.5727318244</v>
      </c>
    </row>
    <row r="16" spans="1:16" ht="16.5" thickTop="1">
      <c r="A16" s="8">
        <v>6</v>
      </c>
      <c r="D16" s="387"/>
      <c r="F16" s="387"/>
      <c r="G16" s="437"/>
      <c r="H16" s="636"/>
      <c r="I16" s="387"/>
      <c r="J16" s="437"/>
      <c r="K16" s="636"/>
      <c r="L16" s="387"/>
      <c r="N16" s="636"/>
      <c r="P16" s="638"/>
    </row>
    <row r="17" spans="1:16">
      <c r="A17" s="8">
        <v>7</v>
      </c>
      <c r="B17" s="6" t="s">
        <v>968</v>
      </c>
      <c r="D17" s="387"/>
      <c r="F17" s="387"/>
      <c r="G17" s="437"/>
      <c r="H17" s="636"/>
      <c r="I17" s="387"/>
      <c r="J17" s="437"/>
      <c r="K17" s="636"/>
      <c r="L17" s="387"/>
      <c r="N17" s="636"/>
      <c r="O17" s="437">
        <v>7.6499999999999999E-2</v>
      </c>
      <c r="P17" s="638">
        <f>+P15*O17</f>
        <v>82922.448313984569</v>
      </c>
    </row>
    <row r="18" spans="1:16">
      <c r="A18" s="8">
        <v>8</v>
      </c>
      <c r="D18" s="387"/>
      <c r="G18" s="437"/>
      <c r="K18" s="387"/>
      <c r="L18" s="387"/>
      <c r="N18" s="553"/>
    </row>
    <row r="19" spans="1:16">
      <c r="A19" s="8">
        <v>9</v>
      </c>
      <c r="B19" s="6" t="s">
        <v>943</v>
      </c>
    </row>
    <row r="20" spans="1:16">
      <c r="A20" s="8">
        <v>10</v>
      </c>
      <c r="C20" s="639" t="s">
        <v>946</v>
      </c>
      <c r="D20" s="91">
        <v>198112.25077799964</v>
      </c>
      <c r="G20" s="437"/>
      <c r="H20" s="387">
        <f t="shared" ref="H20:H34" si="0">+F20*G20</f>
        <v>0</v>
      </c>
      <c r="I20" s="387">
        <f t="shared" ref="I20:I34" si="1">+D20+H20</f>
        <v>198112.25077799964</v>
      </c>
      <c r="J20" s="640">
        <v>0.04</v>
      </c>
      <c r="K20" s="387">
        <f>+I20*J20</f>
        <v>7924.4900311199854</v>
      </c>
      <c r="L20" s="387">
        <f>+I20+K20</f>
        <v>206036.74080911963</v>
      </c>
      <c r="M20" s="437">
        <v>0.04</v>
      </c>
      <c r="N20" s="553">
        <f t="shared" ref="N20:N29" si="2">+L20*M20</f>
        <v>8241.4696323647859</v>
      </c>
      <c r="O20" s="387">
        <f>+N20+L20</f>
        <v>214278.21044148441</v>
      </c>
      <c r="P20" s="387">
        <f t="shared" ref="P20:P29" si="3">+N20+K20+H20</f>
        <v>16165.959663484771</v>
      </c>
    </row>
    <row r="21" spans="1:16">
      <c r="A21" s="8">
        <v>11</v>
      </c>
      <c r="C21" s="639" t="s">
        <v>947</v>
      </c>
      <c r="D21" s="91">
        <v>1241025.4402469669</v>
      </c>
      <c r="G21" s="437"/>
      <c r="H21" s="387">
        <f t="shared" si="0"/>
        <v>0</v>
      </c>
      <c r="I21" s="387">
        <f t="shared" si="1"/>
        <v>1241025.4402469669</v>
      </c>
      <c r="J21" s="640">
        <v>0.04</v>
      </c>
      <c r="K21" s="387">
        <f t="shared" ref="K21:K34" si="4">+I21*J21</f>
        <v>49641.017609878676</v>
      </c>
      <c r="L21" s="387">
        <f t="shared" ref="L21:L34" si="5">+I21+K21</f>
        <v>1290666.4578568456</v>
      </c>
      <c r="M21" s="437">
        <v>0.04</v>
      </c>
      <c r="N21" s="553">
        <f t="shared" si="2"/>
        <v>51626.658314273824</v>
      </c>
      <c r="O21" s="387">
        <f t="shared" ref="O21:O34" si="6">+N21+L21</f>
        <v>1342293.1161711195</v>
      </c>
      <c r="P21" s="387">
        <f t="shared" si="3"/>
        <v>101267.6759241525</v>
      </c>
    </row>
    <row r="22" spans="1:16">
      <c r="A22" s="8">
        <v>12</v>
      </c>
      <c r="C22" s="639" t="s">
        <v>948</v>
      </c>
      <c r="D22" s="91">
        <v>352014.65952900029</v>
      </c>
      <c r="G22" s="437"/>
      <c r="H22" s="387">
        <f t="shared" si="0"/>
        <v>0</v>
      </c>
      <c r="I22" s="387">
        <f t="shared" si="1"/>
        <v>352014.65952900029</v>
      </c>
      <c r="J22" s="640">
        <v>0.04</v>
      </c>
      <c r="K22" s="387">
        <f t="shared" si="4"/>
        <v>14080.586381160012</v>
      </c>
      <c r="L22" s="387">
        <f t="shared" si="5"/>
        <v>366095.2459101603</v>
      </c>
      <c r="M22" s="437">
        <v>0.04</v>
      </c>
      <c r="N22" s="553">
        <f t="shared" si="2"/>
        <v>14643.809836406412</v>
      </c>
      <c r="O22" s="387">
        <f t="shared" si="6"/>
        <v>380739.05574656674</v>
      </c>
      <c r="P22" s="387">
        <f t="shared" si="3"/>
        <v>28724.396217566424</v>
      </c>
    </row>
    <row r="23" spans="1:16">
      <c r="A23" s="8">
        <v>13</v>
      </c>
      <c r="C23" s="639" t="s">
        <v>949</v>
      </c>
      <c r="D23" s="91">
        <v>359591.65829400643</v>
      </c>
      <c r="G23" s="437"/>
      <c r="H23" s="387">
        <f t="shared" si="0"/>
        <v>0</v>
      </c>
      <c r="I23" s="387">
        <f t="shared" si="1"/>
        <v>359591.65829400643</v>
      </c>
      <c r="J23" s="640">
        <v>0.04</v>
      </c>
      <c r="K23" s="387">
        <f t="shared" si="4"/>
        <v>14383.666331760258</v>
      </c>
      <c r="L23" s="387">
        <f t="shared" si="5"/>
        <v>373975.32462576666</v>
      </c>
      <c r="M23" s="437">
        <v>0.04</v>
      </c>
      <c r="N23" s="553">
        <f t="shared" si="2"/>
        <v>14959.012985030668</v>
      </c>
      <c r="O23" s="387">
        <f t="shared" si="6"/>
        <v>388934.33761079732</v>
      </c>
      <c r="P23" s="387">
        <f t="shared" si="3"/>
        <v>29342.679316790927</v>
      </c>
    </row>
    <row r="24" spans="1:16">
      <c r="A24" s="8">
        <v>14</v>
      </c>
      <c r="C24" s="639" t="s">
        <v>950</v>
      </c>
      <c r="D24" s="91">
        <v>7309.400000000006</v>
      </c>
      <c r="G24" s="437"/>
      <c r="H24" s="387">
        <f t="shared" si="0"/>
        <v>0</v>
      </c>
      <c r="I24" s="387">
        <f t="shared" si="1"/>
        <v>7309.400000000006</v>
      </c>
      <c r="J24" s="640">
        <v>0.04</v>
      </c>
      <c r="K24" s="387">
        <f t="shared" si="4"/>
        <v>292.37600000000026</v>
      </c>
      <c r="L24" s="387">
        <f t="shared" si="5"/>
        <v>7601.7760000000062</v>
      </c>
      <c r="M24" s="437">
        <v>0.04</v>
      </c>
      <c r="N24" s="553">
        <f t="shared" si="2"/>
        <v>304.07104000000027</v>
      </c>
      <c r="O24" s="387">
        <f t="shared" si="6"/>
        <v>7905.847040000006</v>
      </c>
      <c r="P24" s="387">
        <f t="shared" si="3"/>
        <v>596.44704000000047</v>
      </c>
    </row>
    <row r="25" spans="1:16">
      <c r="A25" s="8">
        <v>15</v>
      </c>
      <c r="C25" s="639" t="s">
        <v>952</v>
      </c>
      <c r="D25" s="91">
        <v>312094.9166350009</v>
      </c>
      <c r="G25" s="437"/>
      <c r="H25" s="387">
        <f t="shared" si="0"/>
        <v>0</v>
      </c>
      <c r="I25" s="387">
        <f t="shared" si="1"/>
        <v>312094.9166350009</v>
      </c>
      <c r="J25" s="640">
        <v>0.04</v>
      </c>
      <c r="K25" s="387">
        <f t="shared" si="4"/>
        <v>12483.796665400036</v>
      </c>
      <c r="L25" s="387">
        <f t="shared" si="5"/>
        <v>324578.71330040094</v>
      </c>
      <c r="M25" s="437">
        <v>0.04</v>
      </c>
      <c r="N25" s="553">
        <f t="shared" si="2"/>
        <v>12983.148532016037</v>
      </c>
      <c r="O25" s="387">
        <f t="shared" si="6"/>
        <v>337561.86183241697</v>
      </c>
      <c r="P25" s="387">
        <f t="shared" si="3"/>
        <v>25466.945197416073</v>
      </c>
    </row>
    <row r="26" spans="1:16">
      <c r="A26" s="8">
        <v>16</v>
      </c>
      <c r="C26" s="639">
        <v>28850</v>
      </c>
      <c r="D26" s="91">
        <v>120636.82165100051</v>
      </c>
      <c r="G26" s="437"/>
      <c r="H26" s="387">
        <f t="shared" si="0"/>
        <v>0</v>
      </c>
      <c r="I26" s="387">
        <f t="shared" si="1"/>
        <v>120636.82165100051</v>
      </c>
      <c r="J26" s="640">
        <v>0.04</v>
      </c>
      <c r="K26" s="387">
        <f t="shared" si="4"/>
        <v>4825.4728660400206</v>
      </c>
      <c r="L26" s="387">
        <f t="shared" si="5"/>
        <v>125462.29451704053</v>
      </c>
      <c r="M26" s="437">
        <v>0.04</v>
      </c>
      <c r="N26" s="553">
        <f t="shared" si="2"/>
        <v>5018.4917806816211</v>
      </c>
      <c r="O26" s="387">
        <f t="shared" si="6"/>
        <v>130480.78629772215</v>
      </c>
      <c r="P26" s="387">
        <f t="shared" si="3"/>
        <v>9843.9646467216407</v>
      </c>
    </row>
    <row r="27" spans="1:16">
      <c r="A27" s="8">
        <v>17</v>
      </c>
      <c r="C27" s="639" t="s">
        <v>953</v>
      </c>
      <c r="D27" s="91">
        <v>8996.492940999995</v>
      </c>
      <c r="G27" s="437"/>
      <c r="H27" s="387">
        <f t="shared" si="0"/>
        <v>0</v>
      </c>
      <c r="I27" s="387">
        <f t="shared" si="1"/>
        <v>8996.492940999995</v>
      </c>
      <c r="J27" s="640">
        <v>0.04</v>
      </c>
      <c r="K27" s="387">
        <f t="shared" si="4"/>
        <v>359.85971763999981</v>
      </c>
      <c r="L27" s="387">
        <f t="shared" si="5"/>
        <v>9356.3526586399948</v>
      </c>
      <c r="M27" s="437">
        <v>0.04</v>
      </c>
      <c r="N27" s="553">
        <f t="shared" si="2"/>
        <v>374.25410634559978</v>
      </c>
      <c r="O27" s="387">
        <f t="shared" si="6"/>
        <v>9730.6067649855941</v>
      </c>
      <c r="P27" s="387">
        <f t="shared" si="3"/>
        <v>734.11382398559954</v>
      </c>
    </row>
    <row r="28" spans="1:16">
      <c r="A28" s="8">
        <v>18</v>
      </c>
      <c r="C28" s="639" t="s">
        <v>956</v>
      </c>
      <c r="D28" s="91">
        <v>62790.160000000054</v>
      </c>
      <c r="G28" s="437"/>
      <c r="H28" s="387">
        <f t="shared" si="0"/>
        <v>0</v>
      </c>
      <c r="I28" s="387">
        <f t="shared" si="1"/>
        <v>62790.160000000054</v>
      </c>
      <c r="J28" s="640">
        <v>0.04</v>
      </c>
      <c r="K28" s="387">
        <f t="shared" si="4"/>
        <v>2511.6064000000024</v>
      </c>
      <c r="L28" s="387">
        <f t="shared" si="5"/>
        <v>65301.766400000059</v>
      </c>
      <c r="M28" s="437">
        <v>0.04</v>
      </c>
      <c r="N28" s="553">
        <f t="shared" si="2"/>
        <v>2612.0706560000026</v>
      </c>
      <c r="O28" s="387">
        <f t="shared" si="6"/>
        <v>67913.837056000062</v>
      </c>
      <c r="P28" s="387">
        <f t="shared" si="3"/>
        <v>5123.677056000005</v>
      </c>
    </row>
    <row r="29" spans="1:16">
      <c r="A29" s="8">
        <v>19</v>
      </c>
      <c r="C29" s="639" t="s">
        <v>957</v>
      </c>
      <c r="D29" s="91">
        <v>11787.9457</v>
      </c>
      <c r="G29" s="437"/>
      <c r="H29" s="387">
        <f t="shared" si="0"/>
        <v>0</v>
      </c>
      <c r="I29" s="387">
        <f t="shared" si="1"/>
        <v>11787.9457</v>
      </c>
      <c r="J29" s="640">
        <v>0.04</v>
      </c>
      <c r="K29" s="387">
        <f t="shared" si="4"/>
        <v>471.51782800000001</v>
      </c>
      <c r="L29" s="387">
        <f t="shared" si="5"/>
        <v>12259.463528</v>
      </c>
      <c r="M29" s="437">
        <v>0.04</v>
      </c>
      <c r="N29" s="553">
        <f t="shared" si="2"/>
        <v>490.37854112000002</v>
      </c>
      <c r="O29" s="387">
        <f t="shared" si="6"/>
        <v>12749.842069120001</v>
      </c>
      <c r="P29" s="387">
        <f t="shared" si="3"/>
        <v>961.89636912000003</v>
      </c>
    </row>
    <row r="30" spans="1:16">
      <c r="A30" s="8">
        <v>20</v>
      </c>
      <c r="C30" s="639" t="s">
        <v>959</v>
      </c>
      <c r="D30" s="641">
        <f>684342.989486994-D31</f>
        <v>326377.82999999571</v>
      </c>
      <c r="G30" s="437"/>
      <c r="H30" s="387">
        <f t="shared" si="0"/>
        <v>0</v>
      </c>
      <c r="I30" s="387">
        <f t="shared" si="1"/>
        <v>326377.82999999571</v>
      </c>
      <c r="J30" s="640">
        <v>0.04</v>
      </c>
      <c r="K30" s="387">
        <f t="shared" si="4"/>
        <v>13055.113199999829</v>
      </c>
      <c r="L30" s="387">
        <f t="shared" si="5"/>
        <v>339432.94319999556</v>
      </c>
      <c r="M30" s="437">
        <v>0.04</v>
      </c>
      <c r="N30" s="553">
        <f>+L30*M30</f>
        <v>13577.317727999822</v>
      </c>
      <c r="O30" s="387">
        <f t="shared" si="6"/>
        <v>353010.26092799538</v>
      </c>
      <c r="P30" s="387">
        <f>+N30+K30+H30</f>
        <v>26632.430927999652</v>
      </c>
    </row>
    <row r="31" spans="1:16">
      <c r="A31" s="8">
        <v>21</v>
      </c>
      <c r="C31" s="639" t="s">
        <v>1121</v>
      </c>
      <c r="D31" s="641">
        <v>357965.15948699828</v>
      </c>
      <c r="G31" s="437"/>
      <c r="H31" s="387">
        <f t="shared" si="0"/>
        <v>0</v>
      </c>
      <c r="I31" s="387">
        <f t="shared" si="1"/>
        <v>357965.15948699828</v>
      </c>
      <c r="J31" s="640">
        <v>3.7999999999999999E-2</v>
      </c>
      <c r="K31" s="387">
        <f t="shared" si="4"/>
        <v>13602.676060505933</v>
      </c>
      <c r="L31" s="387">
        <f t="shared" si="5"/>
        <v>371567.83554750419</v>
      </c>
      <c r="M31" s="437">
        <v>3.7999999999999999E-2</v>
      </c>
      <c r="N31" s="553">
        <f>+L31*M31</f>
        <v>14119.57775080516</v>
      </c>
      <c r="O31" s="387">
        <f t="shared" si="6"/>
        <v>385687.41329830937</v>
      </c>
      <c r="P31" s="387">
        <f>+N31+K31+H31</f>
        <v>27722.253811311093</v>
      </c>
    </row>
    <row r="32" spans="1:16">
      <c r="A32" s="8">
        <v>22</v>
      </c>
      <c r="C32" s="639" t="s">
        <v>960</v>
      </c>
      <c r="D32" s="641">
        <f>2187157.41531306-D33</f>
        <v>1695592.6198770627</v>
      </c>
      <c r="G32" s="437"/>
      <c r="H32" s="387">
        <f t="shared" si="0"/>
        <v>0</v>
      </c>
      <c r="I32" s="387">
        <f t="shared" si="1"/>
        <v>1695592.6198770627</v>
      </c>
      <c r="J32" s="640">
        <v>0.04</v>
      </c>
      <c r="K32" s="387">
        <f t="shared" si="4"/>
        <v>67823.704795082507</v>
      </c>
      <c r="L32" s="387">
        <f t="shared" si="5"/>
        <v>1763416.3246721453</v>
      </c>
      <c r="M32" s="437">
        <v>0.04</v>
      </c>
      <c r="N32" s="553">
        <f>+L32*M32</f>
        <v>70536.65298688582</v>
      </c>
      <c r="O32" s="387">
        <f t="shared" si="6"/>
        <v>1833952.9776590311</v>
      </c>
      <c r="P32" s="387">
        <f>+N32+K32+H32</f>
        <v>138360.35778196831</v>
      </c>
    </row>
    <row r="33" spans="1:16">
      <c r="A33" s="8">
        <v>23</v>
      </c>
      <c r="C33" s="639" t="s">
        <v>1122</v>
      </c>
      <c r="D33" s="641">
        <v>491564.79543599725</v>
      </c>
      <c r="G33" s="437"/>
      <c r="H33" s="387">
        <f t="shared" si="0"/>
        <v>0</v>
      </c>
      <c r="I33" s="387">
        <f t="shared" si="1"/>
        <v>491564.79543599725</v>
      </c>
      <c r="J33" s="640">
        <v>3.7999999999999999E-2</v>
      </c>
      <c r="K33" s="387">
        <f t="shared" si="4"/>
        <v>18679.462226567895</v>
      </c>
      <c r="L33" s="387">
        <f t="shared" si="5"/>
        <v>510244.25766256516</v>
      </c>
      <c r="M33" s="437">
        <v>3.7999999999999999E-2</v>
      </c>
      <c r="N33" s="553">
        <f>+L33*M33</f>
        <v>19389.281791177476</v>
      </c>
      <c r="O33" s="387">
        <f t="shared" si="6"/>
        <v>529633.53945374268</v>
      </c>
      <c r="P33" s="387">
        <f>+N33+K33+H33</f>
        <v>38068.744017745368</v>
      </c>
    </row>
    <row r="34" spans="1:16">
      <c r="A34" s="8">
        <v>24</v>
      </c>
      <c r="C34" s="642">
        <v>29260</v>
      </c>
      <c r="D34" s="91">
        <v>13434.174545999997</v>
      </c>
      <c r="G34" s="437"/>
      <c r="H34" s="387">
        <f t="shared" si="0"/>
        <v>0</v>
      </c>
      <c r="I34" s="387">
        <f t="shared" si="1"/>
        <v>13434.174545999997</v>
      </c>
      <c r="J34" s="640">
        <v>0.04</v>
      </c>
      <c r="K34" s="387">
        <f t="shared" si="4"/>
        <v>537.36698183999988</v>
      </c>
      <c r="L34" s="387">
        <f t="shared" si="5"/>
        <v>13971.541527839996</v>
      </c>
      <c r="M34" s="437">
        <v>0.04</v>
      </c>
      <c r="N34" s="553">
        <f>+L34*M34</f>
        <v>558.86166111359989</v>
      </c>
      <c r="O34" s="387">
        <f t="shared" si="6"/>
        <v>14530.403188953596</v>
      </c>
      <c r="P34" s="387">
        <f>+N34+K34+H34</f>
        <v>1096.2286429535998</v>
      </c>
    </row>
    <row r="35" spans="1:16">
      <c r="A35" s="8">
        <v>25</v>
      </c>
      <c r="C35" s="642"/>
      <c r="D35" s="91"/>
      <c r="G35" s="437"/>
      <c r="H35" s="387"/>
      <c r="I35" s="387"/>
      <c r="J35" s="640"/>
      <c r="K35" s="387"/>
      <c r="L35" s="387"/>
      <c r="M35" s="437"/>
      <c r="N35" s="553"/>
      <c r="P35" s="387"/>
    </row>
    <row r="36" spans="1:16">
      <c r="A36" s="8">
        <v>26</v>
      </c>
      <c r="D36" s="643">
        <f>SUM(D20:D34)</f>
        <v>5559294.3251210293</v>
      </c>
      <c r="F36" s="643">
        <f>SUM(F20:F34)</f>
        <v>0</v>
      </c>
      <c r="H36" s="643">
        <f>SUM(H20:H34)</f>
        <v>0</v>
      </c>
      <c r="I36" s="643">
        <f>SUM(I20:I34)</f>
        <v>5559294.3251210293</v>
      </c>
      <c r="K36" s="643">
        <f>SUM(K20:K34)</f>
        <v>220672.71309499515</v>
      </c>
      <c r="L36" s="643">
        <f>SUM(L20:L34)</f>
        <v>5779967.0382160246</v>
      </c>
      <c r="N36" s="643">
        <f>SUM(N20:N34)</f>
        <v>229435.05734222083</v>
      </c>
      <c r="O36" s="643">
        <f>SUM(O20:O34)</f>
        <v>6009402.0955582447</v>
      </c>
      <c r="P36" s="643">
        <f>SUM(P20:P34)</f>
        <v>450107.77043721598</v>
      </c>
    </row>
    <row r="37" spans="1:16">
      <c r="A37" s="8" t="s">
        <v>1727</v>
      </c>
      <c r="B37" s="6" t="s">
        <v>944</v>
      </c>
    </row>
    <row r="38" spans="1:16">
      <c r="A38" s="8">
        <v>27</v>
      </c>
      <c r="C38" s="642" t="s">
        <v>961</v>
      </c>
      <c r="D38" s="643"/>
    </row>
    <row r="39" spans="1:16">
      <c r="A39" s="8">
        <v>28</v>
      </c>
      <c r="C39" s="639" t="s">
        <v>948</v>
      </c>
      <c r="D39" s="91">
        <v>65642.860590000142</v>
      </c>
      <c r="F39" s="91">
        <v>16091.811392000001</v>
      </c>
      <c r="G39" s="437">
        <v>3.1E-2</v>
      </c>
      <c r="H39" s="387">
        <f>+F39*G39</f>
        <v>498.84615315200006</v>
      </c>
      <c r="I39" s="387">
        <f t="shared" ref="I39:I60" si="7">+D39+H39</f>
        <v>66141.706743152143</v>
      </c>
      <c r="J39" s="437">
        <v>3.1E-2</v>
      </c>
      <c r="K39" s="387">
        <f t="shared" ref="K39:K60" si="8">+I39*J39</f>
        <v>2050.3929090377164</v>
      </c>
      <c r="L39" s="387">
        <f t="shared" ref="L39:L59" si="9">+I39+K39</f>
        <v>68192.099652189863</v>
      </c>
      <c r="M39" s="437">
        <v>3.1E-2</v>
      </c>
      <c r="N39" s="553">
        <f t="shared" ref="N39:N59" si="10">+L39*M39</f>
        <v>2113.9550892178859</v>
      </c>
      <c r="O39" s="553">
        <f>+L39+N39</f>
        <v>70306.054741407745</v>
      </c>
      <c r="P39" s="387">
        <f t="shared" ref="P39:P60" si="11">+N39+K39+H39</f>
        <v>4663.1941514076016</v>
      </c>
    </row>
    <row r="40" spans="1:16">
      <c r="A40" s="8">
        <v>29</v>
      </c>
      <c r="C40" s="639" t="s">
        <v>962</v>
      </c>
      <c r="D40" s="91">
        <v>78031.010000000446</v>
      </c>
      <c r="F40" s="91">
        <v>20963.160000000007</v>
      </c>
      <c r="G40" s="437">
        <v>3.1E-2</v>
      </c>
      <c r="H40" s="387">
        <f>+F40*G40</f>
        <v>649.85796000000016</v>
      </c>
      <c r="I40" s="387">
        <f t="shared" si="7"/>
        <v>78680.86796000044</v>
      </c>
      <c r="J40" s="437">
        <v>3.1E-2</v>
      </c>
      <c r="K40" s="387">
        <f t="shared" si="8"/>
        <v>2439.1069067600138</v>
      </c>
      <c r="L40" s="387">
        <f t="shared" si="9"/>
        <v>81119.974866760458</v>
      </c>
      <c r="M40" s="437">
        <v>3.1E-2</v>
      </c>
      <c r="N40" s="553">
        <f t="shared" si="10"/>
        <v>2514.7192208695742</v>
      </c>
      <c r="O40" s="553">
        <f t="shared" ref="O40:O56" si="12">+L40+N40</f>
        <v>83634.694087630036</v>
      </c>
      <c r="P40" s="387">
        <f t="shared" si="11"/>
        <v>5603.6840876295882</v>
      </c>
    </row>
    <row r="41" spans="1:16">
      <c r="A41" s="8">
        <v>30</v>
      </c>
      <c r="C41" s="639" t="s">
        <v>949</v>
      </c>
      <c r="D41" s="91">
        <v>2069470.9652639814</v>
      </c>
      <c r="F41" s="91">
        <v>497116.51765099907</v>
      </c>
      <c r="G41" s="437">
        <v>3.1E-2</v>
      </c>
      <c r="H41" s="387">
        <f>+F41*G41</f>
        <v>15410.612047180972</v>
      </c>
      <c r="I41" s="387">
        <f t="shared" si="7"/>
        <v>2084881.5773111624</v>
      </c>
      <c r="J41" s="437">
        <v>3.1E-2</v>
      </c>
      <c r="K41" s="387">
        <f t="shared" si="8"/>
        <v>64631.328896646031</v>
      </c>
      <c r="L41" s="387">
        <f t="shared" si="9"/>
        <v>2149512.9062078083</v>
      </c>
      <c r="M41" s="437">
        <v>3.1E-2</v>
      </c>
      <c r="N41" s="553">
        <f t="shared" si="10"/>
        <v>66634.900092442054</v>
      </c>
      <c r="O41" s="553">
        <f t="shared" si="12"/>
        <v>2216147.8063002503</v>
      </c>
      <c r="P41" s="387">
        <f t="shared" si="11"/>
        <v>146676.84103626906</v>
      </c>
    </row>
    <row r="42" spans="1:16">
      <c r="A42" s="8">
        <v>31</v>
      </c>
      <c r="C42" s="639" t="s">
        <v>963</v>
      </c>
      <c r="D42" s="91">
        <v>304520.09932699846</v>
      </c>
      <c r="F42" s="91">
        <v>73909.680551000114</v>
      </c>
      <c r="G42" s="437">
        <v>3.1E-2</v>
      </c>
      <c r="H42" s="387">
        <f t="shared" ref="H42:H60" si="13">+F42*G42</f>
        <v>2291.2000970810036</v>
      </c>
      <c r="I42" s="387">
        <f t="shared" si="7"/>
        <v>306811.29942407948</v>
      </c>
      <c r="J42" s="437">
        <v>3.1E-2</v>
      </c>
      <c r="K42" s="387">
        <f t="shared" si="8"/>
        <v>9511.1502821464637</v>
      </c>
      <c r="L42" s="387">
        <f t="shared" si="9"/>
        <v>316322.44970622595</v>
      </c>
      <c r="M42" s="437">
        <v>3.1E-2</v>
      </c>
      <c r="N42" s="553">
        <f t="shared" si="10"/>
        <v>9805.9959408930044</v>
      </c>
      <c r="O42" s="553">
        <f t="shared" si="12"/>
        <v>326128.44564711896</v>
      </c>
      <c r="P42" s="387">
        <f t="shared" si="11"/>
        <v>21608.346320120472</v>
      </c>
    </row>
    <row r="43" spans="1:16">
      <c r="A43" s="8">
        <v>32</v>
      </c>
      <c r="C43" s="639" t="s">
        <v>964</v>
      </c>
      <c r="D43" s="91">
        <v>68748.616163999861</v>
      </c>
      <c r="F43" s="91">
        <v>21810.994966000002</v>
      </c>
      <c r="G43" s="437">
        <v>3.1E-2</v>
      </c>
      <c r="H43" s="387">
        <f t="shared" si="13"/>
        <v>676.14084394600002</v>
      </c>
      <c r="I43" s="387">
        <f t="shared" si="7"/>
        <v>69424.757007945867</v>
      </c>
      <c r="J43" s="437">
        <v>3.1E-2</v>
      </c>
      <c r="K43" s="387">
        <f t="shared" si="8"/>
        <v>2152.1674672463218</v>
      </c>
      <c r="L43" s="387">
        <f t="shared" si="9"/>
        <v>71576.924475192194</v>
      </c>
      <c r="M43" s="437">
        <v>3.1E-2</v>
      </c>
      <c r="N43" s="553">
        <f t="shared" si="10"/>
        <v>2218.8846587309581</v>
      </c>
      <c r="O43" s="553">
        <f t="shared" si="12"/>
        <v>73795.809133923147</v>
      </c>
      <c r="P43" s="387">
        <f t="shared" si="11"/>
        <v>5047.1929699232796</v>
      </c>
    </row>
    <row r="44" spans="1:16">
      <c r="A44" s="8">
        <v>33</v>
      </c>
      <c r="C44" s="639" t="s">
        <v>950</v>
      </c>
      <c r="D44" s="91">
        <v>1150953.1000000152</v>
      </c>
      <c r="F44" s="91">
        <v>277047.46000000107</v>
      </c>
      <c r="G44" s="437">
        <v>3.1E-2</v>
      </c>
      <c r="H44" s="387">
        <f t="shared" si="13"/>
        <v>8588.471260000033</v>
      </c>
      <c r="I44" s="387">
        <f t="shared" si="7"/>
        <v>1159541.5712600152</v>
      </c>
      <c r="J44" s="437">
        <v>3.1E-2</v>
      </c>
      <c r="K44" s="387">
        <f t="shared" si="8"/>
        <v>35945.788709060471</v>
      </c>
      <c r="L44" s="387">
        <f t="shared" si="9"/>
        <v>1195487.3599690758</v>
      </c>
      <c r="M44" s="437">
        <v>3.1E-2</v>
      </c>
      <c r="N44" s="553">
        <f t="shared" si="10"/>
        <v>37060.108159041345</v>
      </c>
      <c r="O44" s="553">
        <f t="shared" si="12"/>
        <v>1232547.468128117</v>
      </c>
      <c r="P44" s="387">
        <f t="shared" si="11"/>
        <v>81594.368128101851</v>
      </c>
    </row>
    <row r="45" spans="1:16">
      <c r="A45" s="8">
        <v>34</v>
      </c>
      <c r="C45" s="639" t="s">
        <v>951</v>
      </c>
      <c r="D45" s="91">
        <v>945193.08999998716</v>
      </c>
      <c r="F45" s="91">
        <v>257382.84999999913</v>
      </c>
      <c r="G45" s="437">
        <v>3.1E-2</v>
      </c>
      <c r="H45" s="387">
        <f t="shared" si="13"/>
        <v>7978.8683499999734</v>
      </c>
      <c r="I45" s="387">
        <f t="shared" si="7"/>
        <v>953171.95834998717</v>
      </c>
      <c r="J45" s="437">
        <v>3.1E-2</v>
      </c>
      <c r="K45" s="387">
        <f t="shared" si="8"/>
        <v>29548.3307088496</v>
      </c>
      <c r="L45" s="387">
        <f t="shared" si="9"/>
        <v>982720.28905883676</v>
      </c>
      <c r="M45" s="437">
        <v>3.1E-2</v>
      </c>
      <c r="N45" s="553">
        <f t="shared" si="10"/>
        <v>30464.328960823939</v>
      </c>
      <c r="O45" s="553">
        <f t="shared" si="12"/>
        <v>1013184.6180196607</v>
      </c>
      <c r="P45" s="387">
        <f t="shared" si="11"/>
        <v>67991.528019673511</v>
      </c>
    </row>
    <row r="46" spans="1:16">
      <c r="A46" s="8">
        <v>35</v>
      </c>
      <c r="C46" s="639" t="s">
        <v>952</v>
      </c>
      <c r="D46" s="91">
        <v>1143221.8732780369</v>
      </c>
      <c r="F46" s="91">
        <v>326097.65622899926</v>
      </c>
      <c r="G46" s="437">
        <v>3.1E-2</v>
      </c>
      <c r="H46" s="387">
        <f t="shared" si="13"/>
        <v>10109.027343098976</v>
      </c>
      <c r="I46" s="387">
        <f t="shared" si="7"/>
        <v>1153330.900621136</v>
      </c>
      <c r="J46" s="437">
        <v>3.1E-2</v>
      </c>
      <c r="K46" s="387">
        <f t="shared" si="8"/>
        <v>35753.257919255215</v>
      </c>
      <c r="L46" s="387">
        <f t="shared" si="9"/>
        <v>1189084.1585403911</v>
      </c>
      <c r="M46" s="437">
        <v>3.1E-2</v>
      </c>
      <c r="N46" s="553">
        <f t="shared" si="10"/>
        <v>36861.608914752127</v>
      </c>
      <c r="O46" s="553">
        <f t="shared" si="12"/>
        <v>1225945.7674551432</v>
      </c>
      <c r="P46" s="387">
        <f t="shared" si="11"/>
        <v>82723.894177106326</v>
      </c>
    </row>
    <row r="47" spans="1:16">
      <c r="A47" s="8">
        <v>36</v>
      </c>
      <c r="C47" s="32">
        <v>28860</v>
      </c>
      <c r="D47" s="91">
        <v>73.92</v>
      </c>
      <c r="F47" s="91">
        <v>0</v>
      </c>
      <c r="G47" s="437">
        <v>3.1E-2</v>
      </c>
      <c r="H47" s="387">
        <f t="shared" si="13"/>
        <v>0</v>
      </c>
      <c r="I47" s="387">
        <f>+D47+H47</f>
        <v>73.92</v>
      </c>
      <c r="J47" s="437">
        <v>3.1E-2</v>
      </c>
      <c r="K47" s="387">
        <f>+I47*J47</f>
        <v>2.2915200000000002</v>
      </c>
      <c r="L47" s="387">
        <f>+I47+K47</f>
        <v>76.211520000000007</v>
      </c>
      <c r="M47" s="437">
        <v>3.1E-2</v>
      </c>
      <c r="N47" s="553">
        <f>+L47*M47</f>
        <v>2.3625571200000004</v>
      </c>
      <c r="O47" s="553">
        <f t="shared" si="12"/>
        <v>78.574077120000013</v>
      </c>
      <c r="P47" s="387">
        <f>+N47+K47+H47</f>
        <v>4.6540771200000002</v>
      </c>
    </row>
    <row r="48" spans="1:16">
      <c r="A48" s="8">
        <v>37</v>
      </c>
      <c r="C48" s="639" t="s">
        <v>953</v>
      </c>
      <c r="D48" s="91">
        <v>595618.26032400515</v>
      </c>
      <c r="F48" s="91">
        <v>144258.64363099993</v>
      </c>
      <c r="G48" s="437">
        <v>3.1E-2</v>
      </c>
      <c r="H48" s="387">
        <f t="shared" si="13"/>
        <v>4472.0179525609974</v>
      </c>
      <c r="I48" s="387">
        <f t="shared" si="7"/>
        <v>600090.27827656618</v>
      </c>
      <c r="J48" s="437">
        <v>3.1E-2</v>
      </c>
      <c r="K48" s="387">
        <f t="shared" si="8"/>
        <v>18602.798626573553</v>
      </c>
      <c r="L48" s="387">
        <f t="shared" si="9"/>
        <v>618693.07690313971</v>
      </c>
      <c r="M48" s="437">
        <v>3.1E-2</v>
      </c>
      <c r="N48" s="553">
        <f t="shared" si="10"/>
        <v>19179.485383997329</v>
      </c>
      <c r="O48" s="553">
        <f t="shared" si="12"/>
        <v>637872.56228713703</v>
      </c>
      <c r="P48" s="387">
        <f t="shared" si="11"/>
        <v>42254.301963131882</v>
      </c>
    </row>
    <row r="49" spans="1:16">
      <c r="A49" s="8">
        <v>38</v>
      </c>
      <c r="C49" s="639" t="s">
        <v>965</v>
      </c>
      <c r="D49" s="91">
        <v>18538.699999999993</v>
      </c>
      <c r="F49" s="91">
        <v>3423.8999999999992</v>
      </c>
      <c r="G49" s="437">
        <v>3.1E-2</v>
      </c>
      <c r="H49" s="387">
        <f t="shared" si="13"/>
        <v>106.14089999999997</v>
      </c>
      <c r="I49" s="387">
        <f t="shared" si="7"/>
        <v>18644.840899999992</v>
      </c>
      <c r="J49" s="437">
        <v>3.1E-2</v>
      </c>
      <c r="K49" s="387">
        <f t="shared" si="8"/>
        <v>577.99006789999976</v>
      </c>
      <c r="L49" s="387">
        <f t="shared" si="9"/>
        <v>19222.83096789999</v>
      </c>
      <c r="M49" s="437">
        <v>3.1E-2</v>
      </c>
      <c r="N49" s="553">
        <f t="shared" si="10"/>
        <v>595.90776000489973</v>
      </c>
      <c r="O49" s="553">
        <f t="shared" si="12"/>
        <v>19818.738727904889</v>
      </c>
      <c r="P49" s="387">
        <f t="shared" si="11"/>
        <v>1280.0387279048994</v>
      </c>
    </row>
    <row r="50" spans="1:16">
      <c r="A50" s="8">
        <v>39</v>
      </c>
      <c r="C50" s="639" t="s">
        <v>954</v>
      </c>
      <c r="D50" s="91">
        <v>216222.84648300009</v>
      </c>
      <c r="F50" s="91">
        <v>58968.791257000055</v>
      </c>
      <c r="G50" s="437">
        <v>3.1E-2</v>
      </c>
      <c r="H50" s="387">
        <f t="shared" si="13"/>
        <v>1828.0325289670018</v>
      </c>
      <c r="I50" s="387">
        <f t="shared" si="7"/>
        <v>218050.8790119671</v>
      </c>
      <c r="J50" s="437">
        <v>3.1E-2</v>
      </c>
      <c r="K50" s="387">
        <f t="shared" si="8"/>
        <v>6759.5772493709801</v>
      </c>
      <c r="L50" s="387">
        <f t="shared" si="9"/>
        <v>224810.45626133808</v>
      </c>
      <c r="M50" s="437">
        <v>3.1E-2</v>
      </c>
      <c r="N50" s="553">
        <f t="shared" si="10"/>
        <v>6969.1241441014809</v>
      </c>
      <c r="O50" s="553">
        <f t="shared" si="12"/>
        <v>231779.58040543957</v>
      </c>
      <c r="P50" s="387">
        <f t="shared" si="11"/>
        <v>15556.733922439462</v>
      </c>
    </row>
    <row r="51" spans="1:16">
      <c r="A51" s="8">
        <v>40</v>
      </c>
      <c r="C51" s="639" t="s">
        <v>955</v>
      </c>
      <c r="D51" s="91">
        <v>9325.1699999999946</v>
      </c>
      <c r="F51" s="91">
        <v>4589.6200000000008</v>
      </c>
      <c r="G51" s="437">
        <v>3.1E-2</v>
      </c>
      <c r="H51" s="387">
        <f t="shared" si="13"/>
        <v>142.27822000000003</v>
      </c>
      <c r="I51" s="387">
        <f t="shared" si="7"/>
        <v>9467.4482199999948</v>
      </c>
      <c r="J51" s="437">
        <v>3.1E-2</v>
      </c>
      <c r="K51" s="387">
        <f t="shared" si="8"/>
        <v>293.49089481999982</v>
      </c>
      <c r="L51" s="387">
        <f t="shared" si="9"/>
        <v>9760.9391148199938</v>
      </c>
      <c r="M51" s="437">
        <v>3.1E-2</v>
      </c>
      <c r="N51" s="553">
        <f t="shared" si="10"/>
        <v>302.58911255941979</v>
      </c>
      <c r="O51" s="553">
        <f t="shared" si="12"/>
        <v>10063.528227379413</v>
      </c>
      <c r="P51" s="387">
        <f t="shared" si="11"/>
        <v>738.35822737941965</v>
      </c>
    </row>
    <row r="52" spans="1:16">
      <c r="A52" s="8">
        <v>41</v>
      </c>
      <c r="C52" s="639" t="s">
        <v>956</v>
      </c>
      <c r="D52" s="91">
        <v>764674.29755901697</v>
      </c>
      <c r="F52" s="91">
        <v>203272.48417499993</v>
      </c>
      <c r="G52" s="437">
        <v>3.1E-2</v>
      </c>
      <c r="H52" s="387">
        <f t="shared" si="13"/>
        <v>6301.4470094249982</v>
      </c>
      <c r="I52" s="387">
        <f t="shared" si="7"/>
        <v>770975.74456844199</v>
      </c>
      <c r="J52" s="437">
        <v>3.1E-2</v>
      </c>
      <c r="K52" s="387">
        <f t="shared" si="8"/>
        <v>23900.248081621703</v>
      </c>
      <c r="L52" s="387">
        <f t="shared" si="9"/>
        <v>794875.99265006371</v>
      </c>
      <c r="M52" s="437">
        <v>3.1E-2</v>
      </c>
      <c r="N52" s="553">
        <f t="shared" si="10"/>
        <v>24641.155772151975</v>
      </c>
      <c r="O52" s="553">
        <f t="shared" si="12"/>
        <v>819517.14842221572</v>
      </c>
      <c r="P52" s="387">
        <f t="shared" si="11"/>
        <v>54842.850863198677</v>
      </c>
    </row>
    <row r="53" spans="1:16">
      <c r="A53" s="8">
        <v>42</v>
      </c>
      <c r="C53" s="639" t="s">
        <v>957</v>
      </c>
      <c r="D53" s="91">
        <v>879038.63501599082</v>
      </c>
      <c r="F53" s="91">
        <v>258998.25900699937</v>
      </c>
      <c r="G53" s="437">
        <v>3.1E-2</v>
      </c>
      <c r="H53" s="387">
        <f t="shared" si="13"/>
        <v>8028.9460292169806</v>
      </c>
      <c r="I53" s="387">
        <f t="shared" si="7"/>
        <v>887067.5810452078</v>
      </c>
      <c r="J53" s="437">
        <v>3.1E-2</v>
      </c>
      <c r="K53" s="387">
        <f t="shared" si="8"/>
        <v>27499.095012401442</v>
      </c>
      <c r="L53" s="387">
        <f t="shared" si="9"/>
        <v>914566.67605760926</v>
      </c>
      <c r="M53" s="437">
        <v>3.1E-2</v>
      </c>
      <c r="N53" s="553">
        <f t="shared" si="10"/>
        <v>28351.566957785886</v>
      </c>
      <c r="O53" s="553">
        <f t="shared" si="12"/>
        <v>942918.24301539513</v>
      </c>
      <c r="P53" s="387">
        <f t="shared" si="11"/>
        <v>63879.60799940431</v>
      </c>
    </row>
    <row r="54" spans="1:16">
      <c r="A54" s="8">
        <v>43</v>
      </c>
      <c r="C54" s="639" t="s">
        <v>966</v>
      </c>
      <c r="D54" s="91">
        <v>61214.120000000185</v>
      </c>
      <c r="F54" s="91">
        <v>19514.749999999964</v>
      </c>
      <c r="G54" s="437">
        <v>3.1E-2</v>
      </c>
      <c r="H54" s="387">
        <f t="shared" si="13"/>
        <v>604.95724999999891</v>
      </c>
      <c r="I54" s="387">
        <f t="shared" si="7"/>
        <v>61819.077250000184</v>
      </c>
      <c r="J54" s="437">
        <v>3.1E-2</v>
      </c>
      <c r="K54" s="387">
        <f t="shared" si="8"/>
        <v>1916.3913947500057</v>
      </c>
      <c r="L54" s="387">
        <f t="shared" si="9"/>
        <v>63735.468644750188</v>
      </c>
      <c r="M54" s="437">
        <v>3.1E-2</v>
      </c>
      <c r="N54" s="553">
        <f t="shared" si="10"/>
        <v>1975.7995279872557</v>
      </c>
      <c r="O54" s="553">
        <f t="shared" si="12"/>
        <v>65711.268172737444</v>
      </c>
      <c r="P54" s="387">
        <f t="shared" si="11"/>
        <v>4497.1481727372602</v>
      </c>
    </row>
    <row r="55" spans="1:16">
      <c r="A55" s="8">
        <v>44</v>
      </c>
      <c r="C55" s="639" t="s">
        <v>958</v>
      </c>
      <c r="D55" s="91">
        <v>359204.24000000238</v>
      </c>
      <c r="F55" s="91">
        <v>103198.70999999999</v>
      </c>
      <c r="G55" s="437">
        <v>3.1E-2</v>
      </c>
      <c r="H55" s="387">
        <f t="shared" si="13"/>
        <v>3199.1600099999996</v>
      </c>
      <c r="I55" s="387">
        <f t="shared" si="7"/>
        <v>362403.40001000237</v>
      </c>
      <c r="J55" s="437">
        <v>3.1E-2</v>
      </c>
      <c r="K55" s="387">
        <f t="shared" si="8"/>
        <v>11234.505400310074</v>
      </c>
      <c r="L55" s="387">
        <f t="shared" si="9"/>
        <v>373637.90541031247</v>
      </c>
      <c r="M55" s="437">
        <v>3.1E-2</v>
      </c>
      <c r="N55" s="553">
        <f t="shared" si="10"/>
        <v>11582.775067719685</v>
      </c>
      <c r="O55" s="553">
        <f t="shared" si="12"/>
        <v>385220.68047803215</v>
      </c>
      <c r="P55" s="387">
        <f t="shared" si="11"/>
        <v>26016.440478029759</v>
      </c>
    </row>
    <row r="56" spans="1:16">
      <c r="A56" s="8">
        <v>45</v>
      </c>
      <c r="C56" s="639" t="s">
        <v>959</v>
      </c>
      <c r="D56" s="91">
        <v>96110.140000000392</v>
      </c>
      <c r="F56" s="91">
        <v>19496.73000000004</v>
      </c>
      <c r="G56" s="437">
        <v>3.1E-2</v>
      </c>
      <c r="H56" s="387">
        <f t="shared" si="13"/>
        <v>604.39863000000128</v>
      </c>
      <c r="I56" s="387">
        <f t="shared" si="7"/>
        <v>96714.538630000388</v>
      </c>
      <c r="J56" s="437">
        <v>3.1E-2</v>
      </c>
      <c r="K56" s="387">
        <f t="shared" si="8"/>
        <v>2998.1506975300122</v>
      </c>
      <c r="L56" s="387">
        <f t="shared" si="9"/>
        <v>99712.689327530403</v>
      </c>
      <c r="M56" s="437">
        <v>3.1E-2</v>
      </c>
      <c r="N56" s="553">
        <f t="shared" si="10"/>
        <v>3091.0933691534424</v>
      </c>
      <c r="O56" s="553">
        <f t="shared" si="12"/>
        <v>102803.78269668385</v>
      </c>
      <c r="P56" s="387">
        <f t="shared" si="11"/>
        <v>6693.6426966834561</v>
      </c>
    </row>
    <row r="57" spans="1:16">
      <c r="A57" s="8">
        <v>46</v>
      </c>
      <c r="C57" s="639" t="s">
        <v>960</v>
      </c>
      <c r="D57" s="91">
        <v>1779.60861</v>
      </c>
      <c r="F57" s="91">
        <v>222.55833600000003</v>
      </c>
      <c r="G57" s="437">
        <v>3.1E-2</v>
      </c>
      <c r="H57" s="387">
        <f t="shared" si="13"/>
        <v>6.8993084160000011</v>
      </c>
      <c r="I57" s="387">
        <f t="shared" si="7"/>
        <v>1786.5079184159999</v>
      </c>
      <c r="J57" s="437">
        <v>3.1E-2</v>
      </c>
      <c r="K57" s="387">
        <f t="shared" si="8"/>
        <v>55.381745470896</v>
      </c>
      <c r="L57" s="387">
        <f t="shared" si="9"/>
        <v>1841.889663886896</v>
      </c>
      <c r="M57" s="437">
        <v>3.1E-2</v>
      </c>
      <c r="N57" s="553">
        <f t="shared" si="10"/>
        <v>57.098579580493777</v>
      </c>
      <c r="O57" s="553">
        <f>+L57+N57</f>
        <v>1898.9882434673898</v>
      </c>
      <c r="P57" s="387">
        <f t="shared" si="11"/>
        <v>119.37963346738977</v>
      </c>
    </row>
    <row r="58" spans="1:16">
      <c r="A58" s="8">
        <v>47</v>
      </c>
      <c r="C58" s="32">
        <v>29210</v>
      </c>
      <c r="D58" s="91">
        <v>387.61039200000005</v>
      </c>
      <c r="F58" s="91">
        <v>0</v>
      </c>
      <c r="G58" s="437">
        <v>3.1E-2</v>
      </c>
      <c r="H58" s="387">
        <f t="shared" si="13"/>
        <v>0</v>
      </c>
      <c r="I58" s="387">
        <f>+D58+H58</f>
        <v>387.61039200000005</v>
      </c>
      <c r="J58" s="437">
        <v>3.1E-2</v>
      </c>
      <c r="K58" s="387">
        <f t="shared" si="8"/>
        <v>12.015922152000002</v>
      </c>
      <c r="L58" s="387">
        <f t="shared" si="9"/>
        <v>399.62631415200008</v>
      </c>
      <c r="M58" s="437">
        <v>3.1E-2</v>
      </c>
      <c r="N58" s="553">
        <f t="shared" si="10"/>
        <v>12.388415738712002</v>
      </c>
      <c r="O58" s="553">
        <f>+L58+N58</f>
        <v>412.01472989071209</v>
      </c>
      <c r="P58" s="387">
        <f t="shared" si="11"/>
        <v>24.404337890712004</v>
      </c>
    </row>
    <row r="59" spans="1:16">
      <c r="A59" s="8">
        <v>48</v>
      </c>
      <c r="C59" s="32">
        <v>29260</v>
      </c>
      <c r="D59" s="91">
        <v>28313.028782999991</v>
      </c>
      <c r="F59" s="91">
        <v>0</v>
      </c>
      <c r="G59" s="437">
        <v>3.1E-2</v>
      </c>
      <c r="H59" s="387">
        <f t="shared" si="13"/>
        <v>0</v>
      </c>
      <c r="I59" s="387">
        <f t="shared" si="7"/>
        <v>28313.028782999991</v>
      </c>
      <c r="J59" s="437">
        <v>3.1E-2</v>
      </c>
      <c r="K59" s="387">
        <f t="shared" si="8"/>
        <v>877.70389227299972</v>
      </c>
      <c r="L59" s="387">
        <f t="shared" si="9"/>
        <v>29190.73267527299</v>
      </c>
      <c r="M59" s="437">
        <v>3.1E-2</v>
      </c>
      <c r="N59" s="553">
        <f t="shared" si="10"/>
        <v>904.91271293346267</v>
      </c>
      <c r="O59" s="553">
        <f>+L59+N59</f>
        <v>30095.645388206452</v>
      </c>
      <c r="P59" s="387">
        <f t="shared" si="11"/>
        <v>1782.6166052064623</v>
      </c>
    </row>
    <row r="60" spans="1:16">
      <c r="A60" s="8">
        <v>49</v>
      </c>
      <c r="C60" s="639" t="s">
        <v>967</v>
      </c>
      <c r="D60" s="91">
        <v>2965.83</v>
      </c>
      <c r="E60" s="505"/>
      <c r="F60" s="416">
        <v>1816.1100000000001</v>
      </c>
      <c r="G60" s="644">
        <v>3.1E-2</v>
      </c>
      <c r="H60" s="645">
        <f t="shared" si="13"/>
        <v>56.299410000000002</v>
      </c>
      <c r="I60" s="645">
        <f t="shared" si="7"/>
        <v>3022.12941</v>
      </c>
      <c r="J60" s="644">
        <v>3.1E-2</v>
      </c>
      <c r="K60" s="645">
        <f t="shared" si="8"/>
        <v>93.686011710000002</v>
      </c>
      <c r="L60" s="645">
        <f>+I60+K60</f>
        <v>3115.81542171</v>
      </c>
      <c r="M60" s="644">
        <v>3.1E-2</v>
      </c>
      <c r="N60" s="646">
        <f>+L60*M60</f>
        <v>96.590278073009998</v>
      </c>
      <c r="O60" s="646">
        <f>+L60+N60</f>
        <v>3212.4056997830098</v>
      </c>
      <c r="P60" s="645">
        <f t="shared" si="11"/>
        <v>246.57569978300998</v>
      </c>
    </row>
    <row r="61" spans="1:16">
      <c r="A61" s="8">
        <v>50</v>
      </c>
      <c r="D61" s="643">
        <f>SUM(D38:D60)</f>
        <v>8859248.0217900351</v>
      </c>
      <c r="F61" s="643">
        <f>SUM(F38:F60)</f>
        <v>2308180.6871949974</v>
      </c>
      <c r="H61" s="643">
        <f>SUM(H38:H60)</f>
        <v>71553.601303044925</v>
      </c>
      <c r="I61" s="643">
        <f>SUM(I38:I60)</f>
        <v>8930801.6230930816</v>
      </c>
      <c r="K61" s="643">
        <f>SUM(K38:K60)</f>
        <v>276854.8503158855</v>
      </c>
      <c r="L61" s="643">
        <f>SUM(L38:L60)</f>
        <v>9207656.4734089654</v>
      </c>
      <c r="N61" s="643">
        <f>SUM(N38:N60)</f>
        <v>285437.35067567788</v>
      </c>
      <c r="O61" s="643">
        <f>SUM(O38:O60)</f>
        <v>9493093.8240846451</v>
      </c>
      <c r="P61" s="643">
        <f>SUM(P38:P60)</f>
        <v>633845.80229460832</v>
      </c>
    </row>
    <row r="64" spans="1:16" ht="16.5" thickBot="1"/>
    <row r="65" spans="1:16">
      <c r="B65" s="1069" t="s">
        <v>1152</v>
      </c>
      <c r="C65" s="1070"/>
      <c r="D65" s="1070"/>
      <c r="E65" s="1071"/>
    </row>
    <row r="66" spans="1:16">
      <c r="B66" s="1072"/>
      <c r="C66" s="1073"/>
      <c r="D66" s="1073"/>
      <c r="E66" s="1074"/>
    </row>
    <row r="67" spans="1:16">
      <c r="B67" s="1072"/>
      <c r="C67" s="1073"/>
      <c r="D67" s="1073"/>
      <c r="E67" s="1074"/>
    </row>
    <row r="68" spans="1:16" ht="16.5" thickBot="1">
      <c r="B68" s="1075"/>
      <c r="C68" s="1076"/>
      <c r="D68" s="1076"/>
      <c r="E68" s="1077"/>
    </row>
    <row r="69" spans="1:16">
      <c r="A69" s="15" t="s">
        <v>891</v>
      </c>
    </row>
    <row r="70" spans="1:16">
      <c r="A70" s="8">
        <v>51</v>
      </c>
      <c r="B70" s="608" t="s">
        <v>1153</v>
      </c>
      <c r="F70" s="351">
        <v>1036861.35</v>
      </c>
      <c r="J70" s="437">
        <v>0</v>
      </c>
      <c r="K70" s="351">
        <f>+F70*J70</f>
        <v>0</v>
      </c>
      <c r="L70" s="351">
        <f>+F70+K70</f>
        <v>1036861.35</v>
      </c>
      <c r="M70" s="437">
        <v>0</v>
      </c>
      <c r="N70" s="6">
        <f>+L70*M70</f>
        <v>0</v>
      </c>
      <c r="O70" s="351">
        <f>+L70+N70</f>
        <v>1036861.35</v>
      </c>
      <c r="P70" s="351">
        <f>+O70-F70</f>
        <v>0</v>
      </c>
    </row>
    <row r="71" spans="1:16">
      <c r="A71" s="8">
        <v>52</v>
      </c>
      <c r="B71" s="608" t="s">
        <v>1154</v>
      </c>
      <c r="F71" s="351">
        <v>115428.85</v>
      </c>
      <c r="J71" s="437">
        <v>0.04</v>
      </c>
      <c r="K71" s="351">
        <f>+F71*J71</f>
        <v>4617.1540000000005</v>
      </c>
      <c r="L71" s="351">
        <f t="shared" ref="L71:L84" si="14">+F71+K71</f>
        <v>120046.004</v>
      </c>
      <c r="M71" s="437">
        <v>0.04</v>
      </c>
      <c r="N71" s="6">
        <f t="shared" ref="N71:N84" si="15">+L71*M71</f>
        <v>4801.8401599999997</v>
      </c>
      <c r="O71" s="351">
        <f t="shared" ref="O71:O84" si="16">+L71+N71</f>
        <v>124847.84416000001</v>
      </c>
      <c r="P71" s="351">
        <f t="shared" ref="P71:P84" si="17">+O71-F71</f>
        <v>9418.994160000002</v>
      </c>
    </row>
    <row r="72" spans="1:16">
      <c r="A72" s="8">
        <v>53</v>
      </c>
      <c r="B72" s="608" t="s">
        <v>1155</v>
      </c>
      <c r="F72" s="351">
        <v>423581.69</v>
      </c>
      <c r="J72" s="437">
        <v>0.04</v>
      </c>
      <c r="K72" s="351">
        <f t="shared" ref="K72:K84" si="18">+F72*J72</f>
        <v>16943.267599999999</v>
      </c>
      <c r="L72" s="351">
        <f t="shared" si="14"/>
        <v>440524.95760000002</v>
      </c>
      <c r="M72" s="437">
        <v>0.04</v>
      </c>
      <c r="N72" s="6">
        <f t="shared" si="15"/>
        <v>17620.998304000001</v>
      </c>
      <c r="O72" s="351">
        <f t="shared" si="16"/>
        <v>458145.95590400003</v>
      </c>
      <c r="P72" s="351">
        <f t="shared" si="17"/>
        <v>34564.265904000029</v>
      </c>
    </row>
    <row r="73" spans="1:16">
      <c r="A73" s="8">
        <v>54</v>
      </c>
      <c r="B73" s="608" t="s">
        <v>1156</v>
      </c>
      <c r="F73" s="351">
        <v>208965.05</v>
      </c>
      <c r="J73" s="437">
        <v>0.04</v>
      </c>
      <c r="K73" s="351">
        <f t="shared" si="18"/>
        <v>8358.601999999999</v>
      </c>
      <c r="L73" s="351">
        <f t="shared" si="14"/>
        <v>217323.652</v>
      </c>
      <c r="M73" s="437">
        <v>0.04</v>
      </c>
      <c r="N73" s="6">
        <f t="shared" si="15"/>
        <v>8692.9460799999997</v>
      </c>
      <c r="O73" s="351">
        <f t="shared" si="16"/>
        <v>226016.59808</v>
      </c>
      <c r="P73" s="351">
        <f t="shared" si="17"/>
        <v>17051.548080000008</v>
      </c>
    </row>
    <row r="74" spans="1:16">
      <c r="A74" s="8">
        <v>55</v>
      </c>
      <c r="B74" s="608" t="s">
        <v>1157</v>
      </c>
      <c r="F74" s="351">
        <v>153109.92000000001</v>
      </c>
      <c r="J74" s="437">
        <v>0.04</v>
      </c>
      <c r="K74" s="351">
        <f t="shared" si="18"/>
        <v>6124.3968000000004</v>
      </c>
      <c r="L74" s="351">
        <f t="shared" si="14"/>
        <v>159234.3168</v>
      </c>
      <c r="M74" s="437">
        <v>0.04</v>
      </c>
      <c r="N74" s="6">
        <f t="shared" si="15"/>
        <v>6369.3726720000004</v>
      </c>
      <c r="O74" s="351">
        <f t="shared" si="16"/>
        <v>165603.689472</v>
      </c>
      <c r="P74" s="351">
        <f t="shared" si="17"/>
        <v>12493.769471999985</v>
      </c>
    </row>
    <row r="75" spans="1:16">
      <c r="A75" s="8">
        <v>56</v>
      </c>
      <c r="B75" s="608" t="s">
        <v>1158</v>
      </c>
      <c r="F75" s="351">
        <v>84449.44</v>
      </c>
      <c r="J75" s="437">
        <v>0.04</v>
      </c>
      <c r="K75" s="351">
        <f t="shared" si="18"/>
        <v>3377.9776000000002</v>
      </c>
      <c r="L75" s="351">
        <f t="shared" si="14"/>
        <v>87827.417600000001</v>
      </c>
      <c r="M75" s="437">
        <v>0.04</v>
      </c>
      <c r="N75" s="6">
        <f t="shared" si="15"/>
        <v>3513.096704</v>
      </c>
      <c r="O75" s="351">
        <f t="shared" si="16"/>
        <v>91340.514303999997</v>
      </c>
      <c r="P75" s="351">
        <f t="shared" si="17"/>
        <v>6891.0743039999943</v>
      </c>
    </row>
    <row r="76" spans="1:16">
      <c r="A76" s="8">
        <v>57</v>
      </c>
      <c r="B76" s="608" t="s">
        <v>1159</v>
      </c>
      <c r="F76" s="351">
        <v>1024805.29</v>
      </c>
      <c r="J76" s="437">
        <v>0.04</v>
      </c>
      <c r="K76" s="351">
        <f t="shared" si="18"/>
        <v>40992.211600000002</v>
      </c>
      <c r="L76" s="351">
        <f t="shared" si="14"/>
        <v>1065797.5016000001</v>
      </c>
      <c r="M76" s="437">
        <v>0.04</v>
      </c>
      <c r="N76" s="6">
        <f t="shared" si="15"/>
        <v>42631.900064000001</v>
      </c>
      <c r="O76" s="351">
        <f t="shared" si="16"/>
        <v>1108429.401664</v>
      </c>
      <c r="P76" s="351">
        <f t="shared" si="17"/>
        <v>83624.111663999967</v>
      </c>
    </row>
    <row r="77" spans="1:16">
      <c r="A77" s="8">
        <v>58</v>
      </c>
      <c r="B77" s="608" t="s">
        <v>1160</v>
      </c>
      <c r="F77" s="351">
        <v>208344.85</v>
      </c>
      <c r="J77" s="437">
        <v>0.04</v>
      </c>
      <c r="K77" s="351">
        <f t="shared" si="18"/>
        <v>8333.7939999999999</v>
      </c>
      <c r="L77" s="351">
        <f t="shared" si="14"/>
        <v>216678.644</v>
      </c>
      <c r="M77" s="437">
        <v>0.04</v>
      </c>
      <c r="N77" s="6">
        <f t="shared" si="15"/>
        <v>8667.1457599999994</v>
      </c>
      <c r="O77" s="351">
        <f t="shared" si="16"/>
        <v>225345.78976000001</v>
      </c>
      <c r="P77" s="351">
        <f t="shared" si="17"/>
        <v>17000.939760000008</v>
      </c>
    </row>
    <row r="78" spans="1:16">
      <c r="A78" s="8">
        <v>59</v>
      </c>
      <c r="B78" s="608" t="s">
        <v>1161</v>
      </c>
      <c r="F78" s="351">
        <v>159743.65</v>
      </c>
      <c r="J78" s="437">
        <v>0.04</v>
      </c>
      <c r="K78" s="351">
        <f t="shared" si="18"/>
        <v>6389.7460000000001</v>
      </c>
      <c r="L78" s="351">
        <f t="shared" si="14"/>
        <v>166133.39600000001</v>
      </c>
      <c r="M78" s="437">
        <v>0.04</v>
      </c>
      <c r="N78" s="6">
        <f t="shared" si="15"/>
        <v>6645.3358400000006</v>
      </c>
      <c r="O78" s="351">
        <f t="shared" si="16"/>
        <v>172778.73184000002</v>
      </c>
      <c r="P78" s="351">
        <f t="shared" si="17"/>
        <v>13035.081840000028</v>
      </c>
    </row>
    <row r="79" spans="1:16">
      <c r="A79" s="8">
        <v>60</v>
      </c>
      <c r="B79" s="608" t="s">
        <v>1162</v>
      </c>
      <c r="F79" s="351">
        <v>250606.53</v>
      </c>
      <c r="J79" s="437">
        <v>0.04</v>
      </c>
      <c r="K79" s="351">
        <f t="shared" si="18"/>
        <v>10024.261200000001</v>
      </c>
      <c r="L79" s="351">
        <f t="shared" si="14"/>
        <v>260630.79120000001</v>
      </c>
      <c r="M79" s="437">
        <v>0.04</v>
      </c>
      <c r="N79" s="6">
        <f t="shared" si="15"/>
        <v>10425.231648000001</v>
      </c>
      <c r="O79" s="351">
        <f t="shared" si="16"/>
        <v>271056.02284799999</v>
      </c>
      <c r="P79" s="351">
        <f t="shared" si="17"/>
        <v>20449.492847999994</v>
      </c>
    </row>
    <row r="80" spans="1:16">
      <c r="A80" s="8">
        <v>61</v>
      </c>
      <c r="B80" s="608" t="s">
        <v>1163</v>
      </c>
      <c r="F80" s="351">
        <v>39737.97</v>
      </c>
      <c r="J80" s="437">
        <v>0.04</v>
      </c>
      <c r="K80" s="351">
        <f t="shared" si="18"/>
        <v>1589.5188000000001</v>
      </c>
      <c r="L80" s="351">
        <f t="shared" si="14"/>
        <v>41327.488799999999</v>
      </c>
      <c r="M80" s="437">
        <v>0.04</v>
      </c>
      <c r="N80" s="6">
        <f t="shared" si="15"/>
        <v>1653.0995519999999</v>
      </c>
      <c r="O80" s="351">
        <f t="shared" si="16"/>
        <v>42980.588351999999</v>
      </c>
      <c r="P80" s="351">
        <f t="shared" si="17"/>
        <v>3242.6183519999977</v>
      </c>
    </row>
    <row r="81" spans="1:16">
      <c r="A81" s="8">
        <v>62</v>
      </c>
      <c r="B81" s="608" t="s">
        <v>1164</v>
      </c>
      <c r="F81" s="351">
        <v>29392.47</v>
      </c>
      <c r="J81" s="437">
        <v>0.04</v>
      </c>
      <c r="K81" s="351">
        <f t="shared" si="18"/>
        <v>1175.6988000000001</v>
      </c>
      <c r="L81" s="351">
        <f t="shared" si="14"/>
        <v>30568.168799999999</v>
      </c>
      <c r="M81" s="437">
        <v>0.04</v>
      </c>
      <c r="N81" s="6">
        <f t="shared" si="15"/>
        <v>1222.726752</v>
      </c>
      <c r="O81" s="351">
        <f t="shared" si="16"/>
        <v>31790.895551999998</v>
      </c>
      <c r="P81" s="351">
        <f t="shared" si="17"/>
        <v>2398.425551999997</v>
      </c>
    </row>
    <row r="82" spans="1:16">
      <c r="A82" s="8">
        <v>63</v>
      </c>
      <c r="B82" s="608" t="s">
        <v>1165</v>
      </c>
      <c r="F82" s="351">
        <v>558174.55000000005</v>
      </c>
      <c r="J82" s="437">
        <v>0.04</v>
      </c>
      <c r="K82" s="351">
        <f t="shared" si="18"/>
        <v>22326.982000000004</v>
      </c>
      <c r="L82" s="351">
        <f t="shared" si="14"/>
        <v>580501.53200000001</v>
      </c>
      <c r="M82" s="437">
        <v>0.04</v>
      </c>
      <c r="N82" s="6">
        <f t="shared" si="15"/>
        <v>23220.061280000002</v>
      </c>
      <c r="O82" s="351">
        <f t="shared" si="16"/>
        <v>603721.59328000003</v>
      </c>
      <c r="P82" s="351">
        <f t="shared" si="17"/>
        <v>45547.043279999983</v>
      </c>
    </row>
    <row r="83" spans="1:16">
      <c r="A83" s="8">
        <v>64</v>
      </c>
      <c r="B83" s="608" t="s">
        <v>1166</v>
      </c>
      <c r="F83" s="351">
        <v>54777.31</v>
      </c>
      <c r="J83" s="437">
        <v>0.04</v>
      </c>
      <c r="K83" s="351">
        <f t="shared" si="18"/>
        <v>2191.0924</v>
      </c>
      <c r="L83" s="351">
        <f t="shared" si="14"/>
        <v>56968.402399999999</v>
      </c>
      <c r="M83" s="437">
        <v>0.04</v>
      </c>
      <c r="N83" s="6">
        <f t="shared" si="15"/>
        <v>2278.7360960000001</v>
      </c>
      <c r="O83" s="351">
        <f t="shared" si="16"/>
        <v>59247.138496</v>
      </c>
      <c r="P83" s="351">
        <f t="shared" si="17"/>
        <v>4469.8284960000019</v>
      </c>
    </row>
    <row r="84" spans="1:16">
      <c r="A84" s="8">
        <v>65</v>
      </c>
      <c r="B84" s="608" t="s">
        <v>1167</v>
      </c>
      <c r="F84" s="647">
        <v>9465.5499999999993</v>
      </c>
      <c r="J84" s="437">
        <v>0.04</v>
      </c>
      <c r="K84" s="351">
        <f t="shared" si="18"/>
        <v>378.62199999999996</v>
      </c>
      <c r="L84" s="351">
        <f t="shared" si="14"/>
        <v>9844.1719999999987</v>
      </c>
      <c r="M84" s="437">
        <v>0.04</v>
      </c>
      <c r="N84" s="6">
        <f t="shared" si="15"/>
        <v>393.76687999999996</v>
      </c>
      <c r="O84" s="351">
        <f t="shared" si="16"/>
        <v>10237.938879999998</v>
      </c>
      <c r="P84" s="351">
        <f t="shared" si="17"/>
        <v>772.38887999999861</v>
      </c>
    </row>
    <row r="85" spans="1:16">
      <c r="F85" s="648">
        <f>SUM(F70:F84)</f>
        <v>4357444.47</v>
      </c>
      <c r="K85" s="648">
        <f>SUM(K70:K84)</f>
        <v>132823.3248</v>
      </c>
      <c r="L85" s="648">
        <f>SUM(L70:L84)</f>
        <v>4490267.7948000003</v>
      </c>
      <c r="N85" s="648">
        <f>SUM(N70:N84)</f>
        <v>138136.25779200002</v>
      </c>
      <c r="O85" s="648">
        <f>SUM(O70:O84)</f>
        <v>4628404.052592</v>
      </c>
      <c r="P85" s="648">
        <f>SUM(P70:P84)</f>
        <v>270959.58259200002</v>
      </c>
    </row>
    <row r="86" spans="1:16">
      <c r="K86" s="351"/>
    </row>
    <row r="87" spans="1:16">
      <c r="A87" s="995" t="s">
        <v>1592</v>
      </c>
    </row>
    <row r="88" spans="1:16">
      <c r="A88" s="995" t="s">
        <v>2140</v>
      </c>
    </row>
    <row r="89" spans="1:16">
      <c r="A89" s="995" t="s">
        <v>2141</v>
      </c>
    </row>
  </sheetData>
  <mergeCells count="6">
    <mergeCell ref="B65:E68"/>
    <mergeCell ref="E1:L1"/>
    <mergeCell ref="E2:L2"/>
    <mergeCell ref="E3:L3"/>
    <mergeCell ref="E4:L4"/>
    <mergeCell ref="E5:L5"/>
  </mergeCells>
  <printOptions horizontalCentered="1"/>
  <pageMargins left="0.7" right="0.7" top="0.75" bottom="0.75" header="0.3" footer="0.3"/>
  <pageSetup scale="43" orientation="landscape" r:id="rId1"/>
  <headerFooter scaleWithDoc="0" alignWithMargins="0">
    <oddHeader>&amp;RPage &amp;P of &amp;N</oddHeader>
    <oddFooter>&amp;LElectronic Tab Name:&amp;A</oddFooter>
  </headerFooter>
  <rowBreaks count="2" manualBreakCount="2">
    <brk id="36" max="15" man="1"/>
    <brk id="63" max="15" man="1"/>
  </row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7"/>
  <sheetViews>
    <sheetView view="pageBreakPreview" zoomScaleNormal="100" zoomScaleSheetLayoutView="100" workbookViewId="0">
      <selection activeCell="A3" sqref="A3:H3"/>
    </sheetView>
  </sheetViews>
  <sheetFormatPr defaultRowHeight="15.75"/>
  <cols>
    <col min="1" max="1" width="9.42578125" style="8" bestFit="1" customWidth="1"/>
    <col min="2" max="2" width="33" style="6" bestFit="1" customWidth="1"/>
    <col min="3" max="3" width="10.28515625" style="6" bestFit="1" customWidth="1"/>
    <col min="4" max="4" width="27.28515625" style="6" customWidth="1"/>
    <col min="5" max="5" width="18.140625" style="37" bestFit="1" customWidth="1"/>
    <col min="6" max="6" width="11.28515625" style="6" bestFit="1" customWidth="1"/>
    <col min="7" max="7" width="10.140625" style="6" bestFit="1" customWidth="1"/>
    <col min="8" max="8" width="13.5703125" style="6" bestFit="1" customWidth="1"/>
    <col min="9" max="9" width="9.140625" style="6"/>
    <col min="10" max="10" width="9.7109375" style="6" bestFit="1" customWidth="1"/>
    <col min="11" max="16384" width="9.140625" style="6"/>
  </cols>
  <sheetData>
    <row r="1" spans="1:9">
      <c r="B1" s="1025" t="s">
        <v>61</v>
      </c>
      <c r="C1" s="1025"/>
      <c r="D1" s="1025"/>
      <c r="E1" s="1025"/>
      <c r="F1" s="1025"/>
      <c r="G1" s="5"/>
      <c r="H1" s="5"/>
      <c r="I1" s="5"/>
    </row>
    <row r="2" spans="1:9">
      <c r="B2" s="1025" t="s">
        <v>1690</v>
      </c>
      <c r="C2" s="1025"/>
      <c r="D2" s="1025"/>
      <c r="E2" s="1025"/>
      <c r="F2" s="1025"/>
      <c r="G2" s="5"/>
      <c r="H2" s="5"/>
      <c r="I2" s="5"/>
    </row>
    <row r="3" spans="1:9">
      <c r="B3" s="1025" t="s">
        <v>1709</v>
      </c>
      <c r="C3" s="1025"/>
      <c r="D3" s="1025"/>
      <c r="E3" s="1025"/>
      <c r="F3" s="1025"/>
      <c r="G3" s="5"/>
      <c r="H3" s="5"/>
      <c r="I3" s="5"/>
    </row>
    <row r="4" spans="1:9">
      <c r="B4" s="1025" t="s">
        <v>981</v>
      </c>
      <c r="C4" s="1025"/>
      <c r="D4" s="1025"/>
      <c r="E4" s="1025"/>
      <c r="F4" s="1025"/>
      <c r="G4" s="5"/>
      <c r="H4" s="5"/>
      <c r="I4" s="5"/>
    </row>
    <row r="5" spans="1:9">
      <c r="B5" s="1025" t="s">
        <v>985</v>
      </c>
      <c r="C5" s="1025"/>
      <c r="D5" s="1025"/>
      <c r="E5" s="1025"/>
      <c r="F5" s="1025"/>
      <c r="G5" s="5"/>
      <c r="H5" s="5"/>
      <c r="I5" s="5"/>
    </row>
    <row r="7" spans="1:9" s="8" customFormat="1">
      <c r="B7" s="8" t="s">
        <v>1731</v>
      </c>
      <c r="C7" s="8" t="s">
        <v>1729</v>
      </c>
      <c r="D7" s="8" t="s">
        <v>1730</v>
      </c>
      <c r="E7" s="8" t="s">
        <v>1733</v>
      </c>
      <c r="F7" s="8" t="s">
        <v>1734</v>
      </c>
    </row>
    <row r="8" spans="1:9">
      <c r="A8" s="15" t="s">
        <v>1754</v>
      </c>
    </row>
    <row r="9" spans="1:9">
      <c r="A9" s="8">
        <v>1</v>
      </c>
      <c r="B9" s="6" t="s">
        <v>1638</v>
      </c>
      <c r="E9" s="649">
        <f>+'MPP-6 - Plant Additions'!X208</f>
        <v>18072319.657660004</v>
      </c>
    </row>
    <row r="10" spans="1:9">
      <c r="E10" s="6"/>
    </row>
    <row r="11" spans="1:9">
      <c r="A11" s="8">
        <v>2</v>
      </c>
      <c r="B11" s="99" t="s">
        <v>2150</v>
      </c>
      <c r="C11" s="902">
        <f>E30</f>
        <v>1.1681678480842181E-2</v>
      </c>
      <c r="E11" s="6"/>
    </row>
    <row r="12" spans="1:9">
      <c r="A12" s="8">
        <v>3</v>
      </c>
      <c r="B12" s="6" t="s">
        <v>971</v>
      </c>
      <c r="E12" s="643">
        <f>+E9*C11</f>
        <v>211115.02764378799</v>
      </c>
    </row>
    <row r="13" spans="1:9">
      <c r="E13" s="6"/>
    </row>
    <row r="14" spans="1:9">
      <c r="A14" s="8">
        <v>4</v>
      </c>
      <c r="B14" s="6" t="s">
        <v>2151</v>
      </c>
      <c r="E14" s="120">
        <f>+E33</f>
        <v>199943.9</v>
      </c>
    </row>
    <row r="15" spans="1:9">
      <c r="E15" s="6"/>
    </row>
    <row r="16" spans="1:9">
      <c r="A16" s="8">
        <v>5</v>
      </c>
      <c r="B16" s="6" t="s">
        <v>887</v>
      </c>
      <c r="D16" s="30" t="s">
        <v>1753</v>
      </c>
      <c r="E16" s="351">
        <f>+E9</f>
        <v>18072319.657660004</v>
      </c>
      <c r="F16" s="351"/>
    </row>
    <row r="17" spans="1:7">
      <c r="D17" s="30"/>
      <c r="E17" s="351"/>
      <c r="F17" s="351"/>
    </row>
    <row r="18" spans="1:7">
      <c r="A18" s="8">
        <v>6</v>
      </c>
      <c r="B18" s="6" t="s">
        <v>296</v>
      </c>
      <c r="D18" s="30" t="s">
        <v>1372</v>
      </c>
      <c r="E18" s="351">
        <f>+'MPP-6 - Plant Additions'!Z230</f>
        <v>410853.14640118089</v>
      </c>
      <c r="F18" s="351">
        <f>+E18</f>
        <v>410853.14640118089</v>
      </c>
    </row>
    <row r="19" spans="1:7">
      <c r="A19" s="8">
        <v>7</v>
      </c>
      <c r="B19" s="6" t="s">
        <v>901</v>
      </c>
      <c r="D19" s="30" t="s">
        <v>1755</v>
      </c>
      <c r="E19" s="351">
        <f>+E18/2</f>
        <v>205426.57320059044</v>
      </c>
      <c r="F19" s="351"/>
    </row>
    <row r="20" spans="1:7">
      <c r="A20" s="8">
        <v>8</v>
      </c>
      <c r="B20" s="6" t="s">
        <v>902</v>
      </c>
      <c r="D20" s="30" t="s">
        <v>1756</v>
      </c>
      <c r="E20" s="351">
        <f>+E16*0.0375</f>
        <v>677711.98716225009</v>
      </c>
      <c r="F20" s="351"/>
    </row>
    <row r="21" spans="1:7">
      <c r="A21" s="8">
        <v>9</v>
      </c>
      <c r="B21" s="6" t="s">
        <v>106</v>
      </c>
      <c r="D21" s="30" t="s">
        <v>1757</v>
      </c>
      <c r="E21" s="351">
        <f>(+E20-E18)*0.35</f>
        <v>93400.594266374217</v>
      </c>
      <c r="F21" s="351"/>
    </row>
    <row r="22" spans="1:7">
      <c r="A22" s="8">
        <v>10</v>
      </c>
      <c r="B22" s="6" t="s">
        <v>903</v>
      </c>
      <c r="D22" s="30" t="s">
        <v>1758</v>
      </c>
      <c r="E22" s="351">
        <f>+E21/2</f>
        <v>46700.297133187109</v>
      </c>
      <c r="F22" s="351"/>
    </row>
    <row r="23" spans="1:7">
      <c r="A23" s="8">
        <v>11</v>
      </c>
      <c r="B23" s="6" t="s">
        <v>904</v>
      </c>
      <c r="D23" s="30" t="s">
        <v>1759</v>
      </c>
      <c r="E23" s="351"/>
      <c r="F23" s="351">
        <f>+F18*0.35</f>
        <v>143798.60124041329</v>
      </c>
    </row>
    <row r="24" spans="1:7">
      <c r="E24" s="351"/>
      <c r="F24" s="351"/>
    </row>
    <row r="25" spans="1:7">
      <c r="A25" s="8">
        <v>12</v>
      </c>
      <c r="B25" s="6" t="s">
        <v>905</v>
      </c>
      <c r="E25" s="351">
        <f>+E16-E22-E19</f>
        <v>17820192.787326224</v>
      </c>
      <c r="F25" s="351"/>
    </row>
    <row r="26" spans="1:7">
      <c r="F26" s="437"/>
      <c r="G26" s="351"/>
    </row>
    <row r="27" spans="1:7">
      <c r="A27" s="8" t="s">
        <v>1592</v>
      </c>
      <c r="F27" s="351"/>
      <c r="G27" s="351"/>
    </row>
    <row r="28" spans="1:7">
      <c r="A28" s="996" t="s">
        <v>2146</v>
      </c>
      <c r="B28" s="498" t="s">
        <v>2147</v>
      </c>
      <c r="C28" s="498"/>
      <c r="D28" s="498"/>
      <c r="E28" s="997">
        <v>222755000</v>
      </c>
      <c r="F28" s="351"/>
      <c r="G28" s="351"/>
    </row>
    <row r="29" spans="1:7">
      <c r="A29" s="521"/>
      <c r="B29" s="19" t="s">
        <v>2148</v>
      </c>
      <c r="C29" s="19"/>
      <c r="D29" s="19"/>
      <c r="E29" s="998">
        <v>2602152.29</v>
      </c>
      <c r="F29" s="351"/>
      <c r="G29" s="351"/>
    </row>
    <row r="30" spans="1:7">
      <c r="A30" s="522"/>
      <c r="B30" s="505" t="s">
        <v>2149</v>
      </c>
      <c r="C30" s="505"/>
      <c r="D30" s="505"/>
      <c r="E30" s="999">
        <f>E29/E28</f>
        <v>1.1681678480842181E-2</v>
      </c>
      <c r="F30" s="351"/>
      <c r="G30" s="351"/>
    </row>
    <row r="31" spans="1:7">
      <c r="A31" s="996" t="s">
        <v>2144</v>
      </c>
      <c r="B31" s="498" t="s">
        <v>2133</v>
      </c>
      <c r="C31" s="498"/>
      <c r="D31" s="498"/>
      <c r="E31" s="1000">
        <v>6500000</v>
      </c>
      <c r="F31" s="351"/>
      <c r="G31" s="351"/>
    </row>
    <row r="32" spans="1:7">
      <c r="A32" s="521"/>
      <c r="B32" s="19" t="s">
        <v>2135</v>
      </c>
      <c r="C32" s="19"/>
      <c r="D32" s="19"/>
      <c r="E32" s="1001">
        <v>3.0760599999999999E-2</v>
      </c>
      <c r="F32" s="351"/>
      <c r="G32" s="351"/>
    </row>
    <row r="33" spans="1:7">
      <c r="A33" s="522"/>
      <c r="B33" s="505" t="s">
        <v>2134</v>
      </c>
      <c r="C33" s="505"/>
      <c r="D33" s="505"/>
      <c r="E33" s="1002">
        <f>+E31*E32</f>
        <v>199943.9</v>
      </c>
      <c r="F33" s="351"/>
      <c r="G33" s="351"/>
    </row>
    <row r="34" spans="1:7">
      <c r="E34" s="6"/>
      <c r="F34" s="351"/>
      <c r="G34" s="351"/>
    </row>
    <row r="35" spans="1:7">
      <c r="F35" s="351"/>
      <c r="G35" s="351"/>
    </row>
    <row r="36" spans="1:7">
      <c r="F36" s="351"/>
      <c r="G36" s="351"/>
    </row>
    <row r="37" spans="1:7">
      <c r="F37" s="351"/>
      <c r="G37" s="351"/>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6"/>
  <sheetViews>
    <sheetView zoomScaleNormal="100" workbookViewId="0">
      <selection activeCell="A3" sqref="A3:H3"/>
    </sheetView>
  </sheetViews>
  <sheetFormatPr defaultRowHeight="15.75"/>
  <cols>
    <col min="1" max="1" width="9.42578125" style="8" bestFit="1" customWidth="1"/>
    <col min="2" max="3" width="9.140625" style="6"/>
    <col min="4" max="5" width="14" style="6" bestFit="1" customWidth="1"/>
    <col min="6" max="6" width="3.7109375" style="6" customWidth="1"/>
    <col min="7" max="7" width="14.140625" style="6" bestFit="1" customWidth="1"/>
    <col min="8" max="8" width="9.140625" style="6"/>
    <col min="9" max="10" width="12.5703125" style="6" bestFit="1" customWidth="1"/>
    <col min="11" max="16384" width="9.140625" style="6"/>
  </cols>
  <sheetData>
    <row r="1" spans="1:9">
      <c r="B1" s="1025" t="s">
        <v>61</v>
      </c>
      <c r="C1" s="1025"/>
      <c r="D1" s="1025"/>
      <c r="E1" s="1025"/>
      <c r="F1" s="1025"/>
      <c r="G1" s="1025"/>
      <c r="H1" s="1025"/>
      <c r="I1" s="30"/>
    </row>
    <row r="2" spans="1:9">
      <c r="B2" s="1025" t="s">
        <v>1690</v>
      </c>
      <c r="C2" s="1025"/>
      <c r="D2" s="1025"/>
      <c r="E2" s="1025"/>
      <c r="F2" s="1025"/>
      <c r="G2" s="1025"/>
      <c r="H2" s="1025"/>
      <c r="I2" s="30"/>
    </row>
    <row r="3" spans="1:9">
      <c r="B3" s="1025" t="s">
        <v>1710</v>
      </c>
      <c r="C3" s="1025"/>
      <c r="D3" s="1025"/>
      <c r="E3" s="1025"/>
      <c r="F3" s="1025"/>
      <c r="G3" s="1025"/>
      <c r="H3" s="1025"/>
      <c r="I3" s="30"/>
    </row>
    <row r="4" spans="1:9">
      <c r="B4" s="1025" t="s">
        <v>982</v>
      </c>
      <c r="C4" s="1025"/>
      <c r="D4" s="1025"/>
      <c r="E4" s="1025"/>
      <c r="F4" s="1025"/>
      <c r="G4" s="1025"/>
      <c r="H4" s="1025"/>
      <c r="I4" s="30"/>
    </row>
    <row r="5" spans="1:9">
      <c r="B5" s="1025" t="s">
        <v>985</v>
      </c>
      <c r="C5" s="1025"/>
      <c r="D5" s="1025"/>
      <c r="E5" s="1025"/>
      <c r="F5" s="1025"/>
      <c r="G5" s="1025"/>
      <c r="H5" s="1025"/>
      <c r="I5" s="30"/>
    </row>
    <row r="6" spans="1:9">
      <c r="E6" s="30"/>
      <c r="F6" s="30"/>
      <c r="G6" s="30"/>
      <c r="H6" s="30"/>
      <c r="I6" s="30"/>
    </row>
    <row r="7" spans="1:9" s="8" customFormat="1">
      <c r="B7" s="8" t="s">
        <v>1731</v>
      </c>
      <c r="D7" s="8" t="s">
        <v>1729</v>
      </c>
      <c r="E7" s="8" t="s">
        <v>1730</v>
      </c>
      <c r="G7" s="8" t="s">
        <v>1733</v>
      </c>
    </row>
    <row r="8" spans="1:9" ht="16.5" thickBot="1">
      <c r="A8" s="650" t="s">
        <v>891</v>
      </c>
      <c r="D8" s="993" t="s">
        <v>2136</v>
      </c>
      <c r="E8" s="993">
        <v>2016</v>
      </c>
      <c r="F8" s="8"/>
      <c r="G8" s="654" t="s">
        <v>59</v>
      </c>
    </row>
    <row r="9" spans="1:9">
      <c r="A9" s="8">
        <v>1</v>
      </c>
      <c r="B9" s="6" t="s">
        <v>899</v>
      </c>
      <c r="D9" s="651">
        <v>27313.75</v>
      </c>
      <c r="E9" s="651">
        <v>5656.8</v>
      </c>
      <c r="G9" s="649">
        <f>+D9+E9</f>
        <v>32970.550000000003</v>
      </c>
    </row>
    <row r="10" spans="1:9">
      <c r="A10" s="8">
        <v>2</v>
      </c>
      <c r="B10" s="6" t="s">
        <v>107</v>
      </c>
      <c r="D10" s="651">
        <v>219901.15</v>
      </c>
      <c r="E10" s="651">
        <v>66715.92</v>
      </c>
      <c r="G10" s="649">
        <f>+D10+E10</f>
        <v>286617.07</v>
      </c>
    </row>
    <row r="11" spans="1:9">
      <c r="A11" s="8">
        <v>3</v>
      </c>
      <c r="B11" s="6" t="s">
        <v>108</v>
      </c>
      <c r="D11" s="651">
        <v>51296.74</v>
      </c>
      <c r="E11" s="651">
        <v>37260.18</v>
      </c>
      <c r="G11" s="649">
        <f>+D11+E11</f>
        <v>88556.92</v>
      </c>
    </row>
    <row r="12" spans="1:9">
      <c r="D12" s="651"/>
      <c r="E12" s="651"/>
    </row>
    <row r="13" spans="1:9">
      <c r="A13" s="8">
        <v>4</v>
      </c>
      <c r="B13" s="6" t="s">
        <v>109</v>
      </c>
      <c r="D13" s="651">
        <f>SUM(D9:D12)</f>
        <v>298511.64</v>
      </c>
      <c r="E13" s="651">
        <f>SUM(E9:E12)</f>
        <v>109632.9</v>
      </c>
      <c r="G13" s="649">
        <f>SUM(G9:G11)</f>
        <v>408144.54</v>
      </c>
    </row>
    <row r="14" spans="1:9">
      <c r="A14" s="8">
        <v>5</v>
      </c>
      <c r="D14" s="6" t="s">
        <v>1117</v>
      </c>
      <c r="G14" s="652">
        <f>+E13</f>
        <v>109632.9</v>
      </c>
      <c r="H14" s="120"/>
    </row>
    <row r="15" spans="1:9" ht="16.5" thickBot="1">
      <c r="A15" s="8">
        <v>6</v>
      </c>
      <c r="B15" s="6" t="s">
        <v>63</v>
      </c>
      <c r="G15" s="653">
        <f>+G13-G14</f>
        <v>298511.64</v>
      </c>
      <c r="I15" s="649"/>
    </row>
    <row r="16" spans="1:9" ht="16.5" thickTop="1"/>
  </sheetData>
  <mergeCells count="5">
    <mergeCell ref="B1:H1"/>
    <mergeCell ref="B2:H2"/>
    <mergeCell ref="B4:H4"/>
    <mergeCell ref="B5:H5"/>
    <mergeCell ref="B3:H3"/>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workbookViewId="0">
      <selection activeCell="A31" sqref="A31"/>
    </sheetView>
  </sheetViews>
  <sheetFormatPr defaultRowHeight="15"/>
  <cols>
    <col min="1" max="1" width="98.7109375" style="4" customWidth="1"/>
    <col min="2" max="2" width="29.42578125" style="4" customWidth="1"/>
    <col min="3" max="16384" width="9.140625" style="4"/>
  </cols>
  <sheetData>
    <row r="1" spans="1:7" ht="15.75">
      <c r="A1" s="20" t="s">
        <v>1645</v>
      </c>
    </row>
    <row r="2" spans="1:7" ht="15.75">
      <c r="A2" s="20" t="s">
        <v>118</v>
      </c>
    </row>
    <row r="3" spans="1:7" ht="15.75">
      <c r="A3" s="20" t="s">
        <v>1643</v>
      </c>
    </row>
    <row r="4" spans="1:7" ht="15.75">
      <c r="A4" s="21"/>
    </row>
    <row r="5" spans="1:7" ht="15.75">
      <c r="A5" s="22"/>
    </row>
    <row r="6" spans="1:7" ht="15.75">
      <c r="A6" s="22"/>
    </row>
    <row r="7" spans="1:7" ht="15.75">
      <c r="A7" s="22"/>
    </row>
    <row r="8" spans="1:7" ht="15.75">
      <c r="A8" s="22" t="s">
        <v>1641</v>
      </c>
    </row>
    <row r="9" spans="1:7" ht="15.75">
      <c r="A9" s="22"/>
    </row>
    <row r="10" spans="1:7" ht="15.75">
      <c r="A10" s="22"/>
    </row>
    <row r="11" spans="1:7" ht="15.75">
      <c r="A11" s="22"/>
      <c r="G11" s="3"/>
    </row>
    <row r="12" spans="1:7" ht="15.75">
      <c r="A12" s="22"/>
    </row>
    <row r="13" spans="1:7" ht="15.75">
      <c r="A13" s="22"/>
      <c r="C13" s="26"/>
    </row>
    <row r="14" spans="1:7" ht="15.75">
      <c r="A14" s="22"/>
    </row>
    <row r="15" spans="1:7" ht="15.75">
      <c r="A15" s="22"/>
    </row>
    <row r="16" spans="1:7" ht="15.75">
      <c r="A16" s="23"/>
    </row>
    <row r="17" spans="1:1" ht="15.75">
      <c r="A17" s="23"/>
    </row>
    <row r="18" spans="1:1" ht="15.75">
      <c r="A18" s="22"/>
    </row>
    <row r="19" spans="1:1" ht="15.75">
      <c r="A19" s="23" t="s">
        <v>126</v>
      </c>
    </row>
    <row r="20" spans="1:1" ht="15.75">
      <c r="A20" s="23"/>
    </row>
    <row r="21" spans="1:1" ht="15.75">
      <c r="A21" s="23" t="s">
        <v>1644</v>
      </c>
    </row>
    <row r="22" spans="1:1" ht="15.75">
      <c r="A22" s="23"/>
    </row>
    <row r="23" spans="1:1" ht="15.75">
      <c r="A23" s="23"/>
    </row>
    <row r="24" spans="1:1" ht="15.75">
      <c r="A24" s="24" t="s">
        <v>1681</v>
      </c>
    </row>
    <row r="25" spans="1:1" ht="15.75">
      <c r="A25" s="23"/>
    </row>
    <row r="26" spans="1:1" ht="15.75">
      <c r="A26" s="23"/>
    </row>
    <row r="27" spans="1:1" ht="15.75">
      <c r="A27" s="23"/>
    </row>
    <row r="28" spans="1:1" ht="15.75">
      <c r="A28" s="23"/>
    </row>
    <row r="29" spans="1:1" ht="15.75">
      <c r="A29" s="23"/>
    </row>
    <row r="30" spans="1:1" ht="15.75">
      <c r="A30" s="1011" t="s">
        <v>2167</v>
      </c>
    </row>
    <row r="31" spans="1:1">
      <c r="A31" s="25"/>
    </row>
    <row r="32" spans="1:1">
      <c r="A32" s="3"/>
    </row>
    <row r="33" spans="1:1">
      <c r="A33" s="3"/>
    </row>
    <row r="34" spans="1:1">
      <c r="A34" s="3"/>
    </row>
    <row r="35" spans="1:1">
      <c r="A35" s="3"/>
    </row>
    <row r="36" spans="1:1">
      <c r="A36" s="3"/>
    </row>
  </sheetData>
  <printOptions horizontalCentered="1"/>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9"/>
  <sheetViews>
    <sheetView view="pageBreakPreview" zoomScale="90" zoomScaleNormal="100" zoomScaleSheetLayoutView="90" workbookViewId="0">
      <selection activeCell="A3" sqref="A3:H3"/>
    </sheetView>
  </sheetViews>
  <sheetFormatPr defaultRowHeight="15.75"/>
  <cols>
    <col min="1" max="1" width="8.85546875" style="8" bestFit="1" customWidth="1"/>
    <col min="2" max="2" width="36.28515625" style="6" bestFit="1" customWidth="1"/>
    <col min="3" max="3" width="25.7109375" style="6" bestFit="1" customWidth="1"/>
    <col min="4" max="4" width="8.140625" style="6" bestFit="1" customWidth="1"/>
    <col min="5" max="5" width="9" style="6" bestFit="1" customWidth="1"/>
    <col min="6" max="6" width="6.42578125" style="6" customWidth="1"/>
    <col min="7" max="7" width="5.42578125" style="6" bestFit="1" customWidth="1"/>
    <col min="8" max="8" width="10" style="6" bestFit="1" customWidth="1"/>
    <col min="9" max="9" width="5.42578125" style="6" bestFit="1" customWidth="1"/>
    <col min="10" max="10" width="11.140625" style="6" bestFit="1" customWidth="1"/>
    <col min="11" max="11" width="16.85546875" style="6" bestFit="1" customWidth="1"/>
    <col min="12" max="12" width="14.5703125" style="6" bestFit="1" customWidth="1"/>
    <col min="13" max="16384" width="9.140625" style="6"/>
  </cols>
  <sheetData>
    <row r="1" spans="1:12">
      <c r="C1" s="1025" t="s">
        <v>61</v>
      </c>
      <c r="D1" s="1025"/>
      <c r="E1" s="1025"/>
      <c r="F1" s="1025"/>
      <c r="G1" s="1025"/>
      <c r="H1" s="1025"/>
      <c r="I1" s="1025"/>
      <c r="J1" s="1025"/>
    </row>
    <row r="2" spans="1:12">
      <c r="C2" s="1025" t="s">
        <v>1690</v>
      </c>
      <c r="D2" s="1025"/>
      <c r="E2" s="1025"/>
      <c r="F2" s="1025"/>
      <c r="G2" s="1025"/>
      <c r="H2" s="1025"/>
      <c r="I2" s="1025"/>
      <c r="J2" s="1025"/>
    </row>
    <row r="3" spans="1:12">
      <c r="C3" s="1025" t="s">
        <v>1711</v>
      </c>
      <c r="D3" s="1025"/>
      <c r="E3" s="1025"/>
      <c r="F3" s="1025"/>
      <c r="G3" s="1025"/>
      <c r="H3" s="1025"/>
      <c r="I3" s="1025"/>
      <c r="J3" s="1025"/>
    </row>
    <row r="4" spans="1:12">
      <c r="C4" s="1025" t="s">
        <v>1717</v>
      </c>
      <c r="D4" s="1025"/>
      <c r="E4" s="1025"/>
      <c r="F4" s="1025"/>
      <c r="G4" s="1025"/>
      <c r="H4" s="1025"/>
      <c r="I4" s="1025"/>
      <c r="J4" s="1025"/>
    </row>
    <row r="5" spans="1:12">
      <c r="C5" s="1025" t="s">
        <v>985</v>
      </c>
      <c r="D5" s="1025"/>
      <c r="E5" s="1025"/>
      <c r="F5" s="1025"/>
      <c r="G5" s="1025"/>
      <c r="H5" s="1025"/>
      <c r="I5" s="1025"/>
      <c r="J5" s="1025"/>
    </row>
    <row r="9" spans="1:12" s="8" customFormat="1">
      <c r="B9" s="8" t="s">
        <v>1731</v>
      </c>
      <c r="C9" s="8" t="s">
        <v>1729</v>
      </c>
      <c r="D9" s="8" t="s">
        <v>1730</v>
      </c>
      <c r="E9" s="8" t="s">
        <v>1733</v>
      </c>
      <c r="F9" s="8" t="s">
        <v>1734</v>
      </c>
      <c r="G9" s="8" t="s">
        <v>1743</v>
      </c>
      <c r="H9" s="8" t="s">
        <v>1744</v>
      </c>
      <c r="I9" s="8" t="s">
        <v>1745</v>
      </c>
      <c r="J9" s="8" t="s">
        <v>1746</v>
      </c>
      <c r="K9" s="8" t="s">
        <v>1747</v>
      </c>
      <c r="L9" s="8" t="s">
        <v>1748</v>
      </c>
    </row>
    <row r="10" spans="1:12" s="8" customFormat="1" ht="16.5" thickBot="1">
      <c r="A10" s="15" t="s">
        <v>891</v>
      </c>
      <c r="B10" s="654" t="s">
        <v>1171</v>
      </c>
      <c r="C10" s="654" t="s">
        <v>1172</v>
      </c>
      <c r="D10" s="654" t="s">
        <v>934</v>
      </c>
      <c r="E10" s="654"/>
      <c r="F10" s="654" t="s">
        <v>1173</v>
      </c>
      <c r="G10" s="654" t="s">
        <v>1174</v>
      </c>
      <c r="H10" s="654" t="s">
        <v>1173</v>
      </c>
      <c r="I10" s="654" t="s">
        <v>1174</v>
      </c>
      <c r="J10" s="655">
        <v>2017</v>
      </c>
      <c r="K10" s="595" t="s">
        <v>1175</v>
      </c>
      <c r="L10" s="595" t="s">
        <v>1176</v>
      </c>
    </row>
    <row r="12" spans="1:12">
      <c r="A12" s="8">
        <v>1</v>
      </c>
      <c r="B12" s="6" t="s">
        <v>1168</v>
      </c>
      <c r="C12" s="6" t="s">
        <v>1169</v>
      </c>
      <c r="D12" s="387">
        <v>48.08</v>
      </c>
      <c r="E12" s="351">
        <v>2080</v>
      </c>
      <c r="F12" s="6">
        <v>100</v>
      </c>
      <c r="G12" s="6">
        <v>0</v>
      </c>
      <c r="H12" s="656">
        <f>D12*E12*F12*0.01</f>
        <v>100006.40000000001</v>
      </c>
      <c r="I12" s="6">
        <f>D12*E12*G12*0.01</f>
        <v>0</v>
      </c>
      <c r="J12" s="585">
        <f>H12</f>
        <v>100006.40000000001</v>
      </c>
      <c r="K12" s="437">
        <f>'State Allocation Formulas'!L25</f>
        <v>0.77239999999999998</v>
      </c>
      <c r="L12" s="351">
        <f>+J12*K12</f>
        <v>77244.943360000005</v>
      </c>
    </row>
    <row r="13" spans="1:12">
      <c r="A13" s="8">
        <v>2</v>
      </c>
      <c r="B13" s="6" t="s">
        <v>1168</v>
      </c>
      <c r="C13" s="6" t="s">
        <v>1170</v>
      </c>
      <c r="D13" s="387">
        <v>35.54</v>
      </c>
      <c r="E13" s="351">
        <v>2080</v>
      </c>
      <c r="F13" s="6">
        <v>100</v>
      </c>
      <c r="G13" s="6">
        <v>0</v>
      </c>
      <c r="H13" s="656">
        <f>D13*E13*F13*0.01</f>
        <v>73923.199999999997</v>
      </c>
      <c r="I13" s="6">
        <f>D13*E13*G13*0.01</f>
        <v>0</v>
      </c>
      <c r="J13" s="585">
        <f>H13</f>
        <v>73923.199999999997</v>
      </c>
      <c r="K13" s="437">
        <f>'State Allocation Formulas'!L25</f>
        <v>0.77239999999999998</v>
      </c>
      <c r="L13" s="351">
        <f>+J13*K13</f>
        <v>57098.279679999992</v>
      </c>
    </row>
    <row r="14" spans="1:12" ht="16.5" thickBot="1">
      <c r="A14" s="8">
        <v>3</v>
      </c>
      <c r="B14" s="6" t="s">
        <v>1168</v>
      </c>
      <c r="C14" s="6" t="s">
        <v>1170</v>
      </c>
      <c r="D14" s="387">
        <v>30.76</v>
      </c>
      <c r="E14" s="351">
        <v>2080</v>
      </c>
      <c r="F14" s="6">
        <v>100</v>
      </c>
      <c r="G14" s="6">
        <v>0</v>
      </c>
      <c r="H14" s="657">
        <f>D14*E14*F14*0.01</f>
        <v>63980.800000000003</v>
      </c>
      <c r="I14" s="6">
        <f>D14*E14*G14*0.01</f>
        <v>0</v>
      </c>
      <c r="J14" s="658">
        <f>H14</f>
        <v>63980.800000000003</v>
      </c>
      <c r="K14" s="437">
        <f>'State Allocation Formulas'!L25</f>
        <v>0.77239999999999998</v>
      </c>
      <c r="L14" s="351">
        <f>+J14*K14</f>
        <v>49418.769919999999</v>
      </c>
    </row>
    <row r="15" spans="1:12">
      <c r="D15" s="387"/>
      <c r="E15" s="351"/>
      <c r="H15" s="656">
        <f>SUM(H12:H14)</f>
        <v>237910.40000000002</v>
      </c>
      <c r="J15" s="659">
        <f>SUM(J12:J14)</f>
        <v>237910.40000000002</v>
      </c>
      <c r="L15" s="660">
        <f>SUM(L12:L14)</f>
        <v>183761.99296</v>
      </c>
    </row>
    <row r="16" spans="1:12">
      <c r="A16" s="8">
        <v>4</v>
      </c>
      <c r="C16" s="6" t="s">
        <v>1177</v>
      </c>
      <c r="K16" s="437">
        <v>0.45</v>
      </c>
      <c r="L16" s="120">
        <f>+L15*K16</f>
        <v>82692.896831999999</v>
      </c>
    </row>
    <row r="17" spans="1:12">
      <c r="A17" s="8">
        <v>5</v>
      </c>
      <c r="C17" s="6" t="s">
        <v>1178</v>
      </c>
      <c r="K17" s="437">
        <v>7.1499999999999994E-2</v>
      </c>
      <c r="L17" s="120">
        <f>+L15*K17</f>
        <v>13138.982496639999</v>
      </c>
    </row>
    <row r="19" spans="1:12">
      <c r="A19" s="8">
        <v>6</v>
      </c>
      <c r="B19" s="6" t="s">
        <v>1674</v>
      </c>
      <c r="L19" s="661">
        <f>+L15+L16+L17</f>
        <v>279593.87228864001</v>
      </c>
    </row>
  </sheetData>
  <mergeCells count="5">
    <mergeCell ref="C1:J1"/>
    <mergeCell ref="C2:J2"/>
    <mergeCell ref="C3:J3"/>
    <mergeCell ref="C4:J4"/>
    <mergeCell ref="C5:J5"/>
  </mergeCells>
  <printOptions horizontalCentered="1"/>
  <pageMargins left="0.7" right="0.7" top="0.75" bottom="0.75" header="0.3" footer="0.3"/>
  <pageSetup scale="77" fitToHeight="0" orientation="landscape"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9"/>
  <sheetViews>
    <sheetView workbookViewId="0">
      <selection activeCell="A3" sqref="A3:H3"/>
    </sheetView>
  </sheetViews>
  <sheetFormatPr defaultRowHeight="15.75"/>
  <cols>
    <col min="1" max="1" width="9.140625" style="148"/>
    <col min="2" max="2" width="35.140625" style="148" bestFit="1" customWidth="1"/>
    <col min="3" max="3" width="2.85546875" style="148" customWidth="1"/>
    <col min="4" max="4" width="10.140625" style="148" bestFit="1" customWidth="1"/>
    <col min="5" max="5" width="9.140625" style="148"/>
    <col min="6" max="6" width="10.140625" style="148" bestFit="1" customWidth="1"/>
    <col min="7" max="16384" width="9.140625" style="148"/>
  </cols>
  <sheetData>
    <row r="1" spans="1:9">
      <c r="A1" s="1025" t="s">
        <v>61</v>
      </c>
      <c r="B1" s="1025"/>
      <c r="C1" s="1025"/>
      <c r="D1" s="1025"/>
      <c r="E1" s="1025"/>
      <c r="F1" s="5"/>
      <c r="G1" s="5"/>
      <c r="H1" s="5"/>
      <c r="I1" s="5"/>
    </row>
    <row r="2" spans="1:9">
      <c r="A2" s="1025" t="s">
        <v>1690</v>
      </c>
      <c r="B2" s="1025"/>
      <c r="C2" s="1025"/>
      <c r="D2" s="1025"/>
      <c r="E2" s="1025"/>
      <c r="F2" s="5"/>
      <c r="G2" s="5"/>
      <c r="H2" s="5"/>
      <c r="I2" s="5"/>
    </row>
    <row r="3" spans="1:9">
      <c r="A3" s="1025" t="s">
        <v>1721</v>
      </c>
      <c r="B3" s="1025"/>
      <c r="C3" s="1025"/>
      <c r="D3" s="1025"/>
      <c r="E3" s="1025"/>
      <c r="F3" s="5"/>
      <c r="G3" s="5"/>
      <c r="H3" s="5"/>
      <c r="I3" s="5"/>
    </row>
    <row r="4" spans="1:9">
      <c r="A4" s="1025" t="s">
        <v>1025</v>
      </c>
      <c r="B4" s="1025"/>
      <c r="C4" s="1025"/>
      <c r="D4" s="1025"/>
      <c r="E4" s="1025"/>
      <c r="F4" s="5"/>
      <c r="G4" s="5"/>
      <c r="H4" s="5"/>
      <c r="I4" s="5"/>
    </row>
    <row r="5" spans="1:9">
      <c r="A5" s="1025" t="s">
        <v>985</v>
      </c>
      <c r="B5" s="1025"/>
      <c r="C5" s="1025"/>
      <c r="D5" s="1025"/>
      <c r="E5" s="1025"/>
      <c r="F5" s="5"/>
      <c r="G5" s="5"/>
      <c r="H5" s="5"/>
      <c r="I5" s="5"/>
    </row>
    <row r="7" spans="1:9">
      <c r="A7" s="662" t="s">
        <v>891</v>
      </c>
      <c r="B7" s="612" t="s">
        <v>1731</v>
      </c>
      <c r="C7" s="612"/>
      <c r="D7" s="612" t="s">
        <v>1729</v>
      </c>
    </row>
    <row r="8" spans="1:9">
      <c r="A8" s="612">
        <v>1</v>
      </c>
      <c r="B8" s="148" t="s">
        <v>2157</v>
      </c>
      <c r="D8" s="663">
        <v>2219857.09</v>
      </c>
    </row>
    <row r="9" spans="1:9">
      <c r="A9" s="612">
        <v>2</v>
      </c>
      <c r="B9" s="148" t="s">
        <v>1019</v>
      </c>
      <c r="D9" s="664">
        <v>5000000</v>
      </c>
    </row>
    <row r="10" spans="1:9">
      <c r="A10" s="612">
        <v>3</v>
      </c>
      <c r="B10" s="148" t="s">
        <v>1151</v>
      </c>
      <c r="D10" s="665">
        <f>5690427/12*5</f>
        <v>2371011.25</v>
      </c>
    </row>
    <row r="11" spans="1:9">
      <c r="A11" s="612">
        <v>4</v>
      </c>
      <c r="B11" s="148" t="s">
        <v>1020</v>
      </c>
      <c r="D11" s="663">
        <f>+D8+D9+D10</f>
        <v>9590868.3399999999</v>
      </c>
    </row>
    <row r="12" spans="1:9" ht="18">
      <c r="A12" s="612">
        <v>5</v>
      </c>
      <c r="B12" s="148" t="s">
        <v>2063</v>
      </c>
      <c r="D12" s="665">
        <v>10</v>
      </c>
    </row>
    <row r="13" spans="1:9" ht="16.5" thickBot="1">
      <c r="A13" s="612">
        <v>6</v>
      </c>
      <c r="B13" s="148" t="s">
        <v>1021</v>
      </c>
      <c r="D13" s="666">
        <f>+D11/D12</f>
        <v>959086.83400000003</v>
      </c>
    </row>
    <row r="14" spans="1:9" ht="16.5" thickTop="1"/>
    <row r="16" spans="1:9" ht="18">
      <c r="A16" s="148" t="s">
        <v>2064</v>
      </c>
    </row>
    <row r="18" spans="1:2">
      <c r="A18" s="148" t="s">
        <v>1592</v>
      </c>
    </row>
    <row r="19" spans="1:2">
      <c r="A19" s="612" t="s">
        <v>2146</v>
      </c>
      <c r="B19" s="148" t="s">
        <v>2158</v>
      </c>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22"/>
  <sheetViews>
    <sheetView zoomScaleNormal="100" workbookViewId="0">
      <selection activeCell="A3" sqref="A3:H3"/>
    </sheetView>
  </sheetViews>
  <sheetFormatPr defaultColWidth="11.42578125" defaultRowHeight="15.75"/>
  <cols>
    <col min="1" max="1" width="9.28515625" style="6" bestFit="1" customWidth="1"/>
    <col min="2" max="2" width="25" style="6" bestFit="1" customWidth="1"/>
    <col min="3" max="3" width="12.5703125" style="6" customWidth="1"/>
    <col min="4" max="4" width="5.85546875" style="6" customWidth="1"/>
    <col min="5" max="5" width="12.28515625" style="6" bestFit="1" customWidth="1"/>
    <col min="6" max="6" width="5.42578125" style="6" customWidth="1"/>
    <col min="7" max="7" width="10.28515625" style="6" bestFit="1" customWidth="1"/>
    <col min="8" max="8" width="4.85546875" style="6" customWidth="1"/>
    <col min="9" max="9" width="9.85546875" style="6" bestFit="1" customWidth="1"/>
    <col min="10" max="10" width="4.7109375" style="6" customWidth="1"/>
    <col min="11" max="11" width="9.85546875" style="6" bestFit="1" customWidth="1"/>
    <col min="12" max="12" width="3.28515625" style="6" customWidth="1"/>
    <col min="13" max="13" width="11" style="6" bestFit="1" customWidth="1"/>
    <col min="14" max="14" width="3.5703125" style="6" customWidth="1"/>
    <col min="15" max="15" width="11.85546875" style="6" customWidth="1"/>
    <col min="16" max="16384" width="11.42578125" style="6"/>
  </cols>
  <sheetData>
    <row r="1" spans="1:15">
      <c r="B1" s="1025" t="s">
        <v>61</v>
      </c>
      <c r="C1" s="1025"/>
      <c r="D1" s="1025"/>
      <c r="E1" s="1025"/>
      <c r="F1" s="1025"/>
      <c r="G1" s="1025"/>
      <c r="H1" s="1025"/>
      <c r="I1" s="1025"/>
      <c r="J1" s="1025"/>
      <c r="K1" s="1025"/>
      <c r="L1" s="1025"/>
      <c r="M1" s="1025"/>
    </row>
    <row r="2" spans="1:15">
      <c r="B2" s="1025" t="s">
        <v>1690</v>
      </c>
      <c r="C2" s="1025"/>
      <c r="D2" s="1025"/>
      <c r="E2" s="1025"/>
      <c r="F2" s="1025"/>
      <c r="G2" s="1025"/>
      <c r="H2" s="1025"/>
      <c r="I2" s="1025"/>
      <c r="J2" s="1025"/>
      <c r="K2" s="1025"/>
      <c r="L2" s="1025"/>
      <c r="M2" s="1025"/>
    </row>
    <row r="3" spans="1:15">
      <c r="B3" s="1025" t="s">
        <v>1722</v>
      </c>
      <c r="C3" s="1025"/>
      <c r="D3" s="1025"/>
      <c r="E3" s="1025"/>
      <c r="F3" s="1025"/>
      <c r="G3" s="1025"/>
      <c r="H3" s="1025"/>
      <c r="I3" s="1025"/>
      <c r="J3" s="1025"/>
      <c r="K3" s="1025"/>
      <c r="L3" s="1025"/>
      <c r="M3" s="1025"/>
    </row>
    <row r="4" spans="1:15">
      <c r="B4" s="1025" t="s">
        <v>1026</v>
      </c>
      <c r="C4" s="1025"/>
      <c r="D4" s="1025"/>
      <c r="E4" s="1025"/>
      <c r="F4" s="1025"/>
      <c r="G4" s="1025"/>
      <c r="H4" s="1025"/>
      <c r="I4" s="1025"/>
      <c r="J4" s="1025"/>
      <c r="K4" s="1025"/>
      <c r="L4" s="1025"/>
      <c r="M4" s="1025"/>
    </row>
    <row r="5" spans="1:15">
      <c r="B5" s="1025" t="s">
        <v>985</v>
      </c>
      <c r="C5" s="1025"/>
      <c r="D5" s="1025"/>
      <c r="E5" s="1025"/>
      <c r="F5" s="1025"/>
      <c r="G5" s="1025"/>
      <c r="H5" s="1025"/>
      <c r="I5" s="1025"/>
      <c r="J5" s="1025"/>
      <c r="K5" s="1025"/>
      <c r="L5" s="1025"/>
      <c r="M5" s="1025"/>
    </row>
    <row r="7" spans="1:15" s="8" customFormat="1">
      <c r="B7" s="8" t="s">
        <v>1731</v>
      </c>
      <c r="C7" s="8" t="s">
        <v>1729</v>
      </c>
      <c r="E7" s="8" t="s">
        <v>1730</v>
      </c>
      <c r="G7" s="8" t="s">
        <v>1733</v>
      </c>
      <c r="I7" s="8" t="s">
        <v>1734</v>
      </c>
      <c r="K7" s="8" t="s">
        <v>1743</v>
      </c>
      <c r="M7" s="8" t="s">
        <v>1744</v>
      </c>
      <c r="O7" s="8" t="s">
        <v>1745</v>
      </c>
    </row>
    <row r="8" spans="1:15" ht="78.75">
      <c r="A8" s="667" t="s">
        <v>891</v>
      </c>
      <c r="B8" s="667" t="s">
        <v>1027</v>
      </c>
      <c r="C8" s="668" t="s">
        <v>2154</v>
      </c>
      <c r="D8" s="667"/>
      <c r="E8" s="668" t="s">
        <v>2155</v>
      </c>
      <c r="F8" s="667"/>
      <c r="G8" s="669" t="s">
        <v>1034</v>
      </c>
      <c r="H8" s="14"/>
      <c r="I8" s="668" t="s">
        <v>2156</v>
      </c>
      <c r="J8" s="668"/>
      <c r="K8" s="668" t="s">
        <v>1033</v>
      </c>
      <c r="L8" s="14"/>
      <c r="M8" s="668" t="s">
        <v>1028</v>
      </c>
      <c r="O8" s="668" t="s">
        <v>1760</v>
      </c>
    </row>
    <row r="9" spans="1:15">
      <c r="B9" s="670"/>
      <c r="C9" s="670"/>
      <c r="D9" s="670"/>
      <c r="E9" s="671"/>
      <c r="F9" s="670"/>
      <c r="G9" s="667"/>
      <c r="H9" s="667"/>
      <c r="I9" s="667"/>
      <c r="J9" s="667"/>
      <c r="K9" s="667"/>
      <c r="L9" s="667"/>
      <c r="M9" s="667"/>
    </row>
    <row r="10" spans="1:15">
      <c r="A10" s="8">
        <v>1</v>
      </c>
      <c r="B10" s="672" t="s">
        <v>1988</v>
      </c>
      <c r="C10" s="673">
        <v>10</v>
      </c>
      <c r="D10" s="672"/>
      <c r="E10" s="674">
        <v>1297</v>
      </c>
      <c r="F10" s="672"/>
      <c r="G10" s="675">
        <f t="shared" ref="G10:G15" si="0">+C10*E10</f>
        <v>12970</v>
      </c>
      <c r="H10" s="676"/>
      <c r="I10" s="677">
        <v>12</v>
      </c>
      <c r="J10" s="678"/>
      <c r="K10" s="678">
        <f t="shared" ref="K10:K15" si="1">+I10*E10</f>
        <v>15564</v>
      </c>
      <c r="L10" s="676"/>
      <c r="M10" s="675">
        <f t="shared" ref="M10:M15" si="2">+K10-G10</f>
        <v>2594</v>
      </c>
      <c r="N10" s="676"/>
      <c r="O10" s="679">
        <f>(I10-C10)/C10</f>
        <v>0.2</v>
      </c>
    </row>
    <row r="11" spans="1:15">
      <c r="A11" s="8">
        <v>2</v>
      </c>
      <c r="B11" s="680" t="s">
        <v>1989</v>
      </c>
      <c r="C11" s="681">
        <v>18</v>
      </c>
      <c r="D11" s="680"/>
      <c r="E11" s="16">
        <v>4059</v>
      </c>
      <c r="F11" s="680"/>
      <c r="G11" s="682">
        <f t="shared" si="0"/>
        <v>73062</v>
      </c>
      <c r="H11" s="680"/>
      <c r="I11" s="683">
        <v>21</v>
      </c>
      <c r="J11" s="684"/>
      <c r="K11" s="684">
        <f t="shared" si="1"/>
        <v>85239</v>
      </c>
      <c r="L11" s="680"/>
      <c r="M11" s="685">
        <f t="shared" si="2"/>
        <v>12177</v>
      </c>
      <c r="O11" s="686">
        <f t="shared" ref="O11:O15" si="3">(I11-C11)/C11</f>
        <v>0.16666666666666666</v>
      </c>
    </row>
    <row r="12" spans="1:15">
      <c r="A12" s="8">
        <v>3</v>
      </c>
      <c r="B12" s="672" t="s">
        <v>1029</v>
      </c>
      <c r="C12" s="673">
        <v>20</v>
      </c>
      <c r="D12" s="672"/>
      <c r="E12" s="674">
        <v>271</v>
      </c>
      <c r="F12" s="672"/>
      <c r="G12" s="687">
        <f t="shared" si="0"/>
        <v>5420</v>
      </c>
      <c r="H12" s="672"/>
      <c r="I12" s="688">
        <v>24</v>
      </c>
      <c r="J12" s="689"/>
      <c r="K12" s="689">
        <f t="shared" si="1"/>
        <v>6504</v>
      </c>
      <c r="L12" s="672"/>
      <c r="M12" s="690">
        <f t="shared" si="2"/>
        <v>1084</v>
      </c>
      <c r="N12" s="690"/>
      <c r="O12" s="691">
        <f t="shared" si="3"/>
        <v>0.2</v>
      </c>
    </row>
    <row r="13" spans="1:15">
      <c r="A13" s="8">
        <v>4</v>
      </c>
      <c r="B13" s="680" t="s">
        <v>1030</v>
      </c>
      <c r="C13" s="681">
        <v>45</v>
      </c>
      <c r="D13" s="680"/>
      <c r="E13" s="16">
        <v>2916</v>
      </c>
      <c r="F13" s="680"/>
      <c r="G13" s="692">
        <f t="shared" si="0"/>
        <v>131220</v>
      </c>
      <c r="H13" s="680"/>
      <c r="I13" s="683">
        <v>0</v>
      </c>
      <c r="J13" s="684"/>
      <c r="K13" s="684">
        <f t="shared" si="1"/>
        <v>0</v>
      </c>
      <c r="L13" s="680"/>
      <c r="M13" s="685">
        <f t="shared" si="2"/>
        <v>-131220</v>
      </c>
      <c r="O13" s="693">
        <f t="shared" si="3"/>
        <v>-1</v>
      </c>
    </row>
    <row r="14" spans="1:15">
      <c r="A14" s="8">
        <v>5</v>
      </c>
      <c r="B14" s="672" t="s">
        <v>1031</v>
      </c>
      <c r="C14" s="673">
        <v>24</v>
      </c>
      <c r="D14" s="672"/>
      <c r="E14" s="674">
        <v>1865</v>
      </c>
      <c r="F14" s="672"/>
      <c r="G14" s="687">
        <f t="shared" si="0"/>
        <v>44760</v>
      </c>
      <c r="H14" s="672"/>
      <c r="I14" s="688">
        <v>28</v>
      </c>
      <c r="J14" s="689"/>
      <c r="K14" s="689">
        <f t="shared" si="1"/>
        <v>52220</v>
      </c>
      <c r="L14" s="672"/>
      <c r="M14" s="690">
        <f t="shared" si="2"/>
        <v>7460</v>
      </c>
      <c r="N14" s="690"/>
      <c r="O14" s="691">
        <f t="shared" si="3"/>
        <v>0.16666666666666666</v>
      </c>
    </row>
    <row r="15" spans="1:15">
      <c r="A15" s="8">
        <v>6</v>
      </c>
      <c r="B15" s="680" t="s">
        <v>1032</v>
      </c>
      <c r="C15" s="681">
        <v>60</v>
      </c>
      <c r="D15" s="680"/>
      <c r="E15" s="16">
        <v>626</v>
      </c>
      <c r="F15" s="680"/>
      <c r="G15" s="682">
        <f t="shared" si="0"/>
        <v>37560</v>
      </c>
      <c r="H15" s="680"/>
      <c r="I15" s="683">
        <v>70</v>
      </c>
      <c r="J15" s="684"/>
      <c r="K15" s="684">
        <f t="shared" si="1"/>
        <v>43820</v>
      </c>
      <c r="L15" s="680"/>
      <c r="M15" s="684">
        <f t="shared" si="2"/>
        <v>6260</v>
      </c>
      <c r="O15" s="686">
        <f t="shared" si="3"/>
        <v>0.16666666666666666</v>
      </c>
    </row>
    <row r="16" spans="1:15">
      <c r="B16" s="14"/>
      <c r="C16" s="14"/>
      <c r="D16" s="14"/>
      <c r="E16" s="14"/>
      <c r="F16" s="14"/>
      <c r="G16" s="14"/>
      <c r="H16" s="14"/>
      <c r="I16" s="14"/>
      <c r="J16" s="14"/>
      <c r="K16" s="14"/>
      <c r="L16" s="14"/>
      <c r="M16" s="682">
        <f>SUM(M10:M15)</f>
        <v>-101645</v>
      </c>
    </row>
    <row r="17" spans="1:13">
      <c r="B17" s="1078" t="s">
        <v>2065</v>
      </c>
      <c r="C17" s="1078"/>
      <c r="D17" s="1078"/>
      <c r="E17" s="1078"/>
      <c r="F17" s="1078"/>
      <c r="G17" s="1078"/>
      <c r="H17" s="1078"/>
      <c r="I17" s="1078"/>
      <c r="J17" s="1078"/>
      <c r="K17" s="1078"/>
      <c r="L17" s="1078"/>
      <c r="M17" s="14"/>
    </row>
    <row r="18" spans="1:13">
      <c r="B18" s="1078"/>
      <c r="C18" s="1078"/>
      <c r="D18" s="1078"/>
      <c r="E18" s="1078"/>
      <c r="F18" s="1078"/>
      <c r="G18" s="1078"/>
      <c r="H18" s="1078"/>
      <c r="I18" s="1078"/>
      <c r="J18" s="1078"/>
      <c r="K18" s="1078"/>
      <c r="L18" s="1078"/>
    </row>
    <row r="20" spans="1:13">
      <c r="A20" s="6" t="s">
        <v>1592</v>
      </c>
    </row>
    <row r="21" spans="1:13">
      <c r="A21" s="8" t="s">
        <v>2146</v>
      </c>
      <c r="B21" s="6" t="s">
        <v>2152</v>
      </c>
    </row>
    <row r="22" spans="1:13">
      <c r="A22" s="8" t="s">
        <v>2144</v>
      </c>
      <c r="B22" s="6" t="s">
        <v>2153</v>
      </c>
    </row>
  </sheetData>
  <mergeCells count="6">
    <mergeCell ref="B17:L18"/>
    <mergeCell ref="B1:M1"/>
    <mergeCell ref="B2:M2"/>
    <mergeCell ref="B3:M3"/>
    <mergeCell ref="B4:M4"/>
    <mergeCell ref="B5:M5"/>
  </mergeCells>
  <printOptions horizontalCentered="1"/>
  <pageMargins left="0.7" right="0.7" top="0.75" bottom="0.75" header="0.3" footer="0.3"/>
  <pageSetup scale="87" fitToHeight="0" orientation="landscape" r:id="rId1"/>
  <headerFooter scaleWithDoc="0" alignWithMargins="0">
    <oddHeader>&amp;RPage &amp;P of &amp;N</oddHeader>
    <oddFooter>&amp;LElectronic Tab Name:&amp;A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35"/>
  <sheetViews>
    <sheetView zoomScaleNormal="100" workbookViewId="0">
      <selection activeCell="A3" sqref="A3:H3"/>
    </sheetView>
  </sheetViews>
  <sheetFormatPr defaultRowHeight="15.75"/>
  <cols>
    <col min="1" max="1" width="10.140625" style="612" customWidth="1"/>
    <col min="2" max="2" width="61.85546875" style="148" bestFit="1" customWidth="1"/>
    <col min="3" max="3" width="18" style="148" bestFit="1" customWidth="1"/>
    <col min="4" max="4" width="12.7109375" style="148" bestFit="1" customWidth="1"/>
    <col min="5" max="16384" width="9.140625" style="148"/>
  </cols>
  <sheetData>
    <row r="1" spans="1:12">
      <c r="A1" s="1025" t="s">
        <v>61</v>
      </c>
      <c r="B1" s="1025"/>
      <c r="C1" s="1025"/>
      <c r="D1" s="1025"/>
      <c r="E1" s="1025"/>
      <c r="F1" s="5"/>
      <c r="G1" s="5"/>
      <c r="H1" s="5"/>
      <c r="I1" s="5"/>
      <c r="J1" s="5"/>
      <c r="K1" s="5"/>
      <c r="L1" s="5"/>
    </row>
    <row r="2" spans="1:12">
      <c r="A2" s="1025" t="s">
        <v>1690</v>
      </c>
      <c r="B2" s="1025"/>
      <c r="C2" s="1025"/>
      <c r="D2" s="1025"/>
      <c r="E2" s="1025"/>
      <c r="F2" s="5"/>
      <c r="G2" s="5"/>
      <c r="H2" s="5"/>
      <c r="I2" s="5"/>
      <c r="J2" s="5"/>
      <c r="K2" s="5"/>
      <c r="L2" s="5"/>
    </row>
    <row r="3" spans="1:12">
      <c r="A3" s="1025" t="s">
        <v>1723</v>
      </c>
      <c r="B3" s="1025"/>
      <c r="C3" s="1025"/>
      <c r="D3" s="1025"/>
      <c r="E3" s="1025"/>
      <c r="F3" s="5"/>
      <c r="G3" s="5"/>
      <c r="H3" s="5"/>
      <c r="I3" s="5"/>
      <c r="J3" s="5"/>
      <c r="K3" s="5"/>
      <c r="L3" s="5"/>
    </row>
    <row r="4" spans="1:12">
      <c r="A4" s="1025" t="s">
        <v>1718</v>
      </c>
      <c r="B4" s="1025"/>
      <c r="C4" s="1025"/>
      <c r="D4" s="1025"/>
      <c r="E4" s="1025"/>
      <c r="F4" s="5"/>
      <c r="G4" s="5"/>
      <c r="H4" s="5"/>
      <c r="I4" s="5"/>
      <c r="J4" s="5"/>
      <c r="K4" s="5"/>
      <c r="L4" s="5"/>
    </row>
    <row r="5" spans="1:12">
      <c r="A5" s="1025" t="s">
        <v>985</v>
      </c>
      <c r="B5" s="1025"/>
      <c r="C5" s="1025"/>
      <c r="D5" s="1025"/>
      <c r="E5" s="1025"/>
      <c r="F5" s="5"/>
      <c r="G5" s="5"/>
      <c r="H5" s="5"/>
      <c r="I5" s="5"/>
      <c r="J5" s="5"/>
      <c r="K5" s="5"/>
      <c r="L5" s="5"/>
    </row>
    <row r="8" spans="1:12" s="612" customFormat="1">
      <c r="A8" s="662" t="s">
        <v>891</v>
      </c>
      <c r="B8" s="612" t="s">
        <v>1731</v>
      </c>
      <c r="C8" s="612" t="s">
        <v>1729</v>
      </c>
      <c r="D8" s="612" t="s">
        <v>1730</v>
      </c>
      <c r="E8" s="612" t="s">
        <v>1733</v>
      </c>
    </row>
    <row r="9" spans="1:12">
      <c r="A9" s="612">
        <v>1</v>
      </c>
      <c r="B9" s="148" t="s">
        <v>1363</v>
      </c>
      <c r="C9" s="694"/>
      <c r="D9" s="694">
        <v>14908023</v>
      </c>
    </row>
    <row r="10" spans="1:12" ht="16.5" thickBot="1">
      <c r="A10" s="612">
        <v>2</v>
      </c>
      <c r="B10" s="148" t="s">
        <v>1364</v>
      </c>
      <c r="C10" s="694"/>
      <c r="D10" s="695">
        <f>+'CRM Adjustment (b)'!AA79</f>
        <v>11884345.086249998</v>
      </c>
    </row>
    <row r="11" spans="1:12">
      <c r="A11" s="612">
        <v>3</v>
      </c>
      <c r="B11" s="148" t="s">
        <v>1365</v>
      </c>
      <c r="C11" s="694"/>
      <c r="D11" s="696">
        <f>+D9-D10</f>
        <v>3023677.9137500022</v>
      </c>
    </row>
    <row r="12" spans="1:12">
      <c r="C12" s="694"/>
      <c r="D12" s="694"/>
    </row>
    <row r="13" spans="1:12">
      <c r="C13" s="694"/>
      <c r="D13" s="694"/>
    </row>
    <row r="14" spans="1:12">
      <c r="A14" s="612">
        <v>4</v>
      </c>
      <c r="B14" s="148" t="s">
        <v>887</v>
      </c>
      <c r="C14" s="696">
        <f>+D11</f>
        <v>3023677.9137500022</v>
      </c>
      <c r="D14" s="694"/>
    </row>
    <row r="15" spans="1:12">
      <c r="C15" s="694"/>
      <c r="D15" s="694"/>
      <c r="E15" s="663" t="s">
        <v>1987</v>
      </c>
    </row>
    <row r="16" spans="1:12">
      <c r="A16" s="612">
        <v>5</v>
      </c>
      <c r="B16" s="148" t="s">
        <v>900</v>
      </c>
      <c r="C16" s="694">
        <f>+C14*0.0258</f>
        <v>78010.890174750049</v>
      </c>
      <c r="D16" s="694"/>
      <c r="E16" s="663">
        <f>+C16</f>
        <v>78010.890174750049</v>
      </c>
    </row>
    <row r="17" spans="1:6">
      <c r="A17" s="612">
        <v>6</v>
      </c>
      <c r="B17" s="148" t="s">
        <v>901</v>
      </c>
      <c r="C17" s="696">
        <f>+C16/2</f>
        <v>39005.445087375025</v>
      </c>
      <c r="D17" s="694"/>
      <c r="E17" s="663"/>
      <c r="F17" s="663"/>
    </row>
    <row r="18" spans="1:6">
      <c r="A18" s="612">
        <v>7</v>
      </c>
      <c r="B18" s="148" t="s">
        <v>902</v>
      </c>
      <c r="C18" s="694">
        <f>+C14*0.0375</f>
        <v>113387.92176562508</v>
      </c>
      <c r="D18" s="694"/>
      <c r="E18" s="663"/>
      <c r="F18" s="663"/>
    </row>
    <row r="19" spans="1:6">
      <c r="A19" s="612">
        <v>8</v>
      </c>
      <c r="B19" s="148" t="s">
        <v>106</v>
      </c>
      <c r="C19" s="694">
        <f>(+C18-C16)*0.35</f>
        <v>12381.961056806262</v>
      </c>
      <c r="D19" s="694"/>
      <c r="E19" s="663"/>
      <c r="F19" s="663"/>
    </row>
    <row r="20" spans="1:6">
      <c r="A20" s="612">
        <v>9</v>
      </c>
      <c r="B20" s="148" t="s">
        <v>903</v>
      </c>
      <c r="C20" s="696">
        <f>+C19/2</f>
        <v>6190.9805284031308</v>
      </c>
      <c r="D20" s="694"/>
      <c r="E20" s="663"/>
      <c r="F20" s="663"/>
    </row>
    <row r="21" spans="1:6">
      <c r="C21" s="694"/>
      <c r="D21" s="694"/>
      <c r="E21" s="663"/>
      <c r="F21" s="663"/>
    </row>
    <row r="22" spans="1:6">
      <c r="C22" s="694"/>
      <c r="D22" s="694"/>
      <c r="E22" s="663"/>
      <c r="F22" s="663"/>
    </row>
    <row r="23" spans="1:6">
      <c r="A23" s="612">
        <v>10</v>
      </c>
      <c r="B23" s="148" t="s">
        <v>905</v>
      </c>
      <c r="C23" s="697">
        <f>+C14-C17-C20</f>
        <v>2978481.488134224</v>
      </c>
      <c r="D23" s="694"/>
      <c r="E23" s="663"/>
    </row>
    <row r="24" spans="1:6">
      <c r="C24" s="694"/>
      <c r="D24" s="694"/>
    </row>
    <row r="25" spans="1:6">
      <c r="C25" s="694"/>
      <c r="D25" s="694"/>
      <c r="F25" s="698"/>
    </row>
    <row r="26" spans="1:6">
      <c r="C26" s="698"/>
      <c r="D26" s="698"/>
      <c r="E26" s="698"/>
      <c r="F26" s="698"/>
    </row>
    <row r="27" spans="1:6">
      <c r="C27" s="698"/>
      <c r="D27" s="698"/>
      <c r="E27" s="698"/>
    </row>
    <row r="28" spans="1:6">
      <c r="F28" s="699"/>
    </row>
    <row r="29" spans="1:6">
      <c r="C29" s="699"/>
      <c r="E29" s="699"/>
      <c r="F29" s="698"/>
    </row>
    <row r="30" spans="1:6">
      <c r="C30" s="699"/>
      <c r="E30" s="699"/>
      <c r="F30" s="698"/>
    </row>
    <row r="31" spans="1:6">
      <c r="E31" s="699"/>
    </row>
    <row r="32" spans="1:6">
      <c r="C32" s="699"/>
      <c r="E32" s="699"/>
    </row>
    <row r="33" spans="3:5">
      <c r="C33" s="699"/>
      <c r="E33" s="699"/>
    </row>
    <row r="34" spans="3:5">
      <c r="C34" s="699"/>
      <c r="E34" s="699"/>
    </row>
    <row r="35" spans="3:5">
      <c r="C35" s="699"/>
      <c r="E35" s="699"/>
    </row>
  </sheetData>
  <mergeCells count="5">
    <mergeCell ref="A1:E1"/>
    <mergeCell ref="A2:E2"/>
    <mergeCell ref="A3:E3"/>
    <mergeCell ref="A4:E4"/>
    <mergeCell ref="A5:E5"/>
  </mergeCells>
  <printOptions horizontalCentered="1"/>
  <pageMargins left="0.7" right="0.7" top="0.75" bottom="0.75" header="0.3" footer="0.3"/>
  <pageSetup scale="75" fitToHeight="0" orientation="landscape" r:id="rId1"/>
  <headerFooter scaleWithDoc="0" alignWithMargins="0">
    <oddHeader>&amp;RPage &amp;P of &amp;N</oddHeader>
    <oddFooter>&amp;LElectronic Tab Name:&amp;A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C80"/>
  <sheetViews>
    <sheetView view="pageBreakPreview" zoomScaleNormal="100" zoomScaleSheetLayoutView="100" workbookViewId="0">
      <selection activeCell="U2" sqref="U2"/>
    </sheetView>
  </sheetViews>
  <sheetFormatPr defaultRowHeight="15.75"/>
  <cols>
    <col min="1" max="1" width="12.140625" style="35" bestFit="1" customWidth="1"/>
    <col min="2" max="2" width="12.7109375" style="6" bestFit="1" customWidth="1"/>
    <col min="3" max="3" width="17.5703125" style="6" bestFit="1" customWidth="1"/>
    <col min="4" max="4" width="61.85546875" style="6" bestFit="1" customWidth="1"/>
    <col min="5" max="5" width="14" style="6" bestFit="1" customWidth="1"/>
    <col min="6" max="6" width="16.140625" style="6" bestFit="1" customWidth="1"/>
    <col min="7" max="7" width="9.42578125" style="6" bestFit="1" customWidth="1"/>
    <col min="8" max="8" width="9.28515625" style="6" bestFit="1" customWidth="1"/>
    <col min="9" max="9" width="13" style="6" bestFit="1" customWidth="1"/>
    <col min="10" max="10" width="12.28515625" style="6" customWidth="1"/>
    <col min="11" max="11" width="16.140625" style="6" bestFit="1" customWidth="1"/>
    <col min="12" max="12" width="18.28515625" style="6" bestFit="1" customWidth="1"/>
    <col min="13" max="13" width="17.7109375" style="6" bestFit="1" customWidth="1"/>
    <col min="14" max="15" width="17.28515625" style="6" bestFit="1" customWidth="1"/>
    <col min="16" max="19" width="18.28515625" style="6" bestFit="1" customWidth="1"/>
    <col min="20" max="20" width="18.7109375" style="6" bestFit="1" customWidth="1"/>
    <col min="21" max="22" width="18.28515625" style="6" bestFit="1" customWidth="1"/>
    <col min="23" max="25" width="19.140625" style="6" bestFit="1" customWidth="1"/>
    <col min="26" max="26" width="18.7109375" style="6" bestFit="1" customWidth="1"/>
    <col min="27" max="27" width="19.140625" style="6" bestFit="1" customWidth="1"/>
    <col min="28" max="28" width="6.5703125" style="6" customWidth="1"/>
    <col min="29" max="29" width="19.140625" style="6" bestFit="1" customWidth="1"/>
    <col min="30" max="16384" width="9.140625" style="6"/>
  </cols>
  <sheetData>
    <row r="1" spans="2:29">
      <c r="B1" s="1025" t="s">
        <v>61</v>
      </c>
      <c r="C1" s="1025"/>
      <c r="D1" s="1025"/>
      <c r="E1" s="1025"/>
      <c r="F1" s="1025"/>
      <c r="G1" s="1025"/>
      <c r="H1" s="1025"/>
      <c r="M1" s="5"/>
      <c r="N1" s="1025" t="s">
        <v>61</v>
      </c>
      <c r="O1" s="1025"/>
      <c r="P1" s="1025"/>
      <c r="Q1" s="1025"/>
      <c r="R1" s="5"/>
      <c r="X1" s="1025" t="s">
        <v>61</v>
      </c>
      <c r="Y1" s="1025"/>
      <c r="Z1" s="1025"/>
      <c r="AA1" s="5"/>
      <c r="AB1" s="5"/>
    </row>
    <row r="2" spans="2:29">
      <c r="B2" s="1025" t="s">
        <v>1690</v>
      </c>
      <c r="C2" s="1025"/>
      <c r="D2" s="1025"/>
      <c r="E2" s="1025"/>
      <c r="F2" s="1025"/>
      <c r="G2" s="1025"/>
      <c r="H2" s="1025"/>
      <c r="M2" s="5"/>
      <c r="N2" s="1025" t="s">
        <v>1690</v>
      </c>
      <c r="O2" s="1025"/>
      <c r="P2" s="1025"/>
      <c r="Q2" s="1025"/>
      <c r="R2" s="5"/>
      <c r="X2" s="1025" t="s">
        <v>1690</v>
      </c>
      <c r="Y2" s="1025"/>
      <c r="Z2" s="1025"/>
      <c r="AA2" s="5"/>
      <c r="AB2" s="5"/>
    </row>
    <row r="3" spans="2:29">
      <c r="B3" s="1025" t="s">
        <v>2042</v>
      </c>
      <c r="C3" s="1025"/>
      <c r="D3" s="1025"/>
      <c r="E3" s="1025"/>
      <c r="F3" s="1025"/>
      <c r="G3" s="1025"/>
      <c r="H3" s="1025"/>
      <c r="M3" s="5"/>
      <c r="N3" s="1025" t="s">
        <v>2042</v>
      </c>
      <c r="O3" s="1025"/>
      <c r="P3" s="1025"/>
      <c r="Q3" s="1025"/>
      <c r="R3" s="5"/>
      <c r="X3" s="1025" t="s">
        <v>2042</v>
      </c>
      <c r="Y3" s="1025"/>
      <c r="Z3" s="1025"/>
      <c r="AA3" s="5"/>
      <c r="AB3" s="5"/>
    </row>
    <row r="4" spans="2:29">
      <c r="B4" s="1025" t="s">
        <v>1719</v>
      </c>
      <c r="C4" s="1025"/>
      <c r="D4" s="1025"/>
      <c r="E4" s="1025"/>
      <c r="F4" s="1025"/>
      <c r="G4" s="1025"/>
      <c r="H4" s="1025"/>
      <c r="M4" s="5"/>
      <c r="N4" s="1025" t="s">
        <v>1719</v>
      </c>
      <c r="O4" s="1025"/>
      <c r="P4" s="1025"/>
      <c r="Q4" s="1025"/>
      <c r="R4" s="5"/>
      <c r="X4" s="1025" t="s">
        <v>1719</v>
      </c>
      <c r="Y4" s="1025"/>
      <c r="Z4" s="1025"/>
      <c r="AA4" s="5"/>
      <c r="AB4" s="5"/>
    </row>
    <row r="5" spans="2:29">
      <c r="B5" s="1025" t="s">
        <v>985</v>
      </c>
      <c r="C5" s="1025"/>
      <c r="D5" s="1025"/>
      <c r="E5" s="1025"/>
      <c r="F5" s="1025"/>
      <c r="G5" s="1025"/>
      <c r="H5" s="1025"/>
      <c r="M5" s="5"/>
      <c r="N5" s="1025" t="s">
        <v>985</v>
      </c>
      <c r="O5" s="1025"/>
      <c r="P5" s="1025"/>
      <c r="Q5" s="1025"/>
      <c r="R5" s="5"/>
      <c r="X5" s="1025" t="s">
        <v>985</v>
      </c>
      <c r="Y5" s="1025"/>
      <c r="Z5" s="1025"/>
      <c r="AA5" s="5"/>
      <c r="AB5" s="5"/>
    </row>
    <row r="6" spans="2:29">
      <c r="B6" s="34"/>
      <c r="C6" s="34"/>
      <c r="D6" s="34"/>
      <c r="E6" s="34"/>
      <c r="F6" s="34"/>
      <c r="G6" s="34"/>
      <c r="H6" s="34"/>
    </row>
    <row r="7" spans="2:29" s="35" customFormat="1">
      <c r="B7" s="35" t="s">
        <v>1731</v>
      </c>
      <c r="C7" s="35" t="s">
        <v>1729</v>
      </c>
      <c r="D7" s="35" t="s">
        <v>1730</v>
      </c>
      <c r="E7" s="35" t="s">
        <v>1733</v>
      </c>
      <c r="F7" s="35" t="s">
        <v>1743</v>
      </c>
      <c r="G7" s="35" t="s">
        <v>1744</v>
      </c>
      <c r="H7" s="35" t="s">
        <v>1745</v>
      </c>
      <c r="I7" s="35" t="s">
        <v>1746</v>
      </c>
      <c r="J7" s="35" t="s">
        <v>1747</v>
      </c>
      <c r="K7" s="35" t="s">
        <v>1748</v>
      </c>
      <c r="L7" s="35" t="s">
        <v>1749</v>
      </c>
      <c r="M7" s="35" t="s">
        <v>1750</v>
      </c>
      <c r="N7" s="35" t="s">
        <v>1751</v>
      </c>
      <c r="O7" s="35" t="s">
        <v>1752</v>
      </c>
      <c r="P7" s="35" t="s">
        <v>2026</v>
      </c>
      <c r="Q7" s="35" t="s">
        <v>2027</v>
      </c>
      <c r="R7" s="35" t="s">
        <v>2028</v>
      </c>
      <c r="S7" s="35" t="s">
        <v>2029</v>
      </c>
      <c r="T7" s="35" t="s">
        <v>2030</v>
      </c>
      <c r="U7" s="35" t="s">
        <v>2031</v>
      </c>
      <c r="V7" s="35" t="s">
        <v>2032</v>
      </c>
      <c r="W7" s="35" t="s">
        <v>2033</v>
      </c>
      <c r="X7" s="35" t="s">
        <v>2034</v>
      </c>
      <c r="Y7" s="35" t="s">
        <v>2035</v>
      </c>
      <c r="Z7" s="35" t="s">
        <v>2036</v>
      </c>
      <c r="AA7" s="35" t="s">
        <v>1181</v>
      </c>
      <c r="AC7" s="35" t="s">
        <v>2037</v>
      </c>
    </row>
    <row r="8" spans="2:29">
      <c r="B8" s="34"/>
      <c r="C8" s="34"/>
      <c r="D8" s="34"/>
      <c r="E8" s="34"/>
      <c r="F8" s="34"/>
      <c r="G8" s="34"/>
      <c r="H8" s="34"/>
    </row>
    <row r="9" spans="2:29">
      <c r="I9" s="442" t="s">
        <v>1181</v>
      </c>
      <c r="J9" s="442" t="s">
        <v>1181</v>
      </c>
      <c r="K9" s="442" t="s">
        <v>1181</v>
      </c>
      <c r="L9" s="442" t="s">
        <v>1181</v>
      </c>
      <c r="M9" s="442" t="s">
        <v>1181</v>
      </c>
      <c r="N9" s="442" t="s">
        <v>1181</v>
      </c>
      <c r="O9" s="442" t="s">
        <v>1181</v>
      </c>
      <c r="P9" s="442" t="s">
        <v>1181</v>
      </c>
      <c r="Q9" s="442" t="s">
        <v>1181</v>
      </c>
      <c r="R9" s="442" t="s">
        <v>1181</v>
      </c>
      <c r="S9" s="442" t="s">
        <v>1181</v>
      </c>
      <c r="T9" s="442" t="s">
        <v>1181</v>
      </c>
      <c r="U9" s="442" t="s">
        <v>1181</v>
      </c>
      <c r="V9" s="442" t="s">
        <v>1181</v>
      </c>
      <c r="W9" s="442" t="s">
        <v>1181</v>
      </c>
      <c r="X9" s="442" t="s">
        <v>59</v>
      </c>
      <c r="Y9" s="442" t="s">
        <v>1181</v>
      </c>
      <c r="Z9" s="442" t="s">
        <v>1181</v>
      </c>
      <c r="AA9" s="442" t="s">
        <v>1181</v>
      </c>
      <c r="AC9" s="444"/>
    </row>
    <row r="10" spans="2:29">
      <c r="I10" s="700">
        <v>2015</v>
      </c>
      <c r="J10" s="700">
        <v>2015</v>
      </c>
      <c r="K10" s="700">
        <v>2015</v>
      </c>
      <c r="L10" s="700">
        <v>2015</v>
      </c>
      <c r="M10" s="700">
        <v>2015</v>
      </c>
      <c r="N10" s="700">
        <v>2015</v>
      </c>
      <c r="O10" s="700">
        <v>2016</v>
      </c>
      <c r="P10" s="700">
        <v>2016</v>
      </c>
      <c r="Q10" s="700">
        <v>2016</v>
      </c>
      <c r="R10" s="700">
        <v>2016</v>
      </c>
      <c r="S10" s="700">
        <v>2016</v>
      </c>
      <c r="T10" s="700">
        <v>2016</v>
      </c>
      <c r="U10" s="700">
        <v>2016</v>
      </c>
      <c r="V10" s="700">
        <v>2016</v>
      </c>
      <c r="W10" s="700">
        <v>2016</v>
      </c>
      <c r="X10" s="700" t="s">
        <v>2012</v>
      </c>
      <c r="Y10" s="700">
        <v>2016</v>
      </c>
      <c r="Z10" s="700">
        <v>2016</v>
      </c>
      <c r="AA10" s="700">
        <v>2016</v>
      </c>
      <c r="AC10" s="701"/>
    </row>
    <row r="11" spans="2:29">
      <c r="B11" s="8"/>
      <c r="C11" s="32"/>
      <c r="E11" s="8"/>
      <c r="G11" s="702"/>
      <c r="H11" s="703"/>
      <c r="I11" s="442" t="s">
        <v>1182</v>
      </c>
      <c r="J11" s="442" t="s">
        <v>1182</v>
      </c>
      <c r="K11" s="442" t="s">
        <v>1182</v>
      </c>
      <c r="L11" s="442" t="s">
        <v>1182</v>
      </c>
      <c r="M11" s="442" t="s">
        <v>1182</v>
      </c>
      <c r="N11" s="442" t="s">
        <v>1182</v>
      </c>
      <c r="O11" s="442" t="s">
        <v>1182</v>
      </c>
      <c r="P11" s="442" t="s">
        <v>1182</v>
      </c>
      <c r="Q11" s="442" t="s">
        <v>1182</v>
      </c>
      <c r="R11" s="442" t="s">
        <v>1182</v>
      </c>
      <c r="S11" s="442" t="s">
        <v>1182</v>
      </c>
      <c r="T11" s="442" t="s">
        <v>1182</v>
      </c>
      <c r="U11" s="442" t="s">
        <v>1182</v>
      </c>
      <c r="V11" s="442" t="s">
        <v>1182</v>
      </c>
      <c r="W11" s="442" t="s">
        <v>1183</v>
      </c>
      <c r="X11" s="442" t="s">
        <v>2013</v>
      </c>
      <c r="Y11" s="442" t="s">
        <v>1183</v>
      </c>
      <c r="Z11" s="442" t="s">
        <v>1183</v>
      </c>
      <c r="AA11" s="442" t="s">
        <v>1183</v>
      </c>
      <c r="AC11" s="444"/>
    </row>
    <row r="12" spans="2:29">
      <c r="B12" s="8"/>
      <c r="C12" s="32"/>
      <c r="E12" s="8"/>
      <c r="G12" s="702"/>
      <c r="H12" s="703"/>
      <c r="I12" s="700" t="s">
        <v>1380</v>
      </c>
      <c r="J12" s="700" t="s">
        <v>1381</v>
      </c>
      <c r="K12" s="700" t="s">
        <v>2008</v>
      </c>
      <c r="L12" s="700" t="s">
        <v>2009</v>
      </c>
      <c r="M12" s="700" t="s">
        <v>2010</v>
      </c>
      <c r="N12" s="700" t="s">
        <v>2011</v>
      </c>
      <c r="O12" s="700" t="s">
        <v>1128</v>
      </c>
      <c r="P12" s="700" t="s">
        <v>1129</v>
      </c>
      <c r="Q12" s="700" t="s">
        <v>1130</v>
      </c>
      <c r="R12" s="700" t="s">
        <v>1131</v>
      </c>
      <c r="S12" s="700" t="s">
        <v>1132</v>
      </c>
      <c r="T12" s="700" t="s">
        <v>1133</v>
      </c>
      <c r="U12" s="700" t="s">
        <v>1134</v>
      </c>
      <c r="V12" s="700" t="s">
        <v>1135</v>
      </c>
      <c r="W12" s="700" t="s">
        <v>2008</v>
      </c>
      <c r="X12" s="700" t="s">
        <v>2014</v>
      </c>
      <c r="Y12" s="700" t="s">
        <v>2009</v>
      </c>
      <c r="Z12" s="700" t="s">
        <v>2010</v>
      </c>
      <c r="AA12" s="700" t="s">
        <v>2011</v>
      </c>
      <c r="AC12" s="701"/>
    </row>
    <row r="13" spans="2:29">
      <c r="B13" s="8"/>
      <c r="C13" s="32"/>
      <c r="E13" s="8"/>
      <c r="G13" s="702"/>
      <c r="H13" s="703"/>
      <c r="I13" s="442" t="s">
        <v>992</v>
      </c>
      <c r="J13" s="442" t="s">
        <v>992</v>
      </c>
      <c r="K13" s="442" t="s">
        <v>992</v>
      </c>
      <c r="L13" s="442" t="s">
        <v>992</v>
      </c>
      <c r="M13" s="442" t="s">
        <v>992</v>
      </c>
      <c r="N13" s="442" t="s">
        <v>992</v>
      </c>
      <c r="O13" s="442" t="s">
        <v>992</v>
      </c>
      <c r="P13" s="442" t="s">
        <v>992</v>
      </c>
      <c r="Q13" s="442" t="s">
        <v>992</v>
      </c>
      <c r="R13" s="442" t="s">
        <v>992</v>
      </c>
      <c r="S13" s="442" t="s">
        <v>992</v>
      </c>
      <c r="T13" s="442" t="s">
        <v>992</v>
      </c>
      <c r="U13" s="442" t="s">
        <v>992</v>
      </c>
      <c r="V13" s="442" t="s">
        <v>992</v>
      </c>
      <c r="W13" s="442" t="s">
        <v>992</v>
      </c>
      <c r="X13" s="442" t="s">
        <v>2015</v>
      </c>
      <c r="Y13" s="442" t="s">
        <v>992</v>
      </c>
      <c r="Z13" s="442" t="s">
        <v>992</v>
      </c>
      <c r="AA13" s="442" t="s">
        <v>992</v>
      </c>
      <c r="AC13" s="444"/>
    </row>
    <row r="14" spans="2:29">
      <c r="B14" s="8"/>
      <c r="C14" s="32"/>
      <c r="E14" s="8"/>
      <c r="G14" s="702"/>
      <c r="H14" s="703"/>
      <c r="I14" s="442" t="s">
        <v>1184</v>
      </c>
      <c r="J14" s="442" t="s">
        <v>1184</v>
      </c>
      <c r="K14" s="442" t="s">
        <v>1184</v>
      </c>
      <c r="L14" s="442" t="s">
        <v>1184</v>
      </c>
      <c r="M14" s="442" t="s">
        <v>1184</v>
      </c>
      <c r="N14" s="442" t="s">
        <v>1184</v>
      </c>
      <c r="O14" s="442" t="s">
        <v>1184</v>
      </c>
      <c r="P14" s="442" t="s">
        <v>1184</v>
      </c>
      <c r="Q14" s="442" t="s">
        <v>1184</v>
      </c>
      <c r="R14" s="442" t="s">
        <v>1184</v>
      </c>
      <c r="S14" s="442" t="s">
        <v>1184</v>
      </c>
      <c r="T14" s="442" t="s">
        <v>1184</v>
      </c>
      <c r="U14" s="442" t="s">
        <v>1184</v>
      </c>
      <c r="V14" s="442" t="s">
        <v>1184</v>
      </c>
      <c r="W14" s="442" t="s">
        <v>1184</v>
      </c>
      <c r="X14" s="442" t="s">
        <v>2016</v>
      </c>
      <c r="Y14" s="442" t="s">
        <v>1184</v>
      </c>
      <c r="Z14" s="442" t="s">
        <v>1184</v>
      </c>
      <c r="AA14" s="442" t="s">
        <v>1184</v>
      </c>
      <c r="AC14" s="444"/>
    </row>
    <row r="15" spans="2:29">
      <c r="B15" s="8"/>
      <c r="C15" s="32"/>
      <c r="E15" s="8"/>
      <c r="G15" s="702"/>
      <c r="H15" s="703"/>
      <c r="I15" s="442" t="s">
        <v>410</v>
      </c>
      <c r="J15" s="442" t="s">
        <v>410</v>
      </c>
      <c r="K15" s="442" t="s">
        <v>410</v>
      </c>
      <c r="L15" s="442" t="s">
        <v>410</v>
      </c>
      <c r="M15" s="442" t="s">
        <v>410</v>
      </c>
      <c r="N15" s="442" t="s">
        <v>410</v>
      </c>
      <c r="O15" s="442" t="s">
        <v>410</v>
      </c>
      <c r="P15" s="442" t="s">
        <v>410</v>
      </c>
      <c r="Q15" s="442" t="s">
        <v>410</v>
      </c>
      <c r="R15" s="442" t="s">
        <v>410</v>
      </c>
      <c r="S15" s="442" t="s">
        <v>410</v>
      </c>
      <c r="T15" s="442" t="s">
        <v>410</v>
      </c>
      <c r="U15" s="442" t="s">
        <v>410</v>
      </c>
      <c r="V15" s="442" t="s">
        <v>410</v>
      </c>
      <c r="W15" s="442" t="s">
        <v>410</v>
      </c>
      <c r="X15" s="442"/>
      <c r="Y15" s="442" t="s">
        <v>410</v>
      </c>
      <c r="Z15" s="442" t="s">
        <v>410</v>
      </c>
      <c r="AA15" s="442" t="s">
        <v>410</v>
      </c>
      <c r="AC15" s="444"/>
    </row>
    <row r="16" spans="2:29">
      <c r="B16" s="8"/>
      <c r="C16" s="32"/>
      <c r="E16" s="8"/>
      <c r="G16" s="704"/>
      <c r="H16" s="705"/>
      <c r="I16" s="450"/>
      <c r="J16" s="450"/>
      <c r="K16" s="450"/>
      <c r="L16" s="450"/>
      <c r="M16" s="450"/>
      <c r="N16" s="450"/>
      <c r="O16" s="450"/>
      <c r="P16" s="450"/>
      <c r="Q16" s="450"/>
      <c r="R16" s="450"/>
      <c r="S16" s="450"/>
      <c r="T16" s="450"/>
      <c r="U16" s="450"/>
      <c r="V16" s="450"/>
      <c r="W16" s="450"/>
      <c r="X16" s="450"/>
      <c r="Y16" s="450"/>
      <c r="Z16" s="450"/>
      <c r="AA16" s="450"/>
      <c r="AC16" s="450"/>
    </row>
    <row r="17" spans="1:29">
      <c r="A17" s="35" t="s">
        <v>891</v>
      </c>
      <c r="B17" s="32" t="s">
        <v>1185</v>
      </c>
      <c r="C17" s="32" t="s">
        <v>1186</v>
      </c>
      <c r="D17" s="32" t="s">
        <v>1187</v>
      </c>
      <c r="E17" s="32" t="s">
        <v>1188</v>
      </c>
      <c r="F17" s="8" t="s">
        <v>1189</v>
      </c>
      <c r="G17" s="702" t="s">
        <v>974</v>
      </c>
      <c r="H17" s="706" t="s">
        <v>1190</v>
      </c>
      <c r="I17" s="18"/>
      <c r="J17" s="18"/>
      <c r="K17" s="18"/>
      <c r="L17" s="18"/>
      <c r="M17" s="18"/>
      <c r="N17" s="18"/>
      <c r="O17" s="18"/>
      <c r="P17" s="18"/>
      <c r="Q17" s="18"/>
      <c r="R17" s="18"/>
      <c r="S17" s="18"/>
      <c r="T17" s="18"/>
      <c r="U17" s="18"/>
      <c r="V17" s="18"/>
      <c r="W17" s="18"/>
      <c r="X17" s="18"/>
      <c r="Y17" s="18"/>
      <c r="Z17" s="18"/>
      <c r="AA17" s="18"/>
      <c r="AB17" s="8"/>
      <c r="AC17" s="523" t="s">
        <v>886</v>
      </c>
    </row>
    <row r="18" spans="1:29">
      <c r="A18" s="35">
        <v>1</v>
      </c>
      <c r="B18" s="707"/>
      <c r="C18" s="707" t="s">
        <v>1191</v>
      </c>
      <c r="D18" s="708" t="s">
        <v>1192</v>
      </c>
      <c r="E18" s="709"/>
      <c r="F18" s="710"/>
      <c r="G18" s="707"/>
      <c r="H18" s="711"/>
      <c r="I18" s="712"/>
      <c r="J18" s="712"/>
      <c r="K18" s="712"/>
      <c r="L18" s="712"/>
      <c r="M18" s="712"/>
      <c r="N18" s="712"/>
      <c r="O18" s="712"/>
      <c r="P18" s="712"/>
      <c r="Q18" s="712"/>
      <c r="R18" s="712"/>
      <c r="S18" s="712"/>
      <c r="T18" s="712"/>
      <c r="U18" s="712"/>
      <c r="V18" s="712"/>
      <c r="W18" s="712"/>
      <c r="X18" s="712"/>
      <c r="Y18" s="712"/>
      <c r="Z18" s="712"/>
      <c r="AA18" s="712"/>
      <c r="AB18" s="19"/>
      <c r="AC18" s="713"/>
    </row>
    <row r="19" spans="1:29">
      <c r="A19" s="35">
        <v>2</v>
      </c>
      <c r="B19" s="442" t="s">
        <v>1193</v>
      </c>
      <c r="C19" s="442" t="s">
        <v>1191</v>
      </c>
      <c r="D19" s="99" t="s">
        <v>1194</v>
      </c>
      <c r="E19" s="595" t="s">
        <v>1195</v>
      </c>
      <c r="F19" s="99" t="s">
        <v>1196</v>
      </c>
      <c r="G19" s="442" t="s">
        <v>1197</v>
      </c>
      <c r="H19" s="714">
        <v>4.1300000000000003E-2</v>
      </c>
      <c r="I19" s="715"/>
      <c r="J19" s="715"/>
      <c r="K19" s="715"/>
      <c r="L19" s="715">
        <v>0</v>
      </c>
      <c r="M19" s="715">
        <v>0</v>
      </c>
      <c r="N19" s="715">
        <v>0</v>
      </c>
      <c r="O19" s="715">
        <v>0</v>
      </c>
      <c r="P19" s="715">
        <v>0</v>
      </c>
      <c r="Q19" s="715">
        <v>0</v>
      </c>
      <c r="R19" s="715">
        <v>-47.47</v>
      </c>
      <c r="S19" s="715">
        <v>0</v>
      </c>
      <c r="T19" s="715">
        <v>0</v>
      </c>
      <c r="U19" s="715">
        <v>0</v>
      </c>
      <c r="V19" s="715">
        <v>0</v>
      </c>
      <c r="W19" s="715">
        <v>0</v>
      </c>
      <c r="X19" s="715">
        <f>SUM(I19:W19)</f>
        <v>-47.47</v>
      </c>
      <c r="Y19" s="715">
        <v>0</v>
      </c>
      <c r="Z19" s="715">
        <v>0</v>
      </c>
      <c r="AA19" s="715">
        <v>0</v>
      </c>
      <c r="AB19" s="19"/>
      <c r="AC19" s="716">
        <f t="shared" ref="AC19:AC30" si="0">SUM(I19:AB19)-X19</f>
        <v>-47.47</v>
      </c>
    </row>
    <row r="20" spans="1:29">
      <c r="A20" s="35">
        <v>3</v>
      </c>
      <c r="B20" s="442" t="s">
        <v>1198</v>
      </c>
      <c r="C20" s="442" t="s">
        <v>1191</v>
      </c>
      <c r="D20" s="99" t="s">
        <v>1199</v>
      </c>
      <c r="E20" s="595" t="s">
        <v>1200</v>
      </c>
      <c r="F20" s="99" t="s">
        <v>1196</v>
      </c>
      <c r="G20" s="442" t="s">
        <v>1201</v>
      </c>
      <c r="H20" s="714">
        <v>3.3300000000000003E-2</v>
      </c>
      <c r="I20" s="715"/>
      <c r="J20" s="715"/>
      <c r="K20" s="715"/>
      <c r="L20" s="715">
        <v>0</v>
      </c>
      <c r="M20" s="715">
        <v>0</v>
      </c>
      <c r="N20" s="715">
        <v>0</v>
      </c>
      <c r="O20" s="715">
        <v>0</v>
      </c>
      <c r="P20" s="715">
        <v>0</v>
      </c>
      <c r="Q20" s="715">
        <v>0</v>
      </c>
      <c r="R20" s="715">
        <v>0</v>
      </c>
      <c r="S20" s="715">
        <v>0</v>
      </c>
      <c r="T20" s="715">
        <v>0</v>
      </c>
      <c r="U20" s="715">
        <v>0</v>
      </c>
      <c r="V20" s="715">
        <v>0</v>
      </c>
      <c r="W20" s="715">
        <v>0</v>
      </c>
      <c r="X20" s="715">
        <f t="shared" ref="X20:X71" si="1">SUM(I20:W20)</f>
        <v>0</v>
      </c>
      <c r="Y20" s="715">
        <v>0</v>
      </c>
      <c r="Z20" s="715">
        <v>0</v>
      </c>
      <c r="AA20" s="715">
        <v>0</v>
      </c>
      <c r="AB20" s="19"/>
      <c r="AC20" s="716">
        <f t="shared" si="0"/>
        <v>0</v>
      </c>
    </row>
    <row r="21" spans="1:29">
      <c r="A21" s="35">
        <v>4</v>
      </c>
      <c r="B21" s="442" t="s">
        <v>1202</v>
      </c>
      <c r="C21" s="442" t="s">
        <v>1191</v>
      </c>
      <c r="D21" s="99" t="s">
        <v>1199</v>
      </c>
      <c r="E21" s="595" t="s">
        <v>1203</v>
      </c>
      <c r="F21" s="99" t="s">
        <v>1196</v>
      </c>
      <c r="G21" s="442" t="s">
        <v>1201</v>
      </c>
      <c r="H21" s="714">
        <v>3.3300000000000003E-2</v>
      </c>
      <c r="I21" s="715"/>
      <c r="J21" s="715"/>
      <c r="K21" s="715"/>
      <c r="L21" s="715">
        <v>0</v>
      </c>
      <c r="M21" s="715">
        <v>0</v>
      </c>
      <c r="N21" s="715">
        <v>0</v>
      </c>
      <c r="O21" s="715">
        <v>0</v>
      </c>
      <c r="P21" s="715">
        <v>0</v>
      </c>
      <c r="Q21" s="715">
        <v>0</v>
      </c>
      <c r="R21" s="715">
        <v>0</v>
      </c>
      <c r="S21" s="715">
        <v>0</v>
      </c>
      <c r="T21" s="715">
        <v>0</v>
      </c>
      <c r="U21" s="715">
        <v>0</v>
      </c>
      <c r="V21" s="715">
        <v>0</v>
      </c>
      <c r="W21" s="715">
        <v>0</v>
      </c>
      <c r="X21" s="715">
        <f t="shared" si="1"/>
        <v>0</v>
      </c>
      <c r="Y21" s="715">
        <v>0</v>
      </c>
      <c r="Z21" s="715">
        <v>0</v>
      </c>
      <c r="AA21" s="715">
        <v>0</v>
      </c>
      <c r="AB21" s="19"/>
      <c r="AC21" s="716">
        <f t="shared" si="0"/>
        <v>0</v>
      </c>
    </row>
    <row r="22" spans="1:29">
      <c r="A22" s="35">
        <v>5</v>
      </c>
      <c r="B22" s="442" t="s">
        <v>1204</v>
      </c>
      <c r="C22" s="442" t="s">
        <v>1191</v>
      </c>
      <c r="D22" s="99" t="s">
        <v>1205</v>
      </c>
      <c r="E22" s="595" t="s">
        <v>1206</v>
      </c>
      <c r="F22" s="99" t="s">
        <v>1196</v>
      </c>
      <c r="G22" s="442" t="s">
        <v>1201</v>
      </c>
      <c r="H22" s="714">
        <v>3.3300000000000003E-2</v>
      </c>
      <c r="I22" s="715"/>
      <c r="J22" s="715"/>
      <c r="K22" s="715"/>
      <c r="L22" s="715">
        <v>0</v>
      </c>
      <c r="M22" s="715">
        <v>0</v>
      </c>
      <c r="N22" s="715">
        <v>0</v>
      </c>
      <c r="O22" s="715">
        <v>0</v>
      </c>
      <c r="P22" s="715">
        <v>0</v>
      </c>
      <c r="Q22" s="715">
        <v>0</v>
      </c>
      <c r="R22" s="715">
        <v>47.47</v>
      </c>
      <c r="S22" s="715">
        <v>0</v>
      </c>
      <c r="T22" s="715">
        <v>0</v>
      </c>
      <c r="U22" s="715">
        <v>0</v>
      </c>
      <c r="V22" s="715">
        <v>0</v>
      </c>
      <c r="W22" s="715">
        <v>0</v>
      </c>
      <c r="X22" s="715">
        <f t="shared" si="1"/>
        <v>47.47</v>
      </c>
      <c r="Y22" s="715">
        <v>0</v>
      </c>
      <c r="Z22" s="715">
        <v>0</v>
      </c>
      <c r="AA22" s="715">
        <v>0</v>
      </c>
      <c r="AB22" s="19"/>
      <c r="AC22" s="716">
        <f t="shared" si="0"/>
        <v>47.47</v>
      </c>
    </row>
    <row r="23" spans="1:29">
      <c r="A23" s="35">
        <v>6</v>
      </c>
      <c r="B23" s="442" t="s">
        <v>1207</v>
      </c>
      <c r="C23" s="442" t="s">
        <v>1191</v>
      </c>
      <c r="D23" s="99" t="s">
        <v>1208</v>
      </c>
      <c r="E23" s="595" t="s">
        <v>1209</v>
      </c>
      <c r="F23" s="99" t="s">
        <v>1196</v>
      </c>
      <c r="G23" s="442" t="s">
        <v>1201</v>
      </c>
      <c r="H23" s="714">
        <v>1.2500000000000001E-2</v>
      </c>
      <c r="I23" s="715"/>
      <c r="J23" s="715"/>
      <c r="K23" s="715"/>
      <c r="L23" s="715">
        <v>496358.98</v>
      </c>
      <c r="M23" s="715">
        <v>107295.45</v>
      </c>
      <c r="N23" s="715">
        <v>0</v>
      </c>
      <c r="O23" s="715">
        <v>784.15</v>
      </c>
      <c r="P23" s="715">
        <v>692.25</v>
      </c>
      <c r="Q23" s="715">
        <v>0</v>
      </c>
      <c r="R23" s="715">
        <v>3780.9</v>
      </c>
      <c r="S23" s="715">
        <v>6007.19</v>
      </c>
      <c r="T23" s="715">
        <v>0</v>
      </c>
      <c r="U23" s="715">
        <v>321.2</v>
      </c>
      <c r="V23" s="715">
        <v>0</v>
      </c>
      <c r="W23" s="715">
        <v>0</v>
      </c>
      <c r="X23" s="715">
        <f t="shared" si="1"/>
        <v>615240.11999999988</v>
      </c>
      <c r="Y23" s="715">
        <v>0</v>
      </c>
      <c r="Z23" s="715">
        <v>0</v>
      </c>
      <c r="AA23" s="715">
        <v>0</v>
      </c>
      <c r="AB23" s="19"/>
      <c r="AC23" s="716">
        <f t="shared" si="0"/>
        <v>615240.11999999988</v>
      </c>
    </row>
    <row r="24" spans="1:29">
      <c r="A24" s="35">
        <v>7</v>
      </c>
      <c r="B24" s="442" t="s">
        <v>1210</v>
      </c>
      <c r="C24" s="442" t="s">
        <v>1191</v>
      </c>
      <c r="D24" s="99" t="s">
        <v>1211</v>
      </c>
      <c r="E24" s="595" t="s">
        <v>1212</v>
      </c>
      <c r="F24" s="99" t="s">
        <v>1196</v>
      </c>
      <c r="G24" s="442" t="s">
        <v>1197</v>
      </c>
      <c r="H24" s="714">
        <v>4.1300000000000003E-2</v>
      </c>
      <c r="I24" s="715"/>
      <c r="J24" s="715"/>
      <c r="K24" s="715"/>
      <c r="L24" s="715">
        <v>19344.52</v>
      </c>
      <c r="M24" s="715">
        <v>17842.55</v>
      </c>
      <c r="N24" s="715">
        <v>919.46</v>
      </c>
      <c r="O24" s="715">
        <v>111681.13</v>
      </c>
      <c r="P24" s="715">
        <v>17571.3</v>
      </c>
      <c r="Q24" s="715">
        <v>3957.35</v>
      </c>
      <c r="R24" s="715">
        <v>3756.31</v>
      </c>
      <c r="S24" s="715">
        <v>75505.39</v>
      </c>
      <c r="T24" s="715">
        <v>0</v>
      </c>
      <c r="U24" s="715">
        <v>0</v>
      </c>
      <c r="V24" s="715">
        <v>0</v>
      </c>
      <c r="W24" s="715">
        <v>0</v>
      </c>
      <c r="X24" s="715">
        <f t="shared" si="1"/>
        <v>250578.01</v>
      </c>
      <c r="Y24" s="715">
        <v>0</v>
      </c>
      <c r="Z24" s="715">
        <v>0</v>
      </c>
      <c r="AA24" s="715">
        <v>0</v>
      </c>
      <c r="AB24" s="19"/>
      <c r="AC24" s="716">
        <f t="shared" si="0"/>
        <v>250578.01</v>
      </c>
    </row>
    <row r="25" spans="1:29">
      <c r="A25" s="35">
        <v>8</v>
      </c>
      <c r="B25" s="442" t="s">
        <v>1213</v>
      </c>
      <c r="C25" s="442" t="s">
        <v>1191</v>
      </c>
      <c r="D25" s="99" t="s">
        <v>1214</v>
      </c>
      <c r="E25" s="595" t="s">
        <v>1215</v>
      </c>
      <c r="F25" s="99" t="s">
        <v>1196</v>
      </c>
      <c r="G25" s="442" t="s">
        <v>1197</v>
      </c>
      <c r="H25" s="714">
        <v>4.1300000000000003E-2</v>
      </c>
      <c r="I25" s="715"/>
      <c r="J25" s="715"/>
      <c r="K25" s="715"/>
      <c r="L25" s="715">
        <v>137632.98000000001</v>
      </c>
      <c r="M25" s="715">
        <v>0</v>
      </c>
      <c r="N25" s="715">
        <v>2091.09</v>
      </c>
      <c r="O25" s="715">
        <v>572.14</v>
      </c>
      <c r="P25" s="715">
        <v>2191.7800000000002</v>
      </c>
      <c r="Q25" s="715">
        <v>1446.56</v>
      </c>
      <c r="R25" s="715">
        <v>856.26</v>
      </c>
      <c r="S25" s="715">
        <v>10426.48</v>
      </c>
      <c r="T25" s="715">
        <v>0</v>
      </c>
      <c r="U25" s="715">
        <v>0</v>
      </c>
      <c r="V25" s="715">
        <v>0</v>
      </c>
      <c r="W25" s="715">
        <v>0</v>
      </c>
      <c r="X25" s="715">
        <f t="shared" si="1"/>
        <v>155217.29000000004</v>
      </c>
      <c r="Y25" s="715">
        <v>0</v>
      </c>
      <c r="Z25" s="715">
        <v>0</v>
      </c>
      <c r="AA25" s="715">
        <v>0</v>
      </c>
      <c r="AB25" s="19"/>
      <c r="AC25" s="716">
        <f t="shared" si="0"/>
        <v>155217.29000000004</v>
      </c>
    </row>
    <row r="26" spans="1:29">
      <c r="A26" s="35">
        <v>9</v>
      </c>
      <c r="B26" s="442" t="s">
        <v>1216</v>
      </c>
      <c r="C26" s="442" t="s">
        <v>1191</v>
      </c>
      <c r="D26" s="99" t="s">
        <v>1217</v>
      </c>
      <c r="E26" s="595" t="s">
        <v>1218</v>
      </c>
      <c r="F26" s="99" t="s">
        <v>1196</v>
      </c>
      <c r="G26" s="442" t="s">
        <v>1197</v>
      </c>
      <c r="H26" s="714">
        <v>4.1300000000000003E-2</v>
      </c>
      <c r="I26" s="715"/>
      <c r="J26" s="715"/>
      <c r="K26" s="715"/>
      <c r="L26" s="715">
        <v>87559.86</v>
      </c>
      <c r="M26" s="715">
        <v>100089.63</v>
      </c>
      <c r="N26" s="715">
        <v>63297.49</v>
      </c>
      <c r="O26" s="715">
        <v>29531.54</v>
      </c>
      <c r="P26" s="715">
        <v>14359.95</v>
      </c>
      <c r="Q26" s="715">
        <v>735.72</v>
      </c>
      <c r="R26" s="715">
        <v>1071.99</v>
      </c>
      <c r="S26" s="715">
        <v>54404.55</v>
      </c>
      <c r="T26" s="715">
        <v>0</v>
      </c>
      <c r="U26" s="715">
        <v>0</v>
      </c>
      <c r="V26" s="715">
        <v>0</v>
      </c>
      <c r="W26" s="715">
        <v>0</v>
      </c>
      <c r="X26" s="715">
        <f t="shared" si="1"/>
        <v>351050.72999999992</v>
      </c>
      <c r="Y26" s="715">
        <v>0</v>
      </c>
      <c r="Z26" s="715">
        <v>0</v>
      </c>
      <c r="AA26" s="715">
        <v>0</v>
      </c>
      <c r="AB26" s="19"/>
      <c r="AC26" s="716">
        <f t="shared" si="0"/>
        <v>351050.72999999992</v>
      </c>
    </row>
    <row r="27" spans="1:29">
      <c r="A27" s="35">
        <v>10</v>
      </c>
      <c r="B27" s="442" t="s">
        <v>1219</v>
      </c>
      <c r="C27" s="442" t="s">
        <v>1191</v>
      </c>
      <c r="D27" s="99" t="s">
        <v>1220</v>
      </c>
      <c r="E27" s="595" t="s">
        <v>1221</v>
      </c>
      <c r="F27" s="99" t="s">
        <v>1196</v>
      </c>
      <c r="G27" s="442" t="s">
        <v>1197</v>
      </c>
      <c r="H27" s="714">
        <v>4.1300000000000003E-2</v>
      </c>
      <c r="I27" s="715"/>
      <c r="J27" s="715"/>
      <c r="K27" s="715"/>
      <c r="L27" s="715">
        <v>37813.14</v>
      </c>
      <c r="M27" s="715">
        <v>22981.22</v>
      </c>
      <c r="N27" s="715">
        <v>366999.34</v>
      </c>
      <c r="O27" s="715">
        <v>2520.9499999999998</v>
      </c>
      <c r="P27" s="715">
        <v>22261.99</v>
      </c>
      <c r="Q27" s="715">
        <v>9451.68</v>
      </c>
      <c r="R27" s="715">
        <v>10116.379999999999</v>
      </c>
      <c r="S27" s="715">
        <v>81627.14</v>
      </c>
      <c r="T27" s="715">
        <v>0</v>
      </c>
      <c r="U27" s="715">
        <v>0</v>
      </c>
      <c r="V27" s="715">
        <v>0</v>
      </c>
      <c r="W27" s="715">
        <v>0</v>
      </c>
      <c r="X27" s="715">
        <f t="shared" si="1"/>
        <v>553771.84</v>
      </c>
      <c r="Y27" s="715">
        <v>0</v>
      </c>
      <c r="Z27" s="715">
        <v>0</v>
      </c>
      <c r="AA27" s="715">
        <v>0</v>
      </c>
      <c r="AB27" s="19"/>
      <c r="AC27" s="716">
        <f t="shared" si="0"/>
        <v>553771.84</v>
      </c>
    </row>
    <row r="28" spans="1:29">
      <c r="A28" s="35">
        <v>11</v>
      </c>
      <c r="B28" s="442" t="s">
        <v>1222</v>
      </c>
      <c r="C28" s="442" t="s">
        <v>1191</v>
      </c>
      <c r="D28" s="99" t="s">
        <v>1223</v>
      </c>
      <c r="E28" s="595" t="s">
        <v>1224</v>
      </c>
      <c r="F28" s="99" t="s">
        <v>1196</v>
      </c>
      <c r="G28" s="442" t="s">
        <v>1197</v>
      </c>
      <c r="H28" s="714">
        <v>4.1300000000000003E-2</v>
      </c>
      <c r="I28" s="715"/>
      <c r="J28" s="715"/>
      <c r="K28" s="715"/>
      <c r="L28" s="715">
        <v>56461.45</v>
      </c>
      <c r="M28" s="715">
        <v>8360.2000000000007</v>
      </c>
      <c r="N28" s="715">
        <v>8252.6200000000008</v>
      </c>
      <c r="O28" s="715">
        <v>0</v>
      </c>
      <c r="P28" s="715">
        <v>0</v>
      </c>
      <c r="Q28" s="715">
        <v>0</v>
      </c>
      <c r="R28" s="715">
        <v>0</v>
      </c>
      <c r="S28" s="715">
        <v>37231.06</v>
      </c>
      <c r="T28" s="715">
        <v>0</v>
      </c>
      <c r="U28" s="715">
        <v>0</v>
      </c>
      <c r="V28" s="715">
        <v>0</v>
      </c>
      <c r="W28" s="715">
        <v>0</v>
      </c>
      <c r="X28" s="715">
        <f t="shared" si="1"/>
        <v>110305.32999999999</v>
      </c>
      <c r="Y28" s="715">
        <v>0</v>
      </c>
      <c r="Z28" s="715">
        <v>0</v>
      </c>
      <c r="AA28" s="715">
        <v>0</v>
      </c>
      <c r="AB28" s="19"/>
      <c r="AC28" s="716">
        <f t="shared" si="0"/>
        <v>110305.32999999999</v>
      </c>
    </row>
    <row r="29" spans="1:29">
      <c r="A29" s="35">
        <v>12</v>
      </c>
      <c r="B29" s="717" t="s">
        <v>1225</v>
      </c>
      <c r="C29" s="718" t="s">
        <v>1191</v>
      </c>
      <c r="D29" s="719" t="s">
        <v>1226</v>
      </c>
      <c r="E29" s="720" t="s">
        <v>1227</v>
      </c>
      <c r="F29" s="719" t="s">
        <v>1196</v>
      </c>
      <c r="G29" s="718" t="s">
        <v>1197</v>
      </c>
      <c r="H29" s="714">
        <v>4.1300000000000003E-2</v>
      </c>
      <c r="I29" s="715"/>
      <c r="J29" s="715"/>
      <c r="K29" s="715"/>
      <c r="L29" s="715">
        <v>0</v>
      </c>
      <c r="M29" s="715">
        <v>0</v>
      </c>
      <c r="N29" s="715">
        <v>0</v>
      </c>
      <c r="O29" s="715">
        <v>0</v>
      </c>
      <c r="P29" s="715">
        <v>0</v>
      </c>
      <c r="Q29" s="715">
        <v>0</v>
      </c>
      <c r="R29" s="715">
        <v>0</v>
      </c>
      <c r="S29" s="715">
        <v>143.84</v>
      </c>
      <c r="T29" s="715">
        <v>1678.71</v>
      </c>
      <c r="U29" s="715">
        <v>45350.63</v>
      </c>
      <c r="V29" s="715">
        <v>17059.03</v>
      </c>
      <c r="W29" s="715">
        <v>10396.68</v>
      </c>
      <c r="X29" s="715">
        <f t="shared" si="1"/>
        <v>74628.89</v>
      </c>
      <c r="Y29" s="715">
        <v>491494.78</v>
      </c>
      <c r="Z29" s="715">
        <v>378425.64</v>
      </c>
      <c r="AA29" s="715">
        <v>1349738.71</v>
      </c>
      <c r="AB29" s="19"/>
      <c r="AC29" s="716">
        <f t="shared" si="0"/>
        <v>2294288.02</v>
      </c>
    </row>
    <row r="30" spans="1:29">
      <c r="A30" s="35">
        <v>13</v>
      </c>
      <c r="B30" s="707" t="s">
        <v>1228</v>
      </c>
      <c r="C30" s="707" t="s">
        <v>1229</v>
      </c>
      <c r="D30" s="710" t="s">
        <v>1230</v>
      </c>
      <c r="E30" s="721" t="s">
        <v>1227</v>
      </c>
      <c r="F30" s="710" t="s">
        <v>1196</v>
      </c>
      <c r="G30" s="707" t="s">
        <v>1231</v>
      </c>
      <c r="H30" s="711">
        <v>1.2500000000000001E-2</v>
      </c>
      <c r="I30" s="712">
        <v>0</v>
      </c>
      <c r="J30" s="712">
        <v>0</v>
      </c>
      <c r="K30" s="712">
        <v>0</v>
      </c>
      <c r="L30" s="712">
        <v>0</v>
      </c>
      <c r="M30" s="712">
        <v>0</v>
      </c>
      <c r="N30" s="712">
        <v>0</v>
      </c>
      <c r="O30" s="712">
        <v>0</v>
      </c>
      <c r="P30" s="712">
        <v>0</v>
      </c>
      <c r="Q30" s="712">
        <v>0</v>
      </c>
      <c r="R30" s="712">
        <v>34057.68</v>
      </c>
      <c r="S30" s="712">
        <v>16919.71</v>
      </c>
      <c r="T30" s="712">
        <v>57710.06</v>
      </c>
      <c r="U30" s="712">
        <v>16298.62</v>
      </c>
      <c r="V30" s="712">
        <v>159971.60999999999</v>
      </c>
      <c r="W30" s="712">
        <v>2178.64</v>
      </c>
      <c r="X30" s="715">
        <f t="shared" si="1"/>
        <v>287136.32</v>
      </c>
      <c r="Y30" s="712">
        <v>140721.99</v>
      </c>
      <c r="Z30" s="712">
        <v>2111.88</v>
      </c>
      <c r="AA30" s="712">
        <v>53927.27</v>
      </c>
      <c r="AB30" s="19"/>
      <c r="AC30" s="722">
        <f t="shared" si="0"/>
        <v>483897.46</v>
      </c>
    </row>
    <row r="31" spans="1:29">
      <c r="A31" s="35">
        <v>14</v>
      </c>
      <c r="B31" s="707"/>
      <c r="C31" s="707" t="s">
        <v>1232</v>
      </c>
      <c r="D31" s="708" t="s">
        <v>1233</v>
      </c>
      <c r="E31" s="709"/>
      <c r="F31" s="710"/>
      <c r="G31" s="707"/>
      <c r="H31" s="711"/>
      <c r="I31" s="712">
        <v>0</v>
      </c>
      <c r="J31" s="712">
        <v>0</v>
      </c>
      <c r="K31" s="712">
        <v>0</v>
      </c>
      <c r="L31" s="712">
        <v>0</v>
      </c>
      <c r="M31" s="712">
        <v>0</v>
      </c>
      <c r="N31" s="712">
        <v>0</v>
      </c>
      <c r="O31" s="712">
        <v>0</v>
      </c>
      <c r="P31" s="712">
        <v>0</v>
      </c>
      <c r="Q31" s="712">
        <v>0</v>
      </c>
      <c r="R31" s="712">
        <v>0</v>
      </c>
      <c r="S31" s="712">
        <v>0</v>
      </c>
      <c r="T31" s="712">
        <v>0</v>
      </c>
      <c r="U31" s="712">
        <v>0</v>
      </c>
      <c r="V31" s="712">
        <v>0</v>
      </c>
      <c r="W31" s="712">
        <v>0</v>
      </c>
      <c r="X31" s="715">
        <f t="shared" si="1"/>
        <v>0</v>
      </c>
      <c r="Y31" s="712">
        <v>0</v>
      </c>
      <c r="Z31" s="712">
        <v>0</v>
      </c>
      <c r="AA31" s="712">
        <v>0</v>
      </c>
      <c r="AB31" s="19"/>
      <c r="AC31" s="716"/>
    </row>
    <row r="32" spans="1:29">
      <c r="A32" s="35">
        <v>15</v>
      </c>
      <c r="B32" s="442" t="s">
        <v>1234</v>
      </c>
      <c r="C32" s="442" t="s">
        <v>1232</v>
      </c>
      <c r="D32" s="99" t="s">
        <v>1235</v>
      </c>
      <c r="E32" s="595" t="s">
        <v>1227</v>
      </c>
      <c r="F32" s="99" t="s">
        <v>1236</v>
      </c>
      <c r="G32" s="442" t="s">
        <v>1237</v>
      </c>
      <c r="H32" s="714">
        <v>1.9199999999999998E-2</v>
      </c>
      <c r="I32" s="715">
        <v>0</v>
      </c>
      <c r="J32" s="715">
        <v>0</v>
      </c>
      <c r="K32" s="715">
        <v>577.02</v>
      </c>
      <c r="L32" s="715">
        <v>3.24</v>
      </c>
      <c r="M32" s="715">
        <v>2952.26</v>
      </c>
      <c r="N32" s="715">
        <v>918.6</v>
      </c>
      <c r="O32" s="715">
        <v>13201.96</v>
      </c>
      <c r="P32" s="715">
        <v>9068.6299999999992</v>
      </c>
      <c r="Q32" s="715">
        <v>137.9</v>
      </c>
      <c r="R32" s="715">
        <v>84.77</v>
      </c>
      <c r="S32" s="715">
        <v>192.36</v>
      </c>
      <c r="T32" s="715">
        <v>130.05000000000001</v>
      </c>
      <c r="U32" s="715">
        <v>123.06</v>
      </c>
      <c r="V32" s="715">
        <v>144.04</v>
      </c>
      <c r="W32" s="715">
        <v>210.51</v>
      </c>
      <c r="X32" s="715">
        <f t="shared" si="1"/>
        <v>27744.400000000001</v>
      </c>
      <c r="Y32" s="715">
        <v>151.09</v>
      </c>
      <c r="Z32" s="715">
        <v>-62.45</v>
      </c>
      <c r="AA32" s="715">
        <v>136.83000000000001</v>
      </c>
      <c r="AB32" s="99"/>
      <c r="AC32" s="716">
        <f t="shared" ref="AC32:AC39" si="2">SUM(I32:AB32)-X32</f>
        <v>27969.870000000003</v>
      </c>
    </row>
    <row r="33" spans="1:29">
      <c r="A33" s="35">
        <v>16</v>
      </c>
      <c r="B33" s="442" t="s">
        <v>1238</v>
      </c>
      <c r="C33" s="442" t="s">
        <v>1232</v>
      </c>
      <c r="D33" s="723" t="s">
        <v>1239</v>
      </c>
      <c r="E33" s="442" t="s">
        <v>1227</v>
      </c>
      <c r="F33" s="723" t="s">
        <v>1236</v>
      </c>
      <c r="G33" s="442" t="s">
        <v>1240</v>
      </c>
      <c r="H33" s="714">
        <v>1.8200000000000001E-2</v>
      </c>
      <c r="I33" s="715">
        <v>0</v>
      </c>
      <c r="J33" s="715">
        <v>0</v>
      </c>
      <c r="K33" s="715">
        <v>0</v>
      </c>
      <c r="L33" s="715">
        <v>0</v>
      </c>
      <c r="M33" s="715">
        <v>0</v>
      </c>
      <c r="N33" s="715">
        <v>1056.42</v>
      </c>
      <c r="O33" s="715">
        <v>-1235.98</v>
      </c>
      <c r="P33" s="715">
        <v>0</v>
      </c>
      <c r="Q33" s="715">
        <v>0</v>
      </c>
      <c r="R33" s="715">
        <v>0</v>
      </c>
      <c r="S33" s="715">
        <v>0</v>
      </c>
      <c r="T33" s="715">
        <v>0</v>
      </c>
      <c r="U33" s="715">
        <v>0</v>
      </c>
      <c r="V33" s="715">
        <v>0</v>
      </c>
      <c r="W33" s="715">
        <v>0</v>
      </c>
      <c r="X33" s="715">
        <f t="shared" si="1"/>
        <v>-179.55999999999995</v>
      </c>
      <c r="Y33" s="715">
        <v>0</v>
      </c>
      <c r="Z33" s="715">
        <v>0</v>
      </c>
      <c r="AA33" s="715">
        <v>0</v>
      </c>
      <c r="AB33" s="19"/>
      <c r="AC33" s="716">
        <f t="shared" si="2"/>
        <v>-179.55999999999995</v>
      </c>
    </row>
    <row r="34" spans="1:29">
      <c r="A34" s="35">
        <v>17</v>
      </c>
      <c r="B34" s="442" t="s">
        <v>1241</v>
      </c>
      <c r="C34" s="442" t="s">
        <v>1232</v>
      </c>
      <c r="D34" s="723" t="s">
        <v>1242</v>
      </c>
      <c r="E34" s="442" t="s">
        <v>1243</v>
      </c>
      <c r="F34" s="723" t="s">
        <v>1236</v>
      </c>
      <c r="G34" s="442" t="s">
        <v>1240</v>
      </c>
      <c r="H34" s="714">
        <v>1.8200000000000001E-2</v>
      </c>
      <c r="I34" s="715">
        <v>0</v>
      </c>
      <c r="J34" s="715">
        <v>0</v>
      </c>
      <c r="K34" s="715">
        <v>0</v>
      </c>
      <c r="L34" s="715">
        <v>0</v>
      </c>
      <c r="M34" s="715">
        <v>2283.4</v>
      </c>
      <c r="N34" s="715">
        <v>102941.2</v>
      </c>
      <c r="O34" s="715">
        <v>28654.240000000002</v>
      </c>
      <c r="P34" s="715">
        <v>40385.589999999997</v>
      </c>
      <c r="Q34" s="715">
        <v>140584.06</v>
      </c>
      <c r="R34" s="715">
        <v>14479.45</v>
      </c>
      <c r="S34" s="715">
        <v>14623.13</v>
      </c>
      <c r="T34" s="715">
        <v>0</v>
      </c>
      <c r="U34" s="715">
        <v>0</v>
      </c>
      <c r="V34" s="715">
        <v>0</v>
      </c>
      <c r="W34" s="715">
        <v>0</v>
      </c>
      <c r="X34" s="715">
        <f t="shared" si="1"/>
        <v>343951.07</v>
      </c>
      <c r="Y34" s="715">
        <v>0</v>
      </c>
      <c r="Z34" s="715">
        <v>0</v>
      </c>
      <c r="AA34" s="715">
        <v>0</v>
      </c>
      <c r="AB34" s="19"/>
      <c r="AC34" s="716">
        <f t="shared" si="2"/>
        <v>343951.07</v>
      </c>
    </row>
    <row r="35" spans="1:29">
      <c r="A35" s="35">
        <v>18</v>
      </c>
      <c r="B35" s="718" t="s">
        <v>1244</v>
      </c>
      <c r="C35" s="442" t="s">
        <v>1232</v>
      </c>
      <c r="D35" s="719" t="s">
        <v>1245</v>
      </c>
      <c r="E35" s="595" t="s">
        <v>1246</v>
      </c>
      <c r="F35" s="723" t="s">
        <v>1236</v>
      </c>
      <c r="G35" s="718" t="s">
        <v>1231</v>
      </c>
      <c r="H35" s="724">
        <v>1.2500000000000001E-2</v>
      </c>
      <c r="I35" s="725">
        <v>0</v>
      </c>
      <c r="J35" s="725">
        <v>0</v>
      </c>
      <c r="K35" s="725">
        <v>0</v>
      </c>
      <c r="L35" s="725">
        <v>0</v>
      </c>
      <c r="M35" s="725">
        <v>0</v>
      </c>
      <c r="N35" s="725">
        <v>19581.27</v>
      </c>
      <c r="O35" s="725">
        <v>15841.61</v>
      </c>
      <c r="P35" s="725">
        <v>7001.95</v>
      </c>
      <c r="Q35" s="725">
        <v>0</v>
      </c>
      <c r="R35" s="725">
        <v>0</v>
      </c>
      <c r="S35" s="725">
        <v>921.69</v>
      </c>
      <c r="T35" s="725">
        <v>0</v>
      </c>
      <c r="U35" s="725">
        <v>0</v>
      </c>
      <c r="V35" s="725">
        <v>0</v>
      </c>
      <c r="W35" s="725">
        <v>0</v>
      </c>
      <c r="X35" s="715">
        <f t="shared" si="1"/>
        <v>43346.520000000004</v>
      </c>
      <c r="Y35" s="725">
        <v>0</v>
      </c>
      <c r="Z35" s="725">
        <v>0</v>
      </c>
      <c r="AA35" s="725">
        <v>0</v>
      </c>
      <c r="AB35" s="19"/>
      <c r="AC35" s="716">
        <f t="shared" si="2"/>
        <v>43346.520000000004</v>
      </c>
    </row>
    <row r="36" spans="1:29">
      <c r="A36" s="35">
        <v>19</v>
      </c>
      <c r="B36" s="726" t="s">
        <v>1247</v>
      </c>
      <c r="C36" s="726" t="s">
        <v>1248</v>
      </c>
      <c r="D36" s="727" t="s">
        <v>1249</v>
      </c>
      <c r="E36" s="728" t="s">
        <v>1250</v>
      </c>
      <c r="F36" s="727" t="s">
        <v>1251</v>
      </c>
      <c r="G36" s="729" t="s">
        <v>1231</v>
      </c>
      <c r="H36" s="730">
        <v>1.2500000000000001E-2</v>
      </c>
      <c r="I36" s="731">
        <v>936.32</v>
      </c>
      <c r="J36" s="731">
        <v>269.57</v>
      </c>
      <c r="K36" s="731">
        <v>16480.060000000001</v>
      </c>
      <c r="L36" s="731">
        <v>11692.24</v>
      </c>
      <c r="M36" s="731">
        <v>753238.6</v>
      </c>
      <c r="N36" s="731">
        <v>475027.76</v>
      </c>
      <c r="O36" s="731">
        <v>2852.36</v>
      </c>
      <c r="P36" s="731">
        <v>20.93</v>
      </c>
      <c r="Q36" s="731">
        <v>0</v>
      </c>
      <c r="R36" s="731">
        <v>0</v>
      </c>
      <c r="S36" s="731">
        <v>0</v>
      </c>
      <c r="T36" s="731">
        <v>-417.25</v>
      </c>
      <c r="U36" s="731">
        <v>0</v>
      </c>
      <c r="V36" s="731">
        <v>0</v>
      </c>
      <c r="W36" s="731">
        <v>0</v>
      </c>
      <c r="X36" s="715">
        <f t="shared" si="1"/>
        <v>1260100.5900000001</v>
      </c>
      <c r="Y36" s="731">
        <v>0</v>
      </c>
      <c r="Z36" s="731">
        <v>0</v>
      </c>
      <c r="AA36" s="731">
        <v>0</v>
      </c>
      <c r="AB36" s="19"/>
      <c r="AC36" s="722">
        <f t="shared" si="2"/>
        <v>1260100.5900000001</v>
      </c>
    </row>
    <row r="37" spans="1:29">
      <c r="A37" s="35">
        <v>20</v>
      </c>
      <c r="B37" s="732" t="s">
        <v>1252</v>
      </c>
      <c r="C37" s="732" t="s">
        <v>1253</v>
      </c>
      <c r="D37" s="710" t="s">
        <v>1254</v>
      </c>
      <c r="E37" s="721" t="s">
        <v>1255</v>
      </c>
      <c r="F37" s="710" t="s">
        <v>1256</v>
      </c>
      <c r="G37" s="707" t="s">
        <v>1231</v>
      </c>
      <c r="H37" s="733">
        <v>1.2500000000000001E-2</v>
      </c>
      <c r="I37" s="712">
        <v>0</v>
      </c>
      <c r="J37" s="712">
        <v>42746</v>
      </c>
      <c r="K37" s="712">
        <v>646272.68000000005</v>
      </c>
      <c r="L37" s="712">
        <v>646741.66</v>
      </c>
      <c r="M37" s="712">
        <v>389376.8</v>
      </c>
      <c r="N37" s="712">
        <v>96345.52</v>
      </c>
      <c r="O37" s="712">
        <v>7803.93</v>
      </c>
      <c r="P37" s="712">
        <v>112.47</v>
      </c>
      <c r="Q37" s="712">
        <v>62.62</v>
      </c>
      <c r="R37" s="712">
        <v>912.03</v>
      </c>
      <c r="S37" s="712">
        <v>300.18</v>
      </c>
      <c r="T37" s="712">
        <v>0</v>
      </c>
      <c r="U37" s="712">
        <v>0</v>
      </c>
      <c r="V37" s="712">
        <v>0</v>
      </c>
      <c r="W37" s="712">
        <v>0</v>
      </c>
      <c r="X37" s="715">
        <f t="shared" si="1"/>
        <v>1830673.8900000001</v>
      </c>
      <c r="Y37" s="712">
        <v>0</v>
      </c>
      <c r="Z37" s="712">
        <v>0</v>
      </c>
      <c r="AA37" s="712">
        <v>0</v>
      </c>
      <c r="AB37" s="19"/>
      <c r="AC37" s="722">
        <f t="shared" si="2"/>
        <v>1830673.8900000001</v>
      </c>
    </row>
    <row r="38" spans="1:29">
      <c r="A38" s="35">
        <v>21</v>
      </c>
      <c r="B38" s="726" t="s">
        <v>1257</v>
      </c>
      <c r="C38" s="726" t="s">
        <v>1258</v>
      </c>
      <c r="D38" s="727" t="s">
        <v>1259</v>
      </c>
      <c r="E38" s="728" t="s">
        <v>1260</v>
      </c>
      <c r="F38" s="727" t="s">
        <v>1236</v>
      </c>
      <c r="G38" s="729" t="s">
        <v>1231</v>
      </c>
      <c r="H38" s="730">
        <v>1.2500000000000001E-2</v>
      </c>
      <c r="I38" s="712">
        <v>0</v>
      </c>
      <c r="J38" s="712">
        <v>0</v>
      </c>
      <c r="K38" s="712">
        <v>0</v>
      </c>
      <c r="L38" s="712">
        <v>0</v>
      </c>
      <c r="M38" s="712">
        <v>32262.57</v>
      </c>
      <c r="N38" s="712">
        <v>0</v>
      </c>
      <c r="O38" s="712">
        <v>0</v>
      </c>
      <c r="P38" s="712">
        <v>0</v>
      </c>
      <c r="Q38" s="712">
        <v>0</v>
      </c>
      <c r="R38" s="712">
        <v>0</v>
      </c>
      <c r="S38" s="712">
        <v>0</v>
      </c>
      <c r="T38" s="712">
        <v>0</v>
      </c>
      <c r="U38" s="712">
        <v>0</v>
      </c>
      <c r="V38" s="712">
        <v>0</v>
      </c>
      <c r="W38" s="712">
        <v>0</v>
      </c>
      <c r="X38" s="715">
        <f t="shared" si="1"/>
        <v>32262.57</v>
      </c>
      <c r="Y38" s="712">
        <v>0</v>
      </c>
      <c r="Z38" s="712">
        <v>0</v>
      </c>
      <c r="AA38" s="712">
        <v>0</v>
      </c>
      <c r="AB38" s="19"/>
      <c r="AC38" s="722">
        <f t="shared" si="2"/>
        <v>32262.57</v>
      </c>
    </row>
    <row r="39" spans="1:29">
      <c r="A39" s="35">
        <v>22</v>
      </c>
      <c r="B39" s="732" t="s">
        <v>1261</v>
      </c>
      <c r="C39" s="732" t="s">
        <v>1262</v>
      </c>
      <c r="D39" s="710" t="s">
        <v>1263</v>
      </c>
      <c r="E39" s="721" t="s">
        <v>1264</v>
      </c>
      <c r="F39" s="710" t="s">
        <v>1256</v>
      </c>
      <c r="G39" s="707"/>
      <c r="H39" s="733">
        <v>2.1999999999999999E-2</v>
      </c>
      <c r="I39" s="712">
        <v>0</v>
      </c>
      <c r="J39" s="712">
        <v>0</v>
      </c>
      <c r="K39" s="712">
        <v>0</v>
      </c>
      <c r="L39" s="712">
        <v>3917.49</v>
      </c>
      <c r="M39" s="712">
        <v>14511.94</v>
      </c>
      <c r="N39" s="712">
        <v>61616.03</v>
      </c>
      <c r="O39" s="712">
        <v>503.21</v>
      </c>
      <c r="P39" s="712">
        <v>466.24</v>
      </c>
      <c r="Q39" s="712">
        <v>11529.23</v>
      </c>
      <c r="R39" s="712">
        <v>0</v>
      </c>
      <c r="S39" s="712">
        <v>0</v>
      </c>
      <c r="T39" s="712">
        <v>0</v>
      </c>
      <c r="U39" s="712">
        <v>0</v>
      </c>
      <c r="V39" s="712">
        <v>0</v>
      </c>
      <c r="W39" s="712">
        <v>0</v>
      </c>
      <c r="X39" s="715">
        <f t="shared" si="1"/>
        <v>92544.14</v>
      </c>
      <c r="Y39" s="712">
        <v>0</v>
      </c>
      <c r="Z39" s="712">
        <v>0</v>
      </c>
      <c r="AA39" s="712">
        <v>0</v>
      </c>
      <c r="AB39" s="19"/>
      <c r="AC39" s="722">
        <f t="shared" si="2"/>
        <v>92544.14</v>
      </c>
    </row>
    <row r="40" spans="1:29">
      <c r="A40" s="35">
        <v>23</v>
      </c>
      <c r="B40" s="732"/>
      <c r="C40" s="732" t="s">
        <v>1265</v>
      </c>
      <c r="D40" s="708" t="s">
        <v>1266</v>
      </c>
      <c r="E40" s="709"/>
      <c r="F40" s="710" t="s">
        <v>1267</v>
      </c>
      <c r="G40" s="707"/>
      <c r="H40" s="733"/>
      <c r="I40" s="712">
        <v>0</v>
      </c>
      <c r="J40" s="712">
        <v>0</v>
      </c>
      <c r="K40" s="712">
        <v>0</v>
      </c>
      <c r="L40" s="712">
        <v>0</v>
      </c>
      <c r="M40" s="712">
        <v>0</v>
      </c>
      <c r="N40" s="712">
        <v>0</v>
      </c>
      <c r="O40" s="712">
        <v>0</v>
      </c>
      <c r="P40" s="712">
        <v>0</v>
      </c>
      <c r="Q40" s="712">
        <v>0</v>
      </c>
      <c r="R40" s="712">
        <v>0</v>
      </c>
      <c r="S40" s="712">
        <v>0</v>
      </c>
      <c r="T40" s="712">
        <v>0</v>
      </c>
      <c r="U40" s="712">
        <v>0</v>
      </c>
      <c r="V40" s="712">
        <v>0</v>
      </c>
      <c r="W40" s="712">
        <v>0</v>
      </c>
      <c r="X40" s="715">
        <f t="shared" si="1"/>
        <v>0</v>
      </c>
      <c r="Y40" s="712">
        <v>0</v>
      </c>
      <c r="Z40" s="712">
        <v>0</v>
      </c>
      <c r="AA40" s="712">
        <v>0</v>
      </c>
      <c r="AB40" s="19"/>
      <c r="AC40" s="713"/>
    </row>
    <row r="41" spans="1:29">
      <c r="A41" s="35">
        <v>24</v>
      </c>
      <c r="B41" s="442" t="s">
        <v>1268</v>
      </c>
      <c r="C41" s="734" t="s">
        <v>1265</v>
      </c>
      <c r="D41" s="99" t="s">
        <v>1269</v>
      </c>
      <c r="E41" s="595" t="s">
        <v>1270</v>
      </c>
      <c r="F41" s="99" t="s">
        <v>1267</v>
      </c>
      <c r="G41" s="442" t="s">
        <v>1271</v>
      </c>
      <c r="H41" s="735"/>
      <c r="I41" s="715"/>
      <c r="J41" s="715"/>
      <c r="K41" s="715"/>
      <c r="L41" s="715">
        <v>0</v>
      </c>
      <c r="M41" s="715">
        <v>0</v>
      </c>
      <c r="N41" s="715">
        <v>0</v>
      </c>
      <c r="O41" s="715">
        <v>0</v>
      </c>
      <c r="P41" s="715">
        <v>0</v>
      </c>
      <c r="Q41" s="715">
        <v>0</v>
      </c>
      <c r="R41" s="715">
        <v>0</v>
      </c>
      <c r="S41" s="715">
        <v>0</v>
      </c>
      <c r="T41" s="715">
        <v>0</v>
      </c>
      <c r="U41" s="715">
        <v>0</v>
      </c>
      <c r="V41" s="715">
        <v>0</v>
      </c>
      <c r="W41" s="715">
        <v>0</v>
      </c>
      <c r="X41" s="715">
        <f t="shared" si="1"/>
        <v>0</v>
      </c>
      <c r="Y41" s="715">
        <v>0</v>
      </c>
      <c r="Z41" s="715">
        <v>0</v>
      </c>
      <c r="AA41" s="715">
        <v>0</v>
      </c>
      <c r="AB41" s="19"/>
      <c r="AC41" s="716">
        <f t="shared" ref="AC41:AC54" si="3">SUM(I41:AB41)-X41</f>
        <v>0</v>
      </c>
    </row>
    <row r="42" spans="1:29">
      <c r="A42" s="35">
        <v>25</v>
      </c>
      <c r="B42" s="734" t="s">
        <v>1272</v>
      </c>
      <c r="C42" s="734" t="s">
        <v>1265</v>
      </c>
      <c r="D42" s="99" t="s">
        <v>1273</v>
      </c>
      <c r="E42" s="595" t="s">
        <v>1274</v>
      </c>
      <c r="F42" s="99" t="s">
        <v>1267</v>
      </c>
      <c r="G42" s="442" t="s">
        <v>1271</v>
      </c>
      <c r="H42" s="735"/>
      <c r="I42" s="715"/>
      <c r="J42" s="715"/>
      <c r="K42" s="715"/>
      <c r="L42" s="715">
        <v>0</v>
      </c>
      <c r="M42" s="715">
        <v>0</v>
      </c>
      <c r="N42" s="715">
        <v>194.57</v>
      </c>
      <c r="O42" s="715">
        <v>0</v>
      </c>
      <c r="P42" s="715">
        <v>0</v>
      </c>
      <c r="Q42" s="715">
        <v>0</v>
      </c>
      <c r="R42" s="715">
        <v>0</v>
      </c>
      <c r="S42" s="715">
        <v>0</v>
      </c>
      <c r="T42" s="715">
        <v>0</v>
      </c>
      <c r="U42" s="715">
        <v>0</v>
      </c>
      <c r="V42" s="715">
        <v>0</v>
      </c>
      <c r="W42" s="715">
        <v>0</v>
      </c>
      <c r="X42" s="715">
        <f t="shared" si="1"/>
        <v>194.57</v>
      </c>
      <c r="Y42" s="715">
        <v>0</v>
      </c>
      <c r="Z42" s="715">
        <v>0</v>
      </c>
      <c r="AA42" s="715">
        <v>0</v>
      </c>
      <c r="AB42" s="19"/>
      <c r="AC42" s="716">
        <f t="shared" si="3"/>
        <v>194.57</v>
      </c>
    </row>
    <row r="43" spans="1:29">
      <c r="A43" s="35">
        <v>26</v>
      </c>
      <c r="B43" s="734"/>
      <c r="C43" s="734"/>
      <c r="D43" s="99" t="s">
        <v>1275</v>
      </c>
      <c r="E43" s="595"/>
      <c r="F43" s="99" t="s">
        <v>1267</v>
      </c>
      <c r="G43" s="442"/>
      <c r="H43" s="735"/>
      <c r="I43" s="715"/>
      <c r="J43" s="715"/>
      <c r="K43" s="715"/>
      <c r="L43" s="715">
        <v>0</v>
      </c>
      <c r="M43" s="715">
        <v>0</v>
      </c>
      <c r="N43" s="715">
        <v>0</v>
      </c>
      <c r="O43" s="715">
        <v>0</v>
      </c>
      <c r="P43" s="715">
        <v>0</v>
      </c>
      <c r="Q43" s="715">
        <v>0</v>
      </c>
      <c r="R43" s="715">
        <v>0</v>
      </c>
      <c r="S43" s="715">
        <v>0</v>
      </c>
      <c r="T43" s="715">
        <v>0</v>
      </c>
      <c r="U43" s="715">
        <v>0</v>
      </c>
      <c r="V43" s="715">
        <v>0</v>
      </c>
      <c r="W43" s="715">
        <v>0</v>
      </c>
      <c r="X43" s="715">
        <f t="shared" si="1"/>
        <v>0</v>
      </c>
      <c r="Y43" s="715">
        <v>0</v>
      </c>
      <c r="Z43" s="715">
        <v>0</v>
      </c>
      <c r="AA43" s="715">
        <v>0</v>
      </c>
      <c r="AB43" s="19"/>
      <c r="AC43" s="716">
        <f t="shared" si="3"/>
        <v>0</v>
      </c>
    </row>
    <row r="44" spans="1:29">
      <c r="A44" s="35">
        <v>27</v>
      </c>
      <c r="B44" s="734" t="s">
        <v>1276</v>
      </c>
      <c r="C44" s="734" t="s">
        <v>1265</v>
      </c>
      <c r="D44" s="723" t="s">
        <v>1277</v>
      </c>
      <c r="E44" s="595" t="s">
        <v>1278</v>
      </c>
      <c r="F44" s="99" t="s">
        <v>1267</v>
      </c>
      <c r="G44" s="442" t="s">
        <v>1271</v>
      </c>
      <c r="H44" s="735"/>
      <c r="I44" s="715"/>
      <c r="J44" s="715"/>
      <c r="K44" s="715"/>
      <c r="L44" s="715">
        <v>371622.84</v>
      </c>
      <c r="M44" s="715">
        <v>246610.39</v>
      </c>
      <c r="N44" s="715">
        <v>351686</v>
      </c>
      <c r="O44" s="715">
        <v>29234.19</v>
      </c>
      <c r="P44" s="715">
        <v>-55401.67</v>
      </c>
      <c r="Q44" s="715">
        <v>541161.93999999994</v>
      </c>
      <c r="R44" s="715">
        <v>2472.11</v>
      </c>
      <c r="S44" s="715">
        <v>288929.71999999997</v>
      </c>
      <c r="T44" s="715">
        <v>24466.59</v>
      </c>
      <c r="U44" s="715">
        <v>343</v>
      </c>
      <c r="V44" s="715">
        <v>0</v>
      </c>
      <c r="W44" s="715">
        <v>0</v>
      </c>
      <c r="X44" s="715">
        <f t="shared" si="1"/>
        <v>1801125.11</v>
      </c>
      <c r="Y44" s="715">
        <v>0</v>
      </c>
      <c r="Z44" s="715">
        <v>0</v>
      </c>
      <c r="AA44" s="715">
        <v>0</v>
      </c>
      <c r="AB44" s="19"/>
      <c r="AC44" s="716">
        <f t="shared" si="3"/>
        <v>1801125.11</v>
      </c>
    </row>
    <row r="45" spans="1:29">
      <c r="A45" s="35">
        <v>28</v>
      </c>
      <c r="B45" s="734" t="s">
        <v>1279</v>
      </c>
      <c r="C45" s="734" t="s">
        <v>1265</v>
      </c>
      <c r="D45" s="723" t="s">
        <v>1280</v>
      </c>
      <c r="E45" s="595" t="s">
        <v>1281</v>
      </c>
      <c r="F45" s="99" t="s">
        <v>1267</v>
      </c>
      <c r="G45" s="442" t="s">
        <v>1271</v>
      </c>
      <c r="H45" s="735"/>
      <c r="I45" s="715"/>
      <c r="J45" s="715"/>
      <c r="K45" s="715"/>
      <c r="L45" s="715">
        <v>0</v>
      </c>
      <c r="M45" s="715">
        <v>0</v>
      </c>
      <c r="N45" s="715">
        <v>0</v>
      </c>
      <c r="O45" s="715">
        <v>0</v>
      </c>
      <c r="P45" s="715">
        <v>0</v>
      </c>
      <c r="Q45" s="715">
        <v>0</v>
      </c>
      <c r="R45" s="715">
        <v>0</v>
      </c>
      <c r="S45" s="715">
        <v>17270.02</v>
      </c>
      <c r="T45" s="715">
        <v>461824.13</v>
      </c>
      <c r="U45" s="715">
        <v>58403.35</v>
      </c>
      <c r="V45" s="715">
        <v>244032.88</v>
      </c>
      <c r="W45" s="715">
        <v>179.58</v>
      </c>
      <c r="X45" s="715">
        <f t="shared" si="1"/>
        <v>781709.96</v>
      </c>
      <c r="Y45" s="715">
        <v>4494.07</v>
      </c>
      <c r="Z45" s="715">
        <v>4656.17</v>
      </c>
      <c r="AA45" s="715">
        <v>0</v>
      </c>
      <c r="AB45" s="19"/>
      <c r="AC45" s="716">
        <f t="shared" si="3"/>
        <v>790860.2</v>
      </c>
    </row>
    <row r="46" spans="1:29">
      <c r="A46" s="35">
        <v>29</v>
      </c>
      <c r="B46" s="734" t="s">
        <v>1282</v>
      </c>
      <c r="C46" s="734" t="s">
        <v>1265</v>
      </c>
      <c r="D46" s="723" t="s">
        <v>1283</v>
      </c>
      <c r="E46" s="595" t="s">
        <v>1284</v>
      </c>
      <c r="F46" s="99" t="s">
        <v>1267</v>
      </c>
      <c r="G46" s="442" t="s">
        <v>1271</v>
      </c>
      <c r="H46" s="735"/>
      <c r="I46" s="715"/>
      <c r="J46" s="715"/>
      <c r="K46" s="715"/>
      <c r="L46" s="715">
        <v>88470.05</v>
      </c>
      <c r="M46" s="715">
        <v>40560.379999999997</v>
      </c>
      <c r="N46" s="715">
        <v>499.53</v>
      </c>
      <c r="O46" s="715">
        <v>63.06</v>
      </c>
      <c r="P46" s="715">
        <v>2087.1799999999998</v>
      </c>
      <c r="Q46" s="715">
        <v>31042.17</v>
      </c>
      <c r="R46" s="715">
        <v>2330.23</v>
      </c>
      <c r="S46" s="715">
        <v>-59787.75</v>
      </c>
      <c r="T46" s="715">
        <v>0</v>
      </c>
      <c r="U46" s="715">
        <v>544.46</v>
      </c>
      <c r="V46" s="715">
        <v>0</v>
      </c>
      <c r="W46" s="715">
        <v>0</v>
      </c>
      <c r="X46" s="715">
        <f t="shared" si="1"/>
        <v>105809.31000000001</v>
      </c>
      <c r="Y46" s="715">
        <v>0</v>
      </c>
      <c r="Z46" s="715">
        <v>0</v>
      </c>
      <c r="AA46" s="715">
        <v>0</v>
      </c>
      <c r="AB46" s="19"/>
      <c r="AC46" s="716">
        <f t="shared" si="3"/>
        <v>105809.31000000001</v>
      </c>
    </row>
    <row r="47" spans="1:29">
      <c r="A47" s="35">
        <v>30</v>
      </c>
      <c r="B47" s="734" t="s">
        <v>1285</v>
      </c>
      <c r="C47" s="734" t="s">
        <v>1265</v>
      </c>
      <c r="D47" s="723" t="s">
        <v>1286</v>
      </c>
      <c r="E47" s="595" t="s">
        <v>1287</v>
      </c>
      <c r="F47" s="99" t="s">
        <v>1267</v>
      </c>
      <c r="G47" s="442" t="s">
        <v>1271</v>
      </c>
      <c r="H47" s="735"/>
      <c r="I47" s="715"/>
      <c r="J47" s="715"/>
      <c r="K47" s="715"/>
      <c r="L47" s="715">
        <v>1023.95</v>
      </c>
      <c r="M47" s="715">
        <v>8647.7000000000007</v>
      </c>
      <c r="N47" s="715">
        <v>939.63</v>
      </c>
      <c r="O47" s="715">
        <v>5016.34</v>
      </c>
      <c r="P47" s="715">
        <v>171.58</v>
      </c>
      <c r="Q47" s="715">
        <v>7496.11</v>
      </c>
      <c r="R47" s="715">
        <v>112.23</v>
      </c>
      <c r="S47" s="715">
        <v>0</v>
      </c>
      <c r="T47" s="715">
        <v>0</v>
      </c>
      <c r="U47" s="715">
        <v>0</v>
      </c>
      <c r="V47" s="715">
        <v>0</v>
      </c>
      <c r="W47" s="715">
        <v>0</v>
      </c>
      <c r="X47" s="715">
        <f t="shared" si="1"/>
        <v>23407.54</v>
      </c>
      <c r="Y47" s="715">
        <v>0</v>
      </c>
      <c r="Z47" s="715">
        <v>0</v>
      </c>
      <c r="AA47" s="715">
        <v>0</v>
      </c>
      <c r="AB47" s="19"/>
      <c r="AC47" s="716">
        <f t="shared" si="3"/>
        <v>23407.54</v>
      </c>
    </row>
    <row r="48" spans="1:29">
      <c r="A48" s="35">
        <v>31</v>
      </c>
      <c r="B48" s="734" t="s">
        <v>1288</v>
      </c>
      <c r="C48" s="734" t="s">
        <v>1265</v>
      </c>
      <c r="D48" s="723" t="s">
        <v>1277</v>
      </c>
      <c r="E48" s="595" t="s">
        <v>1289</v>
      </c>
      <c r="F48" s="99" t="s">
        <v>1267</v>
      </c>
      <c r="G48" s="442" t="s">
        <v>1271</v>
      </c>
      <c r="H48" s="735"/>
      <c r="I48" s="715"/>
      <c r="J48" s="715"/>
      <c r="K48" s="715"/>
      <c r="L48" s="715">
        <v>0</v>
      </c>
      <c r="M48" s="715">
        <v>0</v>
      </c>
      <c r="N48" s="715">
        <v>0</v>
      </c>
      <c r="O48" s="715">
        <v>0</v>
      </c>
      <c r="P48" s="715">
        <v>0</v>
      </c>
      <c r="Q48" s="715">
        <v>2962.67</v>
      </c>
      <c r="R48" s="715">
        <v>9.35</v>
      </c>
      <c r="S48" s="715">
        <v>2525.69</v>
      </c>
      <c r="T48" s="715">
        <v>8728.11</v>
      </c>
      <c r="U48" s="715">
        <v>75935.210000000006</v>
      </c>
      <c r="V48" s="715">
        <v>15718.82</v>
      </c>
      <c r="W48" s="715">
        <v>529749.19999999995</v>
      </c>
      <c r="X48" s="715">
        <f t="shared" si="1"/>
        <v>635629.04999999993</v>
      </c>
      <c r="Y48" s="715">
        <v>381778.59</v>
      </c>
      <c r="Z48" s="715">
        <v>110441.86</v>
      </c>
      <c r="AA48" s="715">
        <v>7167.46</v>
      </c>
      <c r="AB48" s="19"/>
      <c r="AC48" s="716">
        <f t="shared" si="3"/>
        <v>1135016.96</v>
      </c>
    </row>
    <row r="49" spans="1:29">
      <c r="A49" s="35">
        <v>32</v>
      </c>
      <c r="B49" s="734" t="s">
        <v>1290</v>
      </c>
      <c r="C49" s="734" t="s">
        <v>1265</v>
      </c>
      <c r="D49" s="723" t="s">
        <v>1280</v>
      </c>
      <c r="E49" s="595" t="s">
        <v>1291</v>
      </c>
      <c r="F49" s="99" t="s">
        <v>1267</v>
      </c>
      <c r="G49" s="442" t="s">
        <v>1271</v>
      </c>
      <c r="H49" s="735"/>
      <c r="I49" s="715"/>
      <c r="J49" s="715"/>
      <c r="K49" s="715"/>
      <c r="L49" s="715">
        <v>0</v>
      </c>
      <c r="M49" s="715">
        <v>0</v>
      </c>
      <c r="N49" s="715">
        <v>0</v>
      </c>
      <c r="O49" s="715">
        <v>0</v>
      </c>
      <c r="P49" s="715">
        <v>0</v>
      </c>
      <c r="Q49" s="715">
        <v>0</v>
      </c>
      <c r="R49" s="715">
        <v>0</v>
      </c>
      <c r="S49" s="715">
        <v>0</v>
      </c>
      <c r="T49" s="715">
        <v>0</v>
      </c>
      <c r="U49" s="715">
        <v>35.909999999999997</v>
      </c>
      <c r="V49" s="715">
        <v>0.19</v>
      </c>
      <c r="W49" s="715">
        <v>0.28000000000000003</v>
      </c>
      <c r="X49" s="715">
        <f t="shared" si="1"/>
        <v>36.379999999999995</v>
      </c>
      <c r="Y49" s="715">
        <v>256635.69</v>
      </c>
      <c r="Z49" s="715">
        <v>131442.23000000001</v>
      </c>
      <c r="AA49" s="715">
        <v>23357.8</v>
      </c>
      <c r="AB49" s="19"/>
      <c r="AC49" s="716">
        <f t="shared" si="3"/>
        <v>411472.10000000003</v>
      </c>
    </row>
    <row r="50" spans="1:29">
      <c r="A50" s="35">
        <v>33</v>
      </c>
      <c r="B50" s="734" t="s">
        <v>1292</v>
      </c>
      <c r="C50" s="734" t="s">
        <v>1265</v>
      </c>
      <c r="D50" s="723" t="s">
        <v>1283</v>
      </c>
      <c r="E50" s="595" t="s">
        <v>1293</v>
      </c>
      <c r="F50" s="99" t="s">
        <v>1267</v>
      </c>
      <c r="G50" s="442" t="s">
        <v>1271</v>
      </c>
      <c r="H50" s="735"/>
      <c r="I50" s="715"/>
      <c r="J50" s="715"/>
      <c r="K50" s="715"/>
      <c r="L50" s="715">
        <v>0</v>
      </c>
      <c r="M50" s="715">
        <v>0</v>
      </c>
      <c r="N50" s="715">
        <v>0</v>
      </c>
      <c r="O50" s="715">
        <v>0</v>
      </c>
      <c r="P50" s="715">
        <v>0</v>
      </c>
      <c r="Q50" s="715">
        <v>0</v>
      </c>
      <c r="R50" s="715">
        <v>0</v>
      </c>
      <c r="S50" s="715">
        <v>0</v>
      </c>
      <c r="T50" s="715">
        <v>0</v>
      </c>
      <c r="U50" s="715">
        <v>915.2</v>
      </c>
      <c r="V50" s="715">
        <v>4.8</v>
      </c>
      <c r="W50" s="715">
        <v>75831.44</v>
      </c>
      <c r="X50" s="715">
        <f t="shared" si="1"/>
        <v>76751.44</v>
      </c>
      <c r="Y50" s="715">
        <v>528141.15</v>
      </c>
      <c r="Z50" s="715">
        <v>38419.31</v>
      </c>
      <c r="AA50" s="715">
        <v>8714.77</v>
      </c>
      <c r="AB50" s="19"/>
      <c r="AC50" s="716">
        <f t="shared" si="3"/>
        <v>652026.67000000016</v>
      </c>
    </row>
    <row r="51" spans="1:29">
      <c r="A51" s="35">
        <v>34</v>
      </c>
      <c r="B51" s="734" t="s">
        <v>1294</v>
      </c>
      <c r="C51" s="734" t="s">
        <v>1265</v>
      </c>
      <c r="D51" s="723" t="s">
        <v>1286</v>
      </c>
      <c r="E51" s="595" t="s">
        <v>1293</v>
      </c>
      <c r="F51" s="99" t="s">
        <v>1267</v>
      </c>
      <c r="G51" s="442" t="s">
        <v>1271</v>
      </c>
      <c r="H51" s="735"/>
      <c r="I51" s="715"/>
      <c r="J51" s="715"/>
      <c r="K51" s="715"/>
      <c r="L51" s="715">
        <v>0</v>
      </c>
      <c r="M51" s="715">
        <v>0</v>
      </c>
      <c r="N51" s="715">
        <v>0</v>
      </c>
      <c r="O51" s="715">
        <v>0</v>
      </c>
      <c r="P51" s="715">
        <v>0</v>
      </c>
      <c r="Q51" s="715">
        <v>0</v>
      </c>
      <c r="R51" s="715">
        <v>0</v>
      </c>
      <c r="S51" s="715">
        <v>0</v>
      </c>
      <c r="T51" s="715">
        <v>0</v>
      </c>
      <c r="U51" s="715">
        <v>509.38</v>
      </c>
      <c r="V51" s="715">
        <v>969.02</v>
      </c>
      <c r="W51" s="715">
        <v>122182.59</v>
      </c>
      <c r="X51" s="715">
        <f t="shared" si="1"/>
        <v>123660.98999999999</v>
      </c>
      <c r="Y51" s="715">
        <v>170420.55</v>
      </c>
      <c r="Z51" s="715">
        <v>64640.17</v>
      </c>
      <c r="AA51" s="715">
        <v>3653.56</v>
      </c>
      <c r="AB51" s="19"/>
      <c r="AC51" s="716">
        <f t="shared" si="3"/>
        <v>362375.26999999996</v>
      </c>
    </row>
    <row r="52" spans="1:29">
      <c r="A52" s="35">
        <v>35</v>
      </c>
      <c r="B52" s="732" t="s">
        <v>1295</v>
      </c>
      <c r="C52" s="732" t="s">
        <v>1296</v>
      </c>
      <c r="D52" s="710" t="s">
        <v>1297</v>
      </c>
      <c r="E52" s="721" t="s">
        <v>1298</v>
      </c>
      <c r="F52" s="710" t="s">
        <v>1267</v>
      </c>
      <c r="G52" s="707" t="s">
        <v>1240</v>
      </c>
      <c r="H52" s="733">
        <v>1.8200000000000001E-2</v>
      </c>
      <c r="I52" s="712">
        <v>0</v>
      </c>
      <c r="J52" s="712">
        <v>0</v>
      </c>
      <c r="K52" s="712">
        <v>0</v>
      </c>
      <c r="L52" s="712">
        <v>32.72</v>
      </c>
      <c r="M52" s="712">
        <v>0.18</v>
      </c>
      <c r="N52" s="712">
        <v>325875.51</v>
      </c>
      <c r="O52" s="712">
        <v>-172058.38</v>
      </c>
      <c r="P52" s="712">
        <v>19451.61</v>
      </c>
      <c r="Q52" s="712">
        <v>0</v>
      </c>
      <c r="R52" s="712">
        <v>0</v>
      </c>
      <c r="S52" s="712">
        <v>0</v>
      </c>
      <c r="T52" s="712">
        <v>0</v>
      </c>
      <c r="U52" s="712">
        <v>0</v>
      </c>
      <c r="V52" s="712">
        <v>0</v>
      </c>
      <c r="W52" s="712">
        <v>0</v>
      </c>
      <c r="X52" s="715">
        <f t="shared" si="1"/>
        <v>173301.64</v>
      </c>
      <c r="Y52" s="712">
        <v>0</v>
      </c>
      <c r="Z52" s="712">
        <v>0</v>
      </c>
      <c r="AA52" s="712">
        <v>0</v>
      </c>
      <c r="AB52" s="19"/>
      <c r="AC52" s="722">
        <f t="shared" si="3"/>
        <v>173301.64</v>
      </c>
    </row>
    <row r="53" spans="1:29">
      <c r="A53" s="35">
        <v>36</v>
      </c>
      <c r="B53" s="732" t="s">
        <v>1299</v>
      </c>
      <c r="C53" s="732" t="s">
        <v>1300</v>
      </c>
      <c r="D53" s="710" t="s">
        <v>1301</v>
      </c>
      <c r="E53" s="721" t="s">
        <v>1227</v>
      </c>
      <c r="F53" s="710" t="s">
        <v>1267</v>
      </c>
      <c r="G53" s="707" t="s">
        <v>1240</v>
      </c>
      <c r="H53" s="733">
        <v>1.8200000000000001E-2</v>
      </c>
      <c r="I53" s="712">
        <v>539.79</v>
      </c>
      <c r="J53" s="712">
        <v>199.99</v>
      </c>
      <c r="K53" s="712">
        <v>193.6</v>
      </c>
      <c r="L53" s="712">
        <v>223.26</v>
      </c>
      <c r="M53" s="712">
        <v>189.63</v>
      </c>
      <c r="N53" s="712">
        <v>869.97</v>
      </c>
      <c r="O53" s="712">
        <v>185.13</v>
      </c>
      <c r="P53" s="712">
        <v>6302.55</v>
      </c>
      <c r="Q53" s="712">
        <v>11256.46</v>
      </c>
      <c r="R53" s="712">
        <v>4007.87</v>
      </c>
      <c r="S53" s="712">
        <v>406.81</v>
      </c>
      <c r="T53" s="712">
        <v>275.04000000000002</v>
      </c>
      <c r="U53" s="712">
        <v>1235.31</v>
      </c>
      <c r="V53" s="712">
        <v>1200.93</v>
      </c>
      <c r="W53" s="712">
        <v>459.48</v>
      </c>
      <c r="X53" s="715">
        <f t="shared" si="1"/>
        <v>27545.82</v>
      </c>
      <c r="Y53" s="712">
        <v>14974.03</v>
      </c>
      <c r="Z53" s="712">
        <v>818.31</v>
      </c>
      <c r="AA53" s="712">
        <v>3641.05</v>
      </c>
      <c r="AB53" s="19"/>
      <c r="AC53" s="722">
        <f t="shared" si="3"/>
        <v>46979.21</v>
      </c>
    </row>
    <row r="54" spans="1:29">
      <c r="A54" s="35">
        <v>37</v>
      </c>
      <c r="B54" s="732" t="s">
        <v>1302</v>
      </c>
      <c r="C54" s="732" t="s">
        <v>1303</v>
      </c>
      <c r="D54" s="710" t="s">
        <v>1304</v>
      </c>
      <c r="E54" s="721" t="s">
        <v>1305</v>
      </c>
      <c r="F54" s="710" t="s">
        <v>1306</v>
      </c>
      <c r="G54" s="707" t="s">
        <v>1231</v>
      </c>
      <c r="H54" s="733">
        <v>1.2500000000000001E-2</v>
      </c>
      <c r="I54" s="712">
        <v>0</v>
      </c>
      <c r="J54" s="712"/>
      <c r="K54" s="712"/>
      <c r="L54" s="712">
        <v>3398.4</v>
      </c>
      <c r="M54" s="712">
        <v>1108.17</v>
      </c>
      <c r="N54" s="712">
        <v>-242.74</v>
      </c>
      <c r="O54" s="712">
        <v>0</v>
      </c>
      <c r="P54" s="712">
        <v>0</v>
      </c>
      <c r="Q54" s="712">
        <v>0</v>
      </c>
      <c r="R54" s="712">
        <v>0</v>
      </c>
      <c r="S54" s="712">
        <v>0</v>
      </c>
      <c r="T54" s="712">
        <v>0</v>
      </c>
      <c r="U54" s="712">
        <v>0</v>
      </c>
      <c r="V54" s="712">
        <v>0</v>
      </c>
      <c r="W54" s="712">
        <v>0</v>
      </c>
      <c r="X54" s="715">
        <f t="shared" si="1"/>
        <v>4263.83</v>
      </c>
      <c r="Y54" s="712">
        <v>0</v>
      </c>
      <c r="Z54" s="712">
        <v>0</v>
      </c>
      <c r="AA54" s="712">
        <v>0</v>
      </c>
      <c r="AB54" s="19"/>
      <c r="AC54" s="722">
        <f t="shared" si="3"/>
        <v>4263.83</v>
      </c>
    </row>
    <row r="55" spans="1:29">
      <c r="A55" s="35">
        <v>38</v>
      </c>
      <c r="B55" s="732"/>
      <c r="C55" s="732" t="s">
        <v>1307</v>
      </c>
      <c r="D55" s="708" t="s">
        <v>1308</v>
      </c>
      <c r="E55" s="709"/>
      <c r="F55" s="710"/>
      <c r="G55" s="707"/>
      <c r="H55" s="733"/>
      <c r="I55" s="712">
        <v>0</v>
      </c>
      <c r="J55" s="712">
        <v>0</v>
      </c>
      <c r="K55" s="712">
        <v>0</v>
      </c>
      <c r="L55" s="712">
        <v>0</v>
      </c>
      <c r="M55" s="712">
        <v>0</v>
      </c>
      <c r="N55" s="712">
        <v>0</v>
      </c>
      <c r="O55" s="712">
        <v>0</v>
      </c>
      <c r="P55" s="712">
        <v>0</v>
      </c>
      <c r="Q55" s="712">
        <v>0</v>
      </c>
      <c r="R55" s="712">
        <v>0</v>
      </c>
      <c r="S55" s="712">
        <v>0</v>
      </c>
      <c r="T55" s="712">
        <v>0</v>
      </c>
      <c r="U55" s="712">
        <v>0</v>
      </c>
      <c r="V55" s="712">
        <v>0</v>
      </c>
      <c r="W55" s="712">
        <v>0</v>
      </c>
      <c r="X55" s="715">
        <f t="shared" si="1"/>
        <v>0</v>
      </c>
      <c r="Y55" s="712">
        <v>0</v>
      </c>
      <c r="Z55" s="712">
        <v>0</v>
      </c>
      <c r="AA55" s="712">
        <v>0</v>
      </c>
      <c r="AB55" s="19"/>
      <c r="AC55" s="713"/>
    </row>
    <row r="56" spans="1:29">
      <c r="A56" s="35">
        <v>39</v>
      </c>
      <c r="B56" s="734" t="s">
        <v>1309</v>
      </c>
      <c r="C56" s="734" t="s">
        <v>1307</v>
      </c>
      <c r="D56" s="99" t="s">
        <v>1308</v>
      </c>
      <c r="E56" s="595" t="s">
        <v>1310</v>
      </c>
      <c r="F56" s="99" t="s">
        <v>1311</v>
      </c>
      <c r="G56" s="442" t="s">
        <v>1231</v>
      </c>
      <c r="H56" s="735">
        <v>1.2500000000000001E-2</v>
      </c>
      <c r="I56" s="715">
        <v>66.92</v>
      </c>
      <c r="J56" s="715">
        <v>71.430000000000007</v>
      </c>
      <c r="K56" s="715">
        <v>69.11</v>
      </c>
      <c r="L56" s="715">
        <v>68.03</v>
      </c>
      <c r="M56" s="715">
        <v>67.66</v>
      </c>
      <c r="N56" s="715">
        <v>74.25</v>
      </c>
      <c r="O56" s="715">
        <v>64.81</v>
      </c>
      <c r="P56" s="715">
        <v>39341.33</v>
      </c>
      <c r="Q56" s="715">
        <v>129811.98</v>
      </c>
      <c r="R56" s="715">
        <v>17072.509999999998</v>
      </c>
      <c r="S56" s="715">
        <v>41156.53</v>
      </c>
      <c r="T56" s="715">
        <v>1685393.66</v>
      </c>
      <c r="U56" s="715">
        <v>127739.12</v>
      </c>
      <c r="V56" s="715">
        <v>7210.71</v>
      </c>
      <c r="W56" s="715">
        <v>162.74</v>
      </c>
      <c r="X56" s="715">
        <f t="shared" si="1"/>
        <v>2048370.7899999998</v>
      </c>
      <c r="Y56" s="715">
        <v>0</v>
      </c>
      <c r="Z56" s="715">
        <v>0</v>
      </c>
      <c r="AA56" s="715">
        <v>0</v>
      </c>
      <c r="AB56" s="19"/>
      <c r="AC56" s="716">
        <f>SUM(I56:AB56)-X56</f>
        <v>2048370.7899999998</v>
      </c>
    </row>
    <row r="57" spans="1:29">
      <c r="A57" s="35">
        <v>40</v>
      </c>
      <c r="B57" s="734" t="s">
        <v>1312</v>
      </c>
      <c r="C57" s="736" t="s">
        <v>1307</v>
      </c>
      <c r="D57" s="719" t="s">
        <v>1308</v>
      </c>
      <c r="E57" s="595" t="s">
        <v>1227</v>
      </c>
      <c r="F57" s="719" t="s">
        <v>1311</v>
      </c>
      <c r="G57" s="718" t="s">
        <v>1231</v>
      </c>
      <c r="H57" s="737">
        <v>1.2500000000000001E-2</v>
      </c>
      <c r="I57" s="715">
        <v>0</v>
      </c>
      <c r="J57" s="715">
        <v>0</v>
      </c>
      <c r="K57" s="715">
        <v>5863.38</v>
      </c>
      <c r="L57" s="715">
        <v>0</v>
      </c>
      <c r="M57" s="715">
        <v>0</v>
      </c>
      <c r="N57" s="715">
        <v>0</v>
      </c>
      <c r="O57" s="715">
        <v>0</v>
      </c>
      <c r="P57" s="715">
        <v>0</v>
      </c>
      <c r="Q57" s="715">
        <v>0</v>
      </c>
      <c r="R57" s="715">
        <v>0</v>
      </c>
      <c r="S57" s="715">
        <v>0</v>
      </c>
      <c r="T57" s="715">
        <v>0</v>
      </c>
      <c r="U57" s="715">
        <v>0</v>
      </c>
      <c r="V57" s="715">
        <v>0</v>
      </c>
      <c r="W57" s="715">
        <v>0</v>
      </c>
      <c r="X57" s="715">
        <f t="shared" si="1"/>
        <v>5863.38</v>
      </c>
      <c r="Y57" s="715">
        <v>0</v>
      </c>
      <c r="Z57" s="715">
        <v>0</v>
      </c>
      <c r="AA57" s="715">
        <v>0</v>
      </c>
      <c r="AB57" s="19"/>
      <c r="AC57" s="716">
        <f>SUM(I57:AB57)-X57</f>
        <v>5863.38</v>
      </c>
    </row>
    <row r="58" spans="1:29">
      <c r="A58" s="35">
        <v>41</v>
      </c>
      <c r="B58" s="732"/>
      <c r="C58" s="732" t="s">
        <v>1313</v>
      </c>
      <c r="D58" s="708" t="s">
        <v>1314</v>
      </c>
      <c r="E58" s="709"/>
      <c r="F58" s="710"/>
      <c r="G58" s="707"/>
      <c r="H58" s="733"/>
      <c r="I58" s="712">
        <v>0</v>
      </c>
      <c r="J58" s="712">
        <v>0</v>
      </c>
      <c r="K58" s="712">
        <v>0</v>
      </c>
      <c r="L58" s="712">
        <v>0</v>
      </c>
      <c r="M58" s="712">
        <v>0</v>
      </c>
      <c r="N58" s="712">
        <v>0</v>
      </c>
      <c r="O58" s="712">
        <v>0</v>
      </c>
      <c r="P58" s="712">
        <v>0</v>
      </c>
      <c r="Q58" s="712">
        <v>0</v>
      </c>
      <c r="R58" s="712">
        <v>0</v>
      </c>
      <c r="S58" s="712">
        <v>0</v>
      </c>
      <c r="T58" s="712">
        <v>0</v>
      </c>
      <c r="U58" s="712">
        <v>0</v>
      </c>
      <c r="V58" s="712">
        <v>0</v>
      </c>
      <c r="W58" s="712">
        <v>0</v>
      </c>
      <c r="X58" s="715">
        <f t="shared" si="1"/>
        <v>0</v>
      </c>
      <c r="Y58" s="712">
        <v>0</v>
      </c>
      <c r="Z58" s="712">
        <v>0</v>
      </c>
      <c r="AA58" s="712">
        <v>0</v>
      </c>
      <c r="AB58" s="19"/>
      <c r="AC58" s="713"/>
    </row>
    <row r="59" spans="1:29">
      <c r="A59" s="35">
        <v>42</v>
      </c>
      <c r="B59" s="734" t="s">
        <v>1315</v>
      </c>
      <c r="C59" s="734" t="s">
        <v>1313</v>
      </c>
      <c r="D59" s="99" t="s">
        <v>1314</v>
      </c>
      <c r="E59" s="595" t="s">
        <v>1316</v>
      </c>
      <c r="F59" s="99" t="s">
        <v>1311</v>
      </c>
      <c r="G59" s="442" t="s">
        <v>1240</v>
      </c>
      <c r="H59" s="735">
        <v>1.8200000000000001E-2</v>
      </c>
      <c r="I59" s="715"/>
      <c r="J59" s="715"/>
      <c r="K59" s="715"/>
      <c r="L59" s="715">
        <v>468670.37</v>
      </c>
      <c r="M59" s="715">
        <v>187096.71</v>
      </c>
      <c r="N59" s="715">
        <v>12381.81</v>
      </c>
      <c r="O59" s="715">
        <v>0</v>
      </c>
      <c r="P59" s="715">
        <v>269.22000000000003</v>
      </c>
      <c r="Q59" s="715">
        <v>32822.75</v>
      </c>
      <c r="R59" s="715">
        <v>204.53</v>
      </c>
      <c r="S59" s="715">
        <v>2895.95</v>
      </c>
      <c r="T59" s="715">
        <v>0</v>
      </c>
      <c r="U59" s="715">
        <v>0</v>
      </c>
      <c r="V59" s="715">
        <v>0</v>
      </c>
      <c r="W59" s="715">
        <v>0</v>
      </c>
      <c r="X59" s="715">
        <f t="shared" si="1"/>
        <v>704341.34</v>
      </c>
      <c r="Y59" s="715">
        <v>0</v>
      </c>
      <c r="Z59" s="715">
        <v>0</v>
      </c>
      <c r="AA59" s="715">
        <v>0</v>
      </c>
      <c r="AB59" s="19"/>
      <c r="AC59" s="716">
        <f>SUM(I59:AB59)-X59</f>
        <v>704341.34</v>
      </c>
    </row>
    <row r="60" spans="1:29">
      <c r="A60" s="35">
        <v>43</v>
      </c>
      <c r="B60" s="734" t="s">
        <v>1317</v>
      </c>
      <c r="C60" s="736" t="s">
        <v>1313</v>
      </c>
      <c r="D60" s="719" t="s">
        <v>1314</v>
      </c>
      <c r="E60" s="595" t="s">
        <v>1318</v>
      </c>
      <c r="F60" s="719" t="s">
        <v>1311</v>
      </c>
      <c r="G60" s="718" t="s">
        <v>1240</v>
      </c>
      <c r="H60" s="737">
        <v>1.8200000000000001E-2</v>
      </c>
      <c r="I60" s="715">
        <v>0</v>
      </c>
      <c r="J60" s="715">
        <v>0</v>
      </c>
      <c r="K60" s="715">
        <v>0</v>
      </c>
      <c r="L60" s="715">
        <v>0</v>
      </c>
      <c r="M60" s="715">
        <v>0</v>
      </c>
      <c r="N60" s="715">
        <v>8013.21</v>
      </c>
      <c r="O60" s="715">
        <v>127932.66</v>
      </c>
      <c r="P60" s="715">
        <v>12763.48</v>
      </c>
      <c r="Q60" s="715">
        <v>15168.48</v>
      </c>
      <c r="R60" s="715">
        <v>51271.85</v>
      </c>
      <c r="S60" s="715">
        <v>125594.34</v>
      </c>
      <c r="T60" s="715">
        <v>409365.38</v>
      </c>
      <c r="U60" s="715">
        <v>239947.11</v>
      </c>
      <c r="V60" s="715">
        <v>272308.28999999998</v>
      </c>
      <c r="W60" s="715">
        <v>51565.26</v>
      </c>
      <c r="X60" s="715">
        <f t="shared" si="1"/>
        <v>1313930.06</v>
      </c>
      <c r="Y60" s="715">
        <v>0</v>
      </c>
      <c r="Z60" s="715">
        <v>216.65</v>
      </c>
      <c r="AA60" s="715">
        <v>529.94000000000005</v>
      </c>
      <c r="AB60" s="19"/>
      <c r="AC60" s="716">
        <f>SUM(I60:AB60)-X60</f>
        <v>1314676.6499999999</v>
      </c>
    </row>
    <row r="61" spans="1:29">
      <c r="A61" s="35">
        <v>44</v>
      </c>
      <c r="B61" s="726" t="s">
        <v>1319</v>
      </c>
      <c r="C61" s="726" t="s">
        <v>1320</v>
      </c>
      <c r="D61" s="727" t="s">
        <v>1321</v>
      </c>
      <c r="E61" s="721" t="s">
        <v>1322</v>
      </c>
      <c r="F61" s="727" t="s">
        <v>1323</v>
      </c>
      <c r="G61" s="729" t="s">
        <v>1240</v>
      </c>
      <c r="H61" s="730">
        <v>1.8200000000000001E-2</v>
      </c>
      <c r="I61" s="731">
        <v>941</v>
      </c>
      <c r="J61" s="731">
        <v>29.3</v>
      </c>
      <c r="K61" s="731">
        <v>5917.89</v>
      </c>
      <c r="L61" s="731">
        <v>11980.05</v>
      </c>
      <c r="M61" s="731">
        <v>2617.8000000000002</v>
      </c>
      <c r="N61" s="731">
        <v>142.19999999999999</v>
      </c>
      <c r="O61" s="731">
        <v>10712.37</v>
      </c>
      <c r="P61" s="731">
        <v>197.52</v>
      </c>
      <c r="Q61" s="731">
        <v>144039.29</v>
      </c>
      <c r="R61" s="731">
        <v>16280.67</v>
      </c>
      <c r="S61" s="731">
        <v>10247.120000000001</v>
      </c>
      <c r="T61" s="731">
        <v>0</v>
      </c>
      <c r="U61" s="731">
        <v>0</v>
      </c>
      <c r="V61" s="731">
        <v>0</v>
      </c>
      <c r="W61" s="731">
        <v>0</v>
      </c>
      <c r="X61" s="715">
        <f t="shared" si="1"/>
        <v>203105.21000000002</v>
      </c>
      <c r="Y61" s="731">
        <v>0</v>
      </c>
      <c r="Z61" s="731">
        <v>0</v>
      </c>
      <c r="AA61" s="731">
        <v>0</v>
      </c>
      <c r="AB61" s="19"/>
      <c r="AC61" s="722">
        <f>SUM(I61:AB61)-X61</f>
        <v>203105.21000000002</v>
      </c>
    </row>
    <row r="62" spans="1:29">
      <c r="A62" s="35">
        <v>45</v>
      </c>
      <c r="B62" s="726" t="s">
        <v>1324</v>
      </c>
      <c r="C62" s="726" t="s">
        <v>1325</v>
      </c>
      <c r="D62" s="727" t="s">
        <v>1326</v>
      </c>
      <c r="E62" s="721" t="s">
        <v>1327</v>
      </c>
      <c r="F62" s="727" t="s">
        <v>1323</v>
      </c>
      <c r="G62" s="729" t="s">
        <v>1240</v>
      </c>
      <c r="H62" s="730">
        <v>1.8200000000000001E-2</v>
      </c>
      <c r="I62" s="731">
        <v>0</v>
      </c>
      <c r="J62" s="731">
        <v>0</v>
      </c>
      <c r="K62" s="731">
        <v>0</v>
      </c>
      <c r="L62" s="731">
        <v>0</v>
      </c>
      <c r="M62" s="731">
        <v>0</v>
      </c>
      <c r="N62" s="731">
        <v>0</v>
      </c>
      <c r="O62" s="731">
        <v>0</v>
      </c>
      <c r="P62" s="731">
        <v>0</v>
      </c>
      <c r="Q62" s="731">
        <v>40697.07</v>
      </c>
      <c r="R62" s="731">
        <v>101061.64</v>
      </c>
      <c r="S62" s="731">
        <v>10209.25</v>
      </c>
      <c r="T62" s="731">
        <v>56.69</v>
      </c>
      <c r="U62" s="731">
        <v>0</v>
      </c>
      <c r="V62" s="731">
        <v>0</v>
      </c>
      <c r="W62" s="731">
        <v>0</v>
      </c>
      <c r="X62" s="715">
        <f t="shared" si="1"/>
        <v>152024.65</v>
      </c>
      <c r="Y62" s="731">
        <v>0</v>
      </c>
      <c r="Z62" s="731">
        <v>0</v>
      </c>
      <c r="AA62" s="731">
        <v>0</v>
      </c>
      <c r="AB62" s="19"/>
      <c r="AC62" s="722">
        <f>SUM(I62:AB62)-X62</f>
        <v>152024.65</v>
      </c>
    </row>
    <row r="63" spans="1:29">
      <c r="A63" s="35">
        <v>46</v>
      </c>
      <c r="B63" s="732" t="s">
        <v>1328</v>
      </c>
      <c r="C63" s="732" t="s">
        <v>1329</v>
      </c>
      <c r="D63" s="710" t="s">
        <v>1330</v>
      </c>
      <c r="E63" s="721" t="s">
        <v>1227</v>
      </c>
      <c r="F63" s="710" t="s">
        <v>1331</v>
      </c>
      <c r="G63" s="707" t="s">
        <v>1240</v>
      </c>
      <c r="H63" s="733">
        <v>1.8200000000000001E-2</v>
      </c>
      <c r="I63" s="731">
        <v>59.46</v>
      </c>
      <c r="J63" s="731">
        <v>63.47</v>
      </c>
      <c r="K63" s="731">
        <v>61.44</v>
      </c>
      <c r="L63" s="731">
        <v>60.45</v>
      </c>
      <c r="M63" s="731">
        <v>60.13</v>
      </c>
      <c r="N63" s="731">
        <v>65.97</v>
      </c>
      <c r="O63" s="731">
        <v>57.6</v>
      </c>
      <c r="P63" s="731">
        <v>4879.1099999999997</v>
      </c>
      <c r="Q63" s="731">
        <v>82.03</v>
      </c>
      <c r="R63" s="731">
        <v>50.42</v>
      </c>
      <c r="S63" s="731">
        <v>114.43</v>
      </c>
      <c r="T63" s="731">
        <v>77.38</v>
      </c>
      <c r="U63" s="731">
        <v>73.209999999999994</v>
      </c>
      <c r="V63" s="731">
        <v>85.69</v>
      </c>
      <c r="W63" s="731">
        <v>125.23</v>
      </c>
      <c r="X63" s="715">
        <f t="shared" si="1"/>
        <v>5916.0199999999986</v>
      </c>
      <c r="Y63" s="731">
        <v>89.88</v>
      </c>
      <c r="Z63" s="731">
        <v>618.11</v>
      </c>
      <c r="AA63" s="731">
        <v>85074.18</v>
      </c>
      <c r="AB63" s="19"/>
      <c r="AC63" s="722">
        <f>SUM(I63:AB63)-X63</f>
        <v>91698.189999999988</v>
      </c>
    </row>
    <row r="64" spans="1:29">
      <c r="A64" s="35">
        <v>47</v>
      </c>
      <c r="B64" s="732" t="s">
        <v>1332</v>
      </c>
      <c r="C64" s="732" t="s">
        <v>1333</v>
      </c>
      <c r="D64" s="710" t="s">
        <v>1334</v>
      </c>
      <c r="E64" s="721" t="s">
        <v>1335</v>
      </c>
      <c r="F64" s="710" t="s">
        <v>1196</v>
      </c>
      <c r="G64" s="707" t="s">
        <v>1231</v>
      </c>
      <c r="H64" s="733">
        <v>1.2500000000000001E-2</v>
      </c>
      <c r="I64" s="712">
        <v>0</v>
      </c>
      <c r="J64" s="712">
        <v>0</v>
      </c>
      <c r="K64" s="712">
        <v>0</v>
      </c>
      <c r="L64" s="712">
        <v>0</v>
      </c>
      <c r="M64" s="712">
        <v>0</v>
      </c>
      <c r="N64" s="712">
        <v>0</v>
      </c>
      <c r="O64" s="712">
        <v>0</v>
      </c>
      <c r="P64" s="712">
        <v>0</v>
      </c>
      <c r="Q64" s="712">
        <v>0</v>
      </c>
      <c r="R64" s="712">
        <v>0</v>
      </c>
      <c r="S64" s="712">
        <v>0</v>
      </c>
      <c r="T64" s="712">
        <v>0</v>
      </c>
      <c r="U64" s="712">
        <v>0</v>
      </c>
      <c r="V64" s="712">
        <v>0</v>
      </c>
      <c r="W64" s="712">
        <v>0</v>
      </c>
      <c r="X64" s="715">
        <f t="shared" si="1"/>
        <v>0</v>
      </c>
      <c r="Y64" s="712">
        <v>0</v>
      </c>
      <c r="Z64" s="712">
        <v>0</v>
      </c>
      <c r="AA64" s="712">
        <v>0</v>
      </c>
      <c r="AB64" s="19"/>
      <c r="AC64" s="713">
        <f>SUM(I64:AB64)</f>
        <v>0</v>
      </c>
    </row>
    <row r="65" spans="1:29">
      <c r="A65" s="35">
        <v>48</v>
      </c>
      <c r="B65" s="732" t="s">
        <v>1336</v>
      </c>
      <c r="C65" s="732" t="s">
        <v>1337</v>
      </c>
      <c r="D65" s="710" t="s">
        <v>1338</v>
      </c>
      <c r="E65" s="721" t="s">
        <v>1339</v>
      </c>
      <c r="F65" s="710" t="s">
        <v>1236</v>
      </c>
      <c r="G65" s="707" t="s">
        <v>1231</v>
      </c>
      <c r="H65" s="733">
        <v>1.2500000000000001E-2</v>
      </c>
      <c r="I65" s="712">
        <v>0</v>
      </c>
      <c r="J65" s="712">
        <v>0</v>
      </c>
      <c r="K65" s="712">
        <v>0</v>
      </c>
      <c r="L65" s="712">
        <v>0</v>
      </c>
      <c r="M65" s="712">
        <v>0</v>
      </c>
      <c r="N65" s="712">
        <v>0</v>
      </c>
      <c r="O65" s="712">
        <v>0</v>
      </c>
      <c r="P65" s="712">
        <v>0</v>
      </c>
      <c r="Q65" s="712">
        <v>0</v>
      </c>
      <c r="R65" s="712">
        <v>0</v>
      </c>
      <c r="S65" s="712">
        <v>0</v>
      </c>
      <c r="T65" s="712">
        <v>0</v>
      </c>
      <c r="U65" s="712">
        <v>0</v>
      </c>
      <c r="V65" s="712">
        <v>0</v>
      </c>
      <c r="W65" s="712">
        <v>0</v>
      </c>
      <c r="X65" s="715">
        <f t="shared" si="1"/>
        <v>0</v>
      </c>
      <c r="Y65" s="712">
        <v>0</v>
      </c>
      <c r="Z65" s="712">
        <v>0</v>
      </c>
      <c r="AA65" s="712">
        <v>0</v>
      </c>
      <c r="AB65" s="19"/>
      <c r="AC65" s="713">
        <f>SUM(I65:AB65)</f>
        <v>0</v>
      </c>
    </row>
    <row r="66" spans="1:29">
      <c r="A66" s="35">
        <v>49</v>
      </c>
      <c r="B66" s="726" t="s">
        <v>1340</v>
      </c>
      <c r="C66" s="726" t="s">
        <v>1341</v>
      </c>
      <c r="D66" s="727" t="s">
        <v>1342</v>
      </c>
      <c r="E66" s="721" t="s">
        <v>1343</v>
      </c>
      <c r="F66" s="727" t="s">
        <v>1196</v>
      </c>
      <c r="G66" s="729" t="s">
        <v>1231</v>
      </c>
      <c r="H66" s="730">
        <v>1.2500000000000001E-2</v>
      </c>
      <c r="I66" s="731">
        <v>0</v>
      </c>
      <c r="J66" s="731">
        <v>0</v>
      </c>
      <c r="K66" s="731">
        <v>0</v>
      </c>
      <c r="L66" s="731">
        <v>0</v>
      </c>
      <c r="M66" s="731">
        <v>0</v>
      </c>
      <c r="N66" s="731">
        <v>0</v>
      </c>
      <c r="O66" s="731">
        <v>0</v>
      </c>
      <c r="P66" s="731">
        <v>0</v>
      </c>
      <c r="Q66" s="731">
        <v>0</v>
      </c>
      <c r="R66" s="731">
        <v>0</v>
      </c>
      <c r="S66" s="731">
        <v>0</v>
      </c>
      <c r="T66" s="731">
        <v>0</v>
      </c>
      <c r="U66" s="731">
        <v>0</v>
      </c>
      <c r="V66" s="731">
        <v>0</v>
      </c>
      <c r="W66" s="731">
        <v>0</v>
      </c>
      <c r="X66" s="715">
        <f t="shared" si="1"/>
        <v>0</v>
      </c>
      <c r="Y66" s="731">
        <v>0</v>
      </c>
      <c r="Z66" s="731">
        <v>0</v>
      </c>
      <c r="AA66" s="731">
        <v>0</v>
      </c>
      <c r="AB66" s="19"/>
      <c r="AC66" s="713">
        <f>SUM(I66:AB66)</f>
        <v>0</v>
      </c>
    </row>
    <row r="67" spans="1:29">
      <c r="A67" s="35">
        <v>50</v>
      </c>
      <c r="B67" s="726" t="s">
        <v>1344</v>
      </c>
      <c r="C67" s="726" t="s">
        <v>1345</v>
      </c>
      <c r="D67" s="727" t="s">
        <v>1346</v>
      </c>
      <c r="E67" s="721" t="s">
        <v>1347</v>
      </c>
      <c r="F67" s="727" t="s">
        <v>1323</v>
      </c>
      <c r="G67" s="738" t="s">
        <v>1231</v>
      </c>
      <c r="H67" s="739">
        <v>1.2500000000000001E-2</v>
      </c>
      <c r="I67" s="731">
        <v>0</v>
      </c>
      <c r="J67" s="731">
        <v>0</v>
      </c>
      <c r="K67" s="731">
        <v>0</v>
      </c>
      <c r="L67" s="731">
        <v>0</v>
      </c>
      <c r="M67" s="731">
        <v>0</v>
      </c>
      <c r="N67" s="731">
        <v>0</v>
      </c>
      <c r="O67" s="731">
        <v>0</v>
      </c>
      <c r="P67" s="731">
        <v>0</v>
      </c>
      <c r="Q67" s="731">
        <v>0</v>
      </c>
      <c r="R67" s="731">
        <v>0</v>
      </c>
      <c r="S67" s="731">
        <v>0</v>
      </c>
      <c r="T67" s="731">
        <v>0</v>
      </c>
      <c r="U67" s="731">
        <v>0</v>
      </c>
      <c r="V67" s="731">
        <v>0</v>
      </c>
      <c r="W67" s="731">
        <v>9051.64</v>
      </c>
      <c r="X67" s="715">
        <f t="shared" si="1"/>
        <v>9051.64</v>
      </c>
      <c r="Y67" s="731">
        <v>487988.5</v>
      </c>
      <c r="Z67" s="731">
        <v>25679.63</v>
      </c>
      <c r="AA67" s="731">
        <v>2777.13</v>
      </c>
      <c r="AB67" s="19"/>
      <c r="AC67" s="716">
        <f t="shared" ref="AC67:AC72" si="4">SUM(I67:AB67)-X67</f>
        <v>525496.9</v>
      </c>
    </row>
    <row r="68" spans="1:29">
      <c r="A68" s="35">
        <v>51</v>
      </c>
      <c r="B68" s="726" t="s">
        <v>1348</v>
      </c>
      <c r="C68" s="726" t="s">
        <v>1349</v>
      </c>
      <c r="D68" s="727" t="s">
        <v>1350</v>
      </c>
      <c r="E68" s="721" t="s">
        <v>1351</v>
      </c>
      <c r="F68" s="727" t="s">
        <v>1323</v>
      </c>
      <c r="G68" s="738" t="s">
        <v>1231</v>
      </c>
      <c r="H68" s="739">
        <v>1.2500000000000001E-2</v>
      </c>
      <c r="I68" s="731">
        <v>0</v>
      </c>
      <c r="J68" s="731">
        <v>0</v>
      </c>
      <c r="K68" s="731">
        <v>0</v>
      </c>
      <c r="L68" s="731">
        <v>0</v>
      </c>
      <c r="M68" s="731">
        <v>0</v>
      </c>
      <c r="N68" s="731">
        <v>0</v>
      </c>
      <c r="O68" s="731">
        <v>0</v>
      </c>
      <c r="P68" s="731">
        <v>0</v>
      </c>
      <c r="Q68" s="731">
        <v>0</v>
      </c>
      <c r="R68" s="731">
        <v>0</v>
      </c>
      <c r="S68" s="731">
        <v>0</v>
      </c>
      <c r="T68" s="731">
        <v>0</v>
      </c>
      <c r="U68" s="731">
        <v>0</v>
      </c>
      <c r="V68" s="731">
        <v>0</v>
      </c>
      <c r="W68" s="731">
        <v>11892.46</v>
      </c>
      <c r="X68" s="715">
        <f t="shared" si="1"/>
        <v>11892.46</v>
      </c>
      <c r="Y68" s="731">
        <v>525106.31000000006</v>
      </c>
      <c r="Z68" s="731">
        <v>-14338.9</v>
      </c>
      <c r="AA68" s="731">
        <v>244.91</v>
      </c>
      <c r="AB68" s="19"/>
      <c r="AC68" s="716">
        <f t="shared" si="4"/>
        <v>522904.78000000009</v>
      </c>
    </row>
    <row r="69" spans="1:29">
      <c r="A69" s="35">
        <v>52</v>
      </c>
      <c r="B69" s="726" t="s">
        <v>1352</v>
      </c>
      <c r="C69" s="726" t="s">
        <v>1353</v>
      </c>
      <c r="D69" s="727" t="s">
        <v>1354</v>
      </c>
      <c r="E69" s="721" t="s">
        <v>1355</v>
      </c>
      <c r="F69" s="727" t="s">
        <v>1267</v>
      </c>
      <c r="G69" s="738" t="s">
        <v>1231</v>
      </c>
      <c r="H69" s="739">
        <v>1.2500000000000001E-2</v>
      </c>
      <c r="I69" s="731">
        <v>0</v>
      </c>
      <c r="J69" s="731">
        <v>0</v>
      </c>
      <c r="K69" s="731">
        <v>0</v>
      </c>
      <c r="L69" s="731">
        <v>0</v>
      </c>
      <c r="M69" s="731">
        <v>0</v>
      </c>
      <c r="N69" s="731">
        <v>0</v>
      </c>
      <c r="O69" s="731">
        <v>0</v>
      </c>
      <c r="P69" s="731">
        <v>0</v>
      </c>
      <c r="Q69" s="731">
        <v>0</v>
      </c>
      <c r="R69" s="731">
        <v>0</v>
      </c>
      <c r="S69" s="731">
        <v>0</v>
      </c>
      <c r="T69" s="731">
        <v>0</v>
      </c>
      <c r="U69" s="731">
        <v>0</v>
      </c>
      <c r="V69" s="731">
        <v>0</v>
      </c>
      <c r="W69" s="731">
        <v>0</v>
      </c>
      <c r="X69" s="715">
        <f t="shared" si="1"/>
        <v>0</v>
      </c>
      <c r="Y69" s="731">
        <v>0</v>
      </c>
      <c r="Z69" s="731">
        <v>0</v>
      </c>
      <c r="AA69" s="731">
        <v>0</v>
      </c>
      <c r="AB69" s="19"/>
      <c r="AC69" s="716">
        <f t="shared" si="4"/>
        <v>0</v>
      </c>
    </row>
    <row r="70" spans="1:29">
      <c r="A70" s="35">
        <v>53</v>
      </c>
      <c r="B70" s="726" t="s">
        <v>1356</v>
      </c>
      <c r="C70" s="726" t="s">
        <v>1357</v>
      </c>
      <c r="D70" s="727" t="s">
        <v>1358</v>
      </c>
      <c r="E70" s="721" t="s">
        <v>1227</v>
      </c>
      <c r="F70" s="727" t="s">
        <v>1256</v>
      </c>
      <c r="G70" s="738" t="s">
        <v>1240</v>
      </c>
      <c r="H70" s="739">
        <v>1.8200000000000001E-2</v>
      </c>
      <c r="I70" s="740">
        <v>0</v>
      </c>
      <c r="J70" s="740">
        <v>0</v>
      </c>
      <c r="K70" s="740">
        <v>0</v>
      </c>
      <c r="L70" s="740">
        <v>0</v>
      </c>
      <c r="M70" s="740">
        <v>0</v>
      </c>
      <c r="N70" s="740">
        <v>0</v>
      </c>
      <c r="O70" s="740">
        <v>0</v>
      </c>
      <c r="P70" s="740">
        <v>0</v>
      </c>
      <c r="Q70" s="740">
        <v>0</v>
      </c>
      <c r="R70" s="740">
        <v>0</v>
      </c>
      <c r="S70" s="740">
        <v>0</v>
      </c>
      <c r="T70" s="740">
        <v>0</v>
      </c>
      <c r="U70" s="740">
        <v>0</v>
      </c>
      <c r="V70" s="740">
        <v>0</v>
      </c>
      <c r="W70" s="740">
        <v>0</v>
      </c>
      <c r="X70" s="715">
        <f t="shared" si="1"/>
        <v>0</v>
      </c>
      <c r="Y70" s="740">
        <v>0</v>
      </c>
      <c r="Z70" s="740">
        <v>0</v>
      </c>
      <c r="AA70" s="740">
        <v>8554.0400000000009</v>
      </c>
      <c r="AB70" s="19"/>
      <c r="AC70" s="716">
        <f t="shared" si="4"/>
        <v>8554.0400000000009</v>
      </c>
    </row>
    <row r="71" spans="1:29">
      <c r="A71" s="35">
        <v>54</v>
      </c>
      <c r="B71" s="726" t="s">
        <v>1359</v>
      </c>
      <c r="C71" s="726" t="s">
        <v>1360</v>
      </c>
      <c r="D71" s="727" t="s">
        <v>1361</v>
      </c>
      <c r="E71" s="728" t="s">
        <v>1227</v>
      </c>
      <c r="F71" s="727" t="s">
        <v>1331</v>
      </c>
      <c r="G71" s="729" t="s">
        <v>1197</v>
      </c>
      <c r="H71" s="730">
        <v>1.2500000000000001E-2</v>
      </c>
      <c r="I71" s="731">
        <v>0</v>
      </c>
      <c r="J71" s="731">
        <v>0</v>
      </c>
      <c r="K71" s="731">
        <v>0</v>
      </c>
      <c r="L71" s="731">
        <v>0</v>
      </c>
      <c r="M71" s="731">
        <v>0</v>
      </c>
      <c r="N71" s="731">
        <v>0</v>
      </c>
      <c r="O71" s="731">
        <v>0</v>
      </c>
      <c r="P71" s="731">
        <v>0</v>
      </c>
      <c r="Q71" s="731">
        <v>0</v>
      </c>
      <c r="R71" s="731">
        <v>0</v>
      </c>
      <c r="S71" s="731">
        <v>0</v>
      </c>
      <c r="T71" s="731">
        <v>0</v>
      </c>
      <c r="U71" s="731">
        <v>0</v>
      </c>
      <c r="V71" s="731">
        <v>0</v>
      </c>
      <c r="W71" s="731">
        <v>0</v>
      </c>
      <c r="X71" s="715">
        <f t="shared" si="1"/>
        <v>0</v>
      </c>
      <c r="Y71" s="731">
        <v>0</v>
      </c>
      <c r="Z71" s="731">
        <v>26682.07</v>
      </c>
      <c r="AA71" s="731">
        <v>1462.08</v>
      </c>
      <c r="AB71" s="19"/>
      <c r="AC71" s="716">
        <f t="shared" si="4"/>
        <v>28144.15</v>
      </c>
    </row>
    <row r="72" spans="1:29">
      <c r="A72" s="35">
        <v>55</v>
      </c>
      <c r="B72" s="734"/>
      <c r="C72" s="734"/>
      <c r="D72" s="99" t="s">
        <v>1675</v>
      </c>
      <c r="E72" s="595"/>
      <c r="F72" s="99"/>
      <c r="G72" s="442"/>
      <c r="H72" s="735"/>
      <c r="I72" s="715"/>
      <c r="J72" s="715"/>
      <c r="K72" s="715"/>
      <c r="L72" s="715"/>
      <c r="M72" s="715"/>
      <c r="N72" s="715"/>
      <c r="O72" s="715"/>
      <c r="P72" s="715"/>
      <c r="Q72" s="715"/>
      <c r="R72" s="715"/>
      <c r="S72" s="715"/>
      <c r="T72" s="715"/>
      <c r="U72" s="715"/>
      <c r="V72" s="715"/>
      <c r="W72" s="715"/>
      <c r="X72" s="715"/>
      <c r="Y72" s="715"/>
      <c r="Z72" s="715">
        <v>15452.49</v>
      </c>
      <c r="AA72" s="715">
        <v>537465.21</v>
      </c>
      <c r="AB72" s="19"/>
      <c r="AC72" s="716">
        <f t="shared" si="4"/>
        <v>552917.69999999995</v>
      </c>
    </row>
    <row r="73" spans="1:29">
      <c r="A73" s="35">
        <v>56</v>
      </c>
      <c r="B73" s="734"/>
      <c r="C73" s="734"/>
      <c r="D73" s="99" t="s">
        <v>1362</v>
      </c>
      <c r="E73" s="595"/>
      <c r="F73" s="99"/>
      <c r="G73" s="442"/>
      <c r="H73" s="735"/>
      <c r="I73" s="715"/>
      <c r="J73" s="715"/>
      <c r="K73" s="715"/>
      <c r="L73" s="715"/>
      <c r="M73" s="715"/>
      <c r="N73" s="715"/>
      <c r="O73" s="715"/>
      <c r="P73" s="715"/>
      <c r="Q73" s="715"/>
      <c r="R73" s="715"/>
      <c r="S73" s="715"/>
      <c r="T73" s="715"/>
      <c r="U73" s="715"/>
      <c r="V73" s="715"/>
      <c r="W73" s="715"/>
      <c r="X73" s="715"/>
      <c r="Y73" s="715"/>
      <c r="Z73" s="715"/>
      <c r="AA73" s="715"/>
      <c r="AB73" s="19"/>
      <c r="AC73" s="716"/>
    </row>
    <row r="74" spans="1:29">
      <c r="B74" s="734"/>
      <c r="C74" s="734"/>
      <c r="D74" s="19"/>
      <c r="E74" s="18"/>
      <c r="F74" s="19"/>
      <c r="G74" s="444"/>
      <c r="H74" s="741"/>
      <c r="I74" s="742"/>
      <c r="J74" s="742"/>
      <c r="K74" s="742"/>
      <c r="L74" s="742"/>
      <c r="M74" s="742"/>
      <c r="N74" s="742"/>
      <c r="O74" s="742"/>
      <c r="P74" s="742"/>
      <c r="Q74" s="742"/>
      <c r="R74" s="742"/>
      <c r="S74" s="742"/>
      <c r="T74" s="742"/>
      <c r="U74" s="742"/>
      <c r="V74" s="742"/>
      <c r="W74" s="742"/>
      <c r="X74" s="742"/>
      <c r="Y74" s="742"/>
      <c r="Z74" s="742"/>
      <c r="AA74" s="742"/>
      <c r="AB74" s="19"/>
      <c r="AC74" s="743"/>
    </row>
    <row r="75" spans="1:29">
      <c r="A75" s="35">
        <v>57</v>
      </c>
      <c r="B75" s="734"/>
      <c r="C75" s="734"/>
      <c r="D75" s="19"/>
      <c r="E75" s="18"/>
      <c r="F75" s="19"/>
      <c r="G75" s="444"/>
      <c r="H75" s="741"/>
      <c r="I75" s="742">
        <f>SUM(I17:I74)</f>
        <v>2543.4900000000002</v>
      </c>
      <c r="J75" s="742">
        <f t="shared" ref="J75:AA75" si="5">SUM(J17:J74)</f>
        <v>43379.76</v>
      </c>
      <c r="K75" s="742">
        <f t="shared" si="5"/>
        <v>675435.17999999993</v>
      </c>
      <c r="L75" s="742">
        <f t="shared" si="5"/>
        <v>2443075.6799999997</v>
      </c>
      <c r="M75" s="742">
        <f t="shared" si="5"/>
        <v>1938153.3699999996</v>
      </c>
      <c r="N75" s="742">
        <f t="shared" si="5"/>
        <v>1899546.71</v>
      </c>
      <c r="O75" s="742">
        <f t="shared" si="5"/>
        <v>213919.01999999996</v>
      </c>
      <c r="P75" s="742">
        <f t="shared" si="5"/>
        <v>144194.99</v>
      </c>
      <c r="Q75" s="742">
        <f t="shared" si="5"/>
        <v>1124446.07</v>
      </c>
      <c r="R75" s="742">
        <f t="shared" si="5"/>
        <v>263989.18</v>
      </c>
      <c r="S75" s="742">
        <f t="shared" si="5"/>
        <v>737864.83</v>
      </c>
      <c r="T75" s="742">
        <f t="shared" si="5"/>
        <v>2649288.5499999998</v>
      </c>
      <c r="U75" s="742">
        <f t="shared" si="5"/>
        <v>567774.77</v>
      </c>
      <c r="V75" s="742">
        <f t="shared" si="5"/>
        <v>718706.01</v>
      </c>
      <c r="W75" s="742">
        <f t="shared" si="5"/>
        <v>813985.73</v>
      </c>
      <c r="X75" s="742">
        <f t="shared" si="5"/>
        <v>14236303.340000004</v>
      </c>
      <c r="Y75" s="742">
        <f t="shared" si="5"/>
        <v>3001996.63</v>
      </c>
      <c r="Z75" s="742">
        <f t="shared" si="5"/>
        <v>785203.16999999993</v>
      </c>
      <c r="AA75" s="742">
        <f t="shared" si="5"/>
        <v>2086444.94</v>
      </c>
      <c r="AB75" s="19"/>
      <c r="AC75" s="743">
        <f>SUM(AC17:AC74)</f>
        <v>20109948.079999994</v>
      </c>
    </row>
    <row r="76" spans="1:29" ht="27">
      <c r="B76" s="1010" t="s">
        <v>2137</v>
      </c>
      <c r="C76" s="994"/>
      <c r="E76" s="8"/>
      <c r="G76" s="704"/>
      <c r="H76" s="705"/>
      <c r="I76" s="450"/>
      <c r="J76" s="450"/>
      <c r="K76" s="1010" t="s">
        <v>2137</v>
      </c>
      <c r="L76" s="450"/>
      <c r="M76" s="450"/>
      <c r="N76" s="450"/>
      <c r="O76" s="450"/>
      <c r="P76" s="450"/>
      <c r="Q76" s="450"/>
      <c r="R76" s="450"/>
      <c r="S76" s="450"/>
      <c r="T76" s="450"/>
      <c r="U76" s="1010" t="s">
        <v>2137</v>
      </c>
      <c r="V76" s="450"/>
      <c r="W76" s="450"/>
      <c r="X76" s="450"/>
      <c r="Y76" s="450"/>
      <c r="Z76" s="450"/>
      <c r="AA76" s="450"/>
      <c r="AC76" s="450"/>
    </row>
    <row r="77" spans="1:29">
      <c r="A77" s="35">
        <v>58</v>
      </c>
      <c r="B77" s="8"/>
      <c r="C77" s="32"/>
      <c r="E77" s="8"/>
      <c r="G77" s="704"/>
      <c r="H77" s="705"/>
      <c r="I77" s="450"/>
      <c r="J77" s="744">
        <f>+J75+I75</f>
        <v>45923.25</v>
      </c>
      <c r="K77" s="744">
        <f>+J77+K75</f>
        <v>721358.42999999993</v>
      </c>
      <c r="L77" s="744">
        <f t="shared" ref="L77:AA77" si="6">+K77+L75</f>
        <v>3164434.1099999994</v>
      </c>
      <c r="M77" s="744">
        <f t="shared" si="6"/>
        <v>5102587.4799999986</v>
      </c>
      <c r="N77" s="744">
        <f t="shared" si="6"/>
        <v>7002134.1899999985</v>
      </c>
      <c r="O77" s="744">
        <f t="shared" si="6"/>
        <v>7216053.2099999981</v>
      </c>
      <c r="P77" s="744">
        <f t="shared" si="6"/>
        <v>7360248.1999999983</v>
      </c>
      <c r="Q77" s="744">
        <f t="shared" si="6"/>
        <v>8484694.2699999977</v>
      </c>
      <c r="R77" s="744">
        <f t="shared" si="6"/>
        <v>8748683.4499999974</v>
      </c>
      <c r="S77" s="744">
        <f t="shared" si="6"/>
        <v>9486548.2799999975</v>
      </c>
      <c r="T77" s="744">
        <f t="shared" si="6"/>
        <v>12135836.829999998</v>
      </c>
      <c r="U77" s="744">
        <f t="shared" si="6"/>
        <v>12703611.599999998</v>
      </c>
      <c r="V77" s="744">
        <f t="shared" si="6"/>
        <v>13422317.609999998</v>
      </c>
      <c r="W77" s="744">
        <f t="shared" si="6"/>
        <v>14236303.339999998</v>
      </c>
      <c r="X77" s="744"/>
      <c r="Y77" s="744">
        <f>+W77+Y75</f>
        <v>17238299.969999999</v>
      </c>
      <c r="Z77" s="744">
        <f t="shared" si="6"/>
        <v>18023503.140000001</v>
      </c>
      <c r="AA77" s="744">
        <f t="shared" si="6"/>
        <v>20109948.080000002</v>
      </c>
      <c r="AC77" s="450"/>
    </row>
    <row r="78" spans="1:29">
      <c r="B78" s="8"/>
      <c r="C78" s="32"/>
      <c r="E78" s="8"/>
      <c r="G78" s="704"/>
      <c r="H78" s="705"/>
      <c r="I78" s="450"/>
      <c r="J78" s="450"/>
      <c r="K78" s="450"/>
      <c r="L78" s="450"/>
      <c r="M78" s="450"/>
      <c r="N78" s="450"/>
      <c r="O78" s="450"/>
      <c r="P78" s="450"/>
      <c r="Q78" s="450"/>
      <c r="R78" s="450"/>
      <c r="S78" s="450"/>
      <c r="T78" s="450"/>
      <c r="U78" s="450"/>
      <c r="V78" s="450"/>
      <c r="W78" s="450"/>
      <c r="X78" s="450"/>
      <c r="Y78" s="450"/>
      <c r="Z78" s="450"/>
      <c r="AA78" s="450"/>
      <c r="AC78" s="450"/>
    </row>
    <row r="79" spans="1:29">
      <c r="A79" s="35">
        <v>59</v>
      </c>
      <c r="B79" s="8"/>
      <c r="C79" s="32"/>
      <c r="D79" s="6" t="s">
        <v>2017</v>
      </c>
      <c r="E79" s="8"/>
      <c r="G79" s="704"/>
      <c r="H79" s="705"/>
      <c r="I79" s="450"/>
      <c r="J79" s="450"/>
      <c r="K79" s="450"/>
      <c r="L79" s="450"/>
      <c r="M79" s="450"/>
      <c r="N79" s="450"/>
      <c r="O79" s="450"/>
      <c r="P79" s="450"/>
      <c r="Q79" s="450"/>
      <c r="R79" s="450"/>
      <c r="S79" s="450"/>
      <c r="T79" s="450"/>
      <c r="U79" s="450"/>
      <c r="V79" s="450"/>
      <c r="W79" s="450"/>
      <c r="X79" s="450"/>
      <c r="Y79" s="450"/>
      <c r="Z79" s="450"/>
      <c r="AA79" s="745">
        <f>(((+AA77+N77)/2)+SUM(O77:Z77))/12</f>
        <v>11884345.086249998</v>
      </c>
      <c r="AC79" s="450"/>
    </row>
    <row r="80" spans="1:29">
      <c r="B80" s="8"/>
      <c r="C80" s="32"/>
      <c r="E80" s="8"/>
      <c r="G80" s="704"/>
      <c r="H80" s="705"/>
      <c r="I80" s="450"/>
      <c r="J80" s="450"/>
      <c r="K80" s="450"/>
      <c r="L80" s="450"/>
      <c r="M80" s="450"/>
      <c r="N80" s="450"/>
      <c r="O80" s="450"/>
      <c r="P80" s="450"/>
      <c r="Q80" s="450"/>
      <c r="R80" s="450"/>
      <c r="S80" s="450"/>
      <c r="T80" s="450"/>
      <c r="U80" s="450"/>
      <c r="V80" s="450"/>
      <c r="W80" s="450"/>
      <c r="X80" s="450"/>
      <c r="Y80" s="450"/>
      <c r="Z80" s="450"/>
      <c r="AA80" s="450"/>
      <c r="AC80" s="450"/>
    </row>
  </sheetData>
  <mergeCells count="15">
    <mergeCell ref="X1:Z1"/>
    <mergeCell ref="X2:Z2"/>
    <mergeCell ref="X3:Z3"/>
    <mergeCell ref="X4:Z4"/>
    <mergeCell ref="X5:Z5"/>
    <mergeCell ref="N1:Q1"/>
    <mergeCell ref="N2:Q2"/>
    <mergeCell ref="N3:Q3"/>
    <mergeCell ref="N4:Q4"/>
    <mergeCell ref="N5:Q5"/>
    <mergeCell ref="B1:H1"/>
    <mergeCell ref="B2:H2"/>
    <mergeCell ref="B3:H3"/>
    <mergeCell ref="B4:H4"/>
    <mergeCell ref="B5:H5"/>
  </mergeCells>
  <printOptions horizontalCentered="1"/>
  <pageMargins left="0.7" right="0.7" top="0.75" bottom="0.75" header="0.3" footer="0.3"/>
  <pageSetup scale="64" orientation="landscape" r:id="rId1"/>
  <headerFooter scaleWithDoc="0" alignWithMargins="0">
    <oddHeader>&amp;RPage &amp;P of &amp;N</oddHeader>
    <oddFooter>&amp;LElectronic Tab Name:&amp;A</oddFooter>
  </headerFooter>
  <rowBreaks count="1" manualBreakCount="1">
    <brk id="51" max="16383" man="1"/>
  </rowBreaks>
  <colBreaks count="2" manualBreakCount="2">
    <brk id="10" max="78" man="1"/>
    <brk id="20" max="78"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25"/>
  <sheetViews>
    <sheetView zoomScaleNormal="100" workbookViewId="0">
      <selection activeCell="A3" sqref="A3:H3"/>
    </sheetView>
  </sheetViews>
  <sheetFormatPr defaultRowHeight="15.75"/>
  <cols>
    <col min="1" max="1" width="9.28515625" style="6" bestFit="1" customWidth="1"/>
    <col min="2" max="2" width="10.42578125" style="6" customWidth="1"/>
    <col min="3" max="3" width="50.28515625" style="6" customWidth="1"/>
    <col min="4" max="4" width="6.7109375" style="6" customWidth="1"/>
    <col min="5" max="5" width="12.28515625" style="6" customWidth="1"/>
    <col min="6" max="6" width="4.140625" style="6" customWidth="1"/>
    <col min="7" max="7" width="14.5703125" style="6" bestFit="1" customWidth="1"/>
    <col min="8" max="16384" width="9.140625" style="6"/>
  </cols>
  <sheetData>
    <row r="1" spans="1:7">
      <c r="A1" s="1025" t="s">
        <v>61</v>
      </c>
      <c r="B1" s="1025"/>
      <c r="C1" s="1025"/>
      <c r="D1" s="1025"/>
      <c r="E1" s="1025"/>
      <c r="F1" s="1025"/>
      <c r="G1" s="1025"/>
    </row>
    <row r="2" spans="1:7">
      <c r="A2" s="1025" t="s">
        <v>1690</v>
      </c>
      <c r="B2" s="1025"/>
      <c r="C2" s="1025"/>
      <c r="D2" s="1025"/>
      <c r="E2" s="1025"/>
      <c r="F2" s="1025"/>
      <c r="G2" s="1025"/>
    </row>
    <row r="3" spans="1:7">
      <c r="A3" s="1025" t="s">
        <v>2043</v>
      </c>
      <c r="B3" s="1025"/>
      <c r="C3" s="1025"/>
      <c r="D3" s="1025"/>
      <c r="E3" s="1025"/>
      <c r="F3" s="1025"/>
      <c r="G3" s="1025"/>
    </row>
    <row r="4" spans="1:7">
      <c r="A4" s="1025" t="s">
        <v>983</v>
      </c>
      <c r="B4" s="1025"/>
      <c r="C4" s="1025"/>
      <c r="D4" s="1025"/>
      <c r="E4" s="1025"/>
      <c r="F4" s="1025"/>
      <c r="G4" s="1025"/>
    </row>
    <row r="5" spans="1:7">
      <c r="A5" s="1025" t="s">
        <v>985</v>
      </c>
      <c r="B5" s="1025"/>
      <c r="C5" s="1025"/>
      <c r="D5" s="1025"/>
      <c r="E5" s="1025"/>
      <c r="F5" s="1025"/>
      <c r="G5" s="1025"/>
    </row>
    <row r="8" spans="1:7" s="8" customFormat="1">
      <c r="A8" s="15" t="s">
        <v>891</v>
      </c>
      <c r="B8" s="8" t="s">
        <v>1731</v>
      </c>
      <c r="C8" s="8" t="s">
        <v>1729</v>
      </c>
      <c r="E8" s="8" t="s">
        <v>1730</v>
      </c>
      <c r="G8" s="8" t="s">
        <v>1733</v>
      </c>
    </row>
    <row r="9" spans="1:7">
      <c r="A9" s="6">
        <v>1</v>
      </c>
      <c r="B9" s="424" t="s">
        <v>1676</v>
      </c>
      <c r="C9" s="424"/>
      <c r="D9" s="424"/>
      <c r="E9" s="424"/>
      <c r="F9" s="424"/>
      <c r="G9" s="643"/>
    </row>
    <row r="10" spans="1:7">
      <c r="A10" s="6">
        <v>2</v>
      </c>
      <c r="B10" s="424"/>
      <c r="C10" s="424" t="s">
        <v>2071</v>
      </c>
      <c r="D10" s="424"/>
      <c r="E10" s="424"/>
      <c r="F10" s="424"/>
      <c r="G10" s="643">
        <v>8908259.5399999991</v>
      </c>
    </row>
    <row r="11" spans="1:7">
      <c r="B11" s="424"/>
      <c r="C11" s="424"/>
      <c r="D11" s="424"/>
      <c r="E11" s="424"/>
      <c r="F11" s="424"/>
      <c r="G11" s="643"/>
    </row>
    <row r="12" spans="1:7">
      <c r="A12" s="6">
        <v>3</v>
      </c>
      <c r="B12" s="424" t="s">
        <v>2072</v>
      </c>
      <c r="C12" s="424"/>
      <c r="D12" s="424"/>
      <c r="E12" s="424"/>
      <c r="F12" s="424"/>
      <c r="G12" s="746">
        <f>-'Weather Normalization'!F21+'Weather Normalization'!F37</f>
        <v>-5420395.6576899998</v>
      </c>
    </row>
    <row r="13" spans="1:7">
      <c r="B13" s="424"/>
      <c r="C13" s="424"/>
      <c r="D13" s="424"/>
      <c r="E13" s="424"/>
      <c r="F13" s="424"/>
      <c r="G13" s="746"/>
    </row>
    <row r="14" spans="1:7">
      <c r="A14" s="6">
        <v>4</v>
      </c>
      <c r="B14" s="424" t="s">
        <v>2073</v>
      </c>
      <c r="C14" s="424"/>
      <c r="D14" s="424"/>
      <c r="E14" s="424"/>
      <c r="F14" s="424"/>
      <c r="G14" s="643">
        <v>1996287.22</v>
      </c>
    </row>
    <row r="15" spans="1:7">
      <c r="B15" s="424"/>
      <c r="C15" s="424"/>
      <c r="D15" s="424"/>
      <c r="E15" s="424"/>
      <c r="F15" s="424"/>
      <c r="G15" s="643"/>
    </row>
    <row r="16" spans="1:7">
      <c r="A16" s="6">
        <v>5</v>
      </c>
      <c r="B16" s="424" t="s">
        <v>2074</v>
      </c>
      <c r="C16" s="424"/>
      <c r="D16" s="424"/>
      <c r="E16" s="424"/>
      <c r="F16" s="424"/>
      <c r="G16" s="643">
        <v>-264059.74</v>
      </c>
    </row>
    <row r="17" spans="1:7" ht="16.5" thickBot="1">
      <c r="B17" s="424"/>
      <c r="C17" s="424"/>
      <c r="D17" s="424"/>
      <c r="E17" s="424"/>
      <c r="F17" s="424"/>
      <c r="G17" s="643"/>
    </row>
    <row r="18" spans="1:7" ht="16.5" thickBot="1">
      <c r="A18" s="6">
        <v>6</v>
      </c>
      <c r="B18" s="6" t="s">
        <v>970</v>
      </c>
      <c r="G18" s="747">
        <f>+G10+G12+G14+G16</f>
        <v>5220091.3623099988</v>
      </c>
    </row>
    <row r="19" spans="1:7" ht="16.5" thickTop="1"/>
    <row r="21" spans="1:7">
      <c r="A21" s="6">
        <v>7</v>
      </c>
      <c r="C21" s="903" t="s">
        <v>2083</v>
      </c>
      <c r="E21" s="6" t="s">
        <v>975</v>
      </c>
      <c r="G21" s="748">
        <f>2625126-104804</f>
        <v>2520322</v>
      </c>
    </row>
    <row r="22" spans="1:7">
      <c r="A22" s="6">
        <v>8</v>
      </c>
      <c r="C22" s="903" t="s">
        <v>2084</v>
      </c>
      <c r="E22" s="6" t="s">
        <v>976</v>
      </c>
      <c r="G22" s="748">
        <f>759405+6847</f>
        <v>766252</v>
      </c>
    </row>
    <row r="23" spans="1:7">
      <c r="A23" s="6">
        <v>9</v>
      </c>
      <c r="C23" s="903" t="s">
        <v>2085</v>
      </c>
      <c r="E23" s="6" t="s">
        <v>977</v>
      </c>
      <c r="G23" s="496">
        <v>1933517</v>
      </c>
    </row>
    <row r="24" spans="1:7">
      <c r="G24" s="749" t="s">
        <v>978</v>
      </c>
    </row>
    <row r="25" spans="1:7">
      <c r="A25" s="6">
        <v>10</v>
      </c>
      <c r="E25" s="6" t="s">
        <v>59</v>
      </c>
      <c r="G25" s="496">
        <f>SUM(G21:G23)</f>
        <v>5220091</v>
      </c>
    </row>
  </sheetData>
  <mergeCells count="5">
    <mergeCell ref="A1:G1"/>
    <mergeCell ref="A2:G2"/>
    <mergeCell ref="A3:G3"/>
    <mergeCell ref="A4:G4"/>
    <mergeCell ref="A5:G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352"/>
  <sheetViews>
    <sheetView view="pageBreakPreview" zoomScale="80" zoomScaleNormal="100" zoomScaleSheetLayoutView="80" workbookViewId="0">
      <selection activeCell="A3" sqref="A3:H3"/>
    </sheetView>
  </sheetViews>
  <sheetFormatPr defaultColWidth="9.140625" defaultRowHeight="15.75"/>
  <cols>
    <col min="1" max="1" width="1" style="6" customWidth="1"/>
    <col min="2" max="2" width="1.5703125" style="6" customWidth="1"/>
    <col min="3" max="3" width="8.7109375" style="895" bestFit="1" customWidth="1"/>
    <col min="4" max="4" width="14.42578125" style="6" customWidth="1"/>
    <col min="5" max="5" width="35.42578125" style="6" customWidth="1"/>
    <col min="6" max="19" width="18" style="6" bestFit="1" customWidth="1"/>
    <col min="20" max="20" width="2.42578125" style="6" customWidth="1"/>
    <col min="21" max="21" width="18" style="8" bestFit="1" customWidth="1"/>
    <col min="22" max="22" width="16.42578125" style="8" customWidth="1"/>
    <col min="23" max="23" width="16.28515625" style="8" bestFit="1" customWidth="1"/>
    <col min="24" max="24" width="17" style="8" bestFit="1" customWidth="1"/>
    <col min="25" max="16384" width="9.140625" style="6"/>
  </cols>
  <sheetData>
    <row r="1" spans="1:26">
      <c r="A1" s="750"/>
      <c r="B1" s="750"/>
      <c r="C1" s="751"/>
      <c r="D1" s="752"/>
      <c r="E1" s="753"/>
      <c r="F1" s="1025" t="s">
        <v>61</v>
      </c>
      <c r="G1" s="1025"/>
      <c r="H1" s="1025"/>
      <c r="I1" s="1025"/>
      <c r="J1" s="5"/>
      <c r="K1" s="5"/>
      <c r="L1" s="5"/>
      <c r="M1" s="753"/>
      <c r="N1" s="753"/>
      <c r="O1" s="753"/>
      <c r="P1" s="1025" t="s">
        <v>61</v>
      </c>
      <c r="Q1" s="1025"/>
      <c r="R1" s="1025"/>
      <c r="S1" s="1025"/>
      <c r="T1" s="1025"/>
      <c r="U1" s="5"/>
      <c r="V1" s="5"/>
      <c r="W1" s="754"/>
      <c r="X1" s="754"/>
      <c r="Y1" s="754"/>
      <c r="Z1" s="755"/>
    </row>
    <row r="2" spans="1:26">
      <c r="A2" s="750"/>
      <c r="B2" s="750"/>
      <c r="C2" s="751"/>
      <c r="D2" s="752"/>
      <c r="E2" s="753"/>
      <c r="F2" s="1025" t="s">
        <v>1690</v>
      </c>
      <c r="G2" s="1025"/>
      <c r="H2" s="1025"/>
      <c r="I2" s="1025"/>
      <c r="J2" s="5"/>
      <c r="K2" s="5"/>
      <c r="L2" s="5"/>
      <c r="M2" s="753"/>
      <c r="N2" s="753"/>
      <c r="O2" s="753"/>
      <c r="P2" s="1025" t="s">
        <v>1690</v>
      </c>
      <c r="Q2" s="1025"/>
      <c r="R2" s="1025"/>
      <c r="S2" s="1025"/>
      <c r="T2" s="1025"/>
      <c r="U2" s="5"/>
      <c r="V2" s="5"/>
      <c r="W2" s="754"/>
      <c r="X2" s="754"/>
      <c r="Y2" s="754"/>
      <c r="Z2" s="755"/>
    </row>
    <row r="3" spans="1:26">
      <c r="A3" s="750"/>
      <c r="B3" s="750"/>
      <c r="C3" s="751"/>
      <c r="D3" s="752"/>
      <c r="E3" s="753"/>
      <c r="F3" s="1025" t="s">
        <v>2161</v>
      </c>
      <c r="G3" s="1025"/>
      <c r="H3" s="1025"/>
      <c r="I3" s="1025"/>
      <c r="J3" s="5"/>
      <c r="K3" s="5"/>
      <c r="L3" s="5"/>
      <c r="M3" s="753"/>
      <c r="N3" s="753"/>
      <c r="O3" s="753"/>
      <c r="P3" s="1025" t="s">
        <v>2161</v>
      </c>
      <c r="Q3" s="1025"/>
      <c r="R3" s="1025"/>
      <c r="S3" s="1025"/>
      <c r="T3" s="1025"/>
      <c r="U3" s="5"/>
      <c r="V3" s="5"/>
      <c r="W3" s="754"/>
      <c r="X3" s="754"/>
      <c r="Y3" s="754"/>
      <c r="Z3" s="755"/>
    </row>
    <row r="4" spans="1:26">
      <c r="A4" s="750"/>
      <c r="B4" s="750"/>
      <c r="C4" s="751"/>
      <c r="D4" s="752"/>
      <c r="E4" s="753"/>
      <c r="F4" s="1025" t="s">
        <v>1986</v>
      </c>
      <c r="G4" s="1025"/>
      <c r="H4" s="1025"/>
      <c r="I4" s="1025"/>
      <c r="J4" s="5"/>
      <c r="K4" s="5"/>
      <c r="L4" s="5"/>
      <c r="M4" s="753"/>
      <c r="N4" s="753"/>
      <c r="O4" s="753"/>
      <c r="P4" s="1025" t="s">
        <v>1986</v>
      </c>
      <c r="Q4" s="1025"/>
      <c r="R4" s="1025"/>
      <c r="S4" s="1025"/>
      <c r="T4" s="1025"/>
      <c r="U4" s="5"/>
      <c r="V4" s="5"/>
      <c r="W4" s="754"/>
      <c r="X4" s="754"/>
      <c r="Y4" s="754"/>
      <c r="Z4" s="755"/>
    </row>
    <row r="5" spans="1:26">
      <c r="A5" s="750"/>
      <c r="B5" s="750"/>
      <c r="C5" s="751"/>
      <c r="D5" s="752"/>
      <c r="E5" s="753"/>
      <c r="F5" s="1025" t="s">
        <v>985</v>
      </c>
      <c r="G5" s="1025"/>
      <c r="H5" s="1025"/>
      <c r="I5" s="1025"/>
      <c r="J5" s="5"/>
      <c r="K5" s="5"/>
      <c r="L5" s="5"/>
      <c r="M5" s="753"/>
      <c r="N5" s="753"/>
      <c r="O5" s="753"/>
      <c r="P5" s="1025" t="s">
        <v>985</v>
      </c>
      <c r="Q5" s="1025"/>
      <c r="R5" s="1025"/>
      <c r="S5" s="1025"/>
      <c r="T5" s="1025"/>
      <c r="U5" s="5"/>
      <c r="V5" s="5"/>
      <c r="W5" s="754"/>
      <c r="X5" s="754"/>
      <c r="Y5" s="754"/>
      <c r="Z5" s="755"/>
    </row>
    <row r="6" spans="1:26">
      <c r="A6" s="750"/>
      <c r="B6" s="750"/>
      <c r="C6" s="751"/>
      <c r="D6" s="752"/>
      <c r="E6" s="756"/>
      <c r="F6" s="1079" t="s">
        <v>2138</v>
      </c>
      <c r="G6" s="1079"/>
      <c r="H6" s="1079"/>
      <c r="I6" s="1079"/>
      <c r="J6" s="756"/>
      <c r="K6" s="756"/>
      <c r="L6" s="756"/>
      <c r="M6" s="756"/>
      <c r="N6" s="756"/>
      <c r="O6" s="756"/>
      <c r="P6" s="1079" t="s">
        <v>2138</v>
      </c>
      <c r="Q6" s="1079"/>
      <c r="R6" s="1079"/>
      <c r="S6" s="1079"/>
      <c r="T6" s="754"/>
      <c r="U6" s="754"/>
      <c r="V6" s="758"/>
      <c r="W6" s="754"/>
      <c r="X6" s="754"/>
      <c r="Y6" s="754"/>
      <c r="Z6" s="755"/>
    </row>
    <row r="7" spans="1:26" s="35" customFormat="1">
      <c r="A7" s="759"/>
      <c r="B7" s="759"/>
      <c r="C7" s="759"/>
      <c r="D7" s="760" t="s">
        <v>1731</v>
      </c>
      <c r="E7" s="759" t="s">
        <v>1729</v>
      </c>
      <c r="F7" s="759" t="s">
        <v>1730</v>
      </c>
      <c r="G7" s="759" t="s">
        <v>1733</v>
      </c>
      <c r="H7" s="759" t="s">
        <v>1734</v>
      </c>
      <c r="I7" s="759" t="s">
        <v>1743</v>
      </c>
      <c r="J7" s="759" t="s">
        <v>1744</v>
      </c>
      <c r="K7" s="759" t="s">
        <v>1745</v>
      </c>
      <c r="L7" s="759" t="s">
        <v>1746</v>
      </c>
      <c r="M7" s="759" t="s">
        <v>1747</v>
      </c>
      <c r="N7" s="759" t="s">
        <v>1748</v>
      </c>
      <c r="O7" s="759" t="s">
        <v>1749</v>
      </c>
      <c r="P7" s="759" t="s">
        <v>1750</v>
      </c>
      <c r="Q7" s="761" t="s">
        <v>1751</v>
      </c>
      <c r="R7" s="759" t="s">
        <v>1752</v>
      </c>
      <c r="S7" s="762" t="s">
        <v>2026</v>
      </c>
      <c r="T7" s="763"/>
      <c r="U7" s="763" t="s">
        <v>2027</v>
      </c>
      <c r="V7" s="763" t="s">
        <v>2028</v>
      </c>
      <c r="W7" s="763" t="s">
        <v>2029</v>
      </c>
      <c r="X7" s="763" t="s">
        <v>2030</v>
      </c>
      <c r="Y7" s="763"/>
      <c r="Z7" s="764"/>
    </row>
    <row r="8" spans="1:26">
      <c r="A8" s="757"/>
      <c r="B8" s="757"/>
      <c r="C8" s="765"/>
      <c r="T8" s="754"/>
      <c r="U8" s="766" t="s">
        <v>400</v>
      </c>
      <c r="V8" s="766" t="s">
        <v>401</v>
      </c>
      <c r="W8" s="766" t="s">
        <v>402</v>
      </c>
      <c r="X8" s="766" t="s">
        <v>403</v>
      </c>
      <c r="Y8" s="754"/>
      <c r="Z8" s="767"/>
    </row>
    <row r="9" spans="1:26">
      <c r="A9" s="751" t="s">
        <v>404</v>
      </c>
      <c r="B9" s="751" t="s">
        <v>405</v>
      </c>
      <c r="C9" s="751" t="s">
        <v>891</v>
      </c>
      <c r="D9" s="768" t="s">
        <v>406</v>
      </c>
      <c r="E9" s="769" t="s">
        <v>382</v>
      </c>
      <c r="F9" s="770" t="s">
        <v>993</v>
      </c>
      <c r="G9" s="770" t="s">
        <v>994</v>
      </c>
      <c r="H9" s="770" t="s">
        <v>995</v>
      </c>
      <c r="I9" s="770" t="s">
        <v>996</v>
      </c>
      <c r="J9" s="770" t="s">
        <v>997</v>
      </c>
      <c r="K9" s="770" t="s">
        <v>998</v>
      </c>
      <c r="L9" s="770" t="s">
        <v>999</v>
      </c>
      <c r="M9" s="770" t="s">
        <v>1000</v>
      </c>
      <c r="N9" s="770" t="s">
        <v>1001</v>
      </c>
      <c r="O9" s="770" t="s">
        <v>1002</v>
      </c>
      <c r="P9" s="770" t="s">
        <v>1003</v>
      </c>
      <c r="Q9" s="770" t="s">
        <v>1004</v>
      </c>
      <c r="R9" s="770" t="s">
        <v>1005</v>
      </c>
      <c r="S9" s="770" t="s">
        <v>1761</v>
      </c>
      <c r="T9" s="754"/>
      <c r="U9" s="771" t="s">
        <v>407</v>
      </c>
      <c r="V9" s="771" t="s">
        <v>408</v>
      </c>
      <c r="W9" s="771" t="s">
        <v>408</v>
      </c>
      <c r="X9" s="771" t="s">
        <v>407</v>
      </c>
      <c r="Y9" s="754"/>
      <c r="Z9" s="767"/>
    </row>
    <row r="10" spans="1:26">
      <c r="A10" s="772"/>
      <c r="B10" s="772"/>
      <c r="C10" s="773">
        <v>1</v>
      </c>
      <c r="D10" s="772"/>
      <c r="E10" s="772"/>
      <c r="F10" s="772"/>
      <c r="G10" s="772"/>
      <c r="H10" s="772"/>
      <c r="I10" s="772"/>
      <c r="J10" s="772"/>
      <c r="K10" s="772"/>
      <c r="L10" s="772"/>
      <c r="M10" s="772"/>
      <c r="N10" s="772"/>
      <c r="O10" s="772"/>
      <c r="P10" s="772"/>
      <c r="Q10" s="772"/>
      <c r="R10" s="772"/>
      <c r="S10" s="772"/>
      <c r="T10" s="772"/>
      <c r="U10" s="772"/>
      <c r="V10" s="772"/>
      <c r="W10" s="772"/>
      <c r="X10" s="772"/>
      <c r="Y10" s="754"/>
      <c r="Z10" s="767"/>
    </row>
    <row r="11" spans="1:26">
      <c r="A11" s="774" t="s">
        <v>409</v>
      </c>
      <c r="B11" s="774" t="s">
        <v>410</v>
      </c>
      <c r="C11" s="775">
        <v>2</v>
      </c>
      <c r="D11" s="776" t="str">
        <f>+A11</f>
        <v>1012</v>
      </c>
      <c r="E11" s="777" t="s">
        <v>411</v>
      </c>
      <c r="F11" s="778">
        <v>841287581.38</v>
      </c>
      <c r="G11" s="779">
        <v>844250997.01999998</v>
      </c>
      <c r="H11" s="780">
        <v>845780274.45000005</v>
      </c>
      <c r="I11" s="780">
        <v>850849571.23000002</v>
      </c>
      <c r="J11" s="781">
        <v>852735883.73000002</v>
      </c>
      <c r="K11" s="782">
        <v>855868544.54999995</v>
      </c>
      <c r="L11" s="783">
        <v>864307499.25999999</v>
      </c>
      <c r="M11" s="784">
        <v>868541029.21000004</v>
      </c>
      <c r="N11" s="785">
        <v>869411162.35000002</v>
      </c>
      <c r="O11" s="786">
        <v>875369750.46000004</v>
      </c>
      <c r="P11" s="787">
        <v>879842689.62</v>
      </c>
      <c r="Q11" s="788">
        <v>881539577.07000005</v>
      </c>
      <c r="R11" s="778">
        <v>889631646.78999996</v>
      </c>
      <c r="S11" s="780">
        <f>((F11+R11)+((G11+H11+I11+J11+K11+L11+M11+N11+O11+P11+Q11)*2))/24</f>
        <v>862829716.08624995</v>
      </c>
      <c r="T11" s="754"/>
      <c r="U11" s="754"/>
      <c r="V11" s="758">
        <f>S11</f>
        <v>862829716.08624995</v>
      </c>
      <c r="W11" s="754"/>
      <c r="X11" s="754"/>
      <c r="Y11" s="767"/>
      <c r="Z11" s="767"/>
    </row>
    <row r="12" spans="1:26">
      <c r="A12" s="774" t="s">
        <v>412</v>
      </c>
      <c r="B12" s="774" t="s">
        <v>410</v>
      </c>
      <c r="C12" s="775">
        <v>3</v>
      </c>
      <c r="D12" s="776" t="str">
        <f>+A12</f>
        <v>1062</v>
      </c>
      <c r="E12" s="777" t="s">
        <v>413</v>
      </c>
      <c r="F12" s="778">
        <v>28896553.829999998</v>
      </c>
      <c r="G12" s="779">
        <v>27565439.219999999</v>
      </c>
      <c r="H12" s="780">
        <v>27308385.52</v>
      </c>
      <c r="I12" s="780">
        <v>25405445.93</v>
      </c>
      <c r="J12" s="781">
        <v>26448610.5</v>
      </c>
      <c r="K12" s="782">
        <v>26356690.800000001</v>
      </c>
      <c r="L12" s="783">
        <v>20673671.899999999</v>
      </c>
      <c r="M12" s="784">
        <v>20158872.41</v>
      </c>
      <c r="N12" s="785">
        <v>31410364.16</v>
      </c>
      <c r="O12" s="786">
        <v>29294995.760000002</v>
      </c>
      <c r="P12" s="787">
        <v>31135493.359999999</v>
      </c>
      <c r="Q12" s="788">
        <v>31619119.32</v>
      </c>
      <c r="R12" s="778">
        <v>33062917.120000001</v>
      </c>
      <c r="S12" s="780">
        <f t="shared" ref="S12:S75" si="0">((F12+R12)+((G12+H12+I12+J12+K12+L12+M12+N12+O12+P12+Q12)*2))/24</f>
        <v>27363068.696249995</v>
      </c>
      <c r="T12" s="754"/>
      <c r="U12" s="754"/>
      <c r="V12" s="758">
        <f>S12</f>
        <v>27363068.696249995</v>
      </c>
      <c r="W12" s="754"/>
      <c r="X12" s="754"/>
      <c r="Y12" s="767"/>
      <c r="Z12" s="767"/>
    </row>
    <row r="13" spans="1:26">
      <c r="A13" s="774" t="s">
        <v>414</v>
      </c>
      <c r="B13" s="774" t="s">
        <v>410</v>
      </c>
      <c r="C13" s="775">
        <v>4</v>
      </c>
      <c r="D13" s="776" t="str">
        <f>A13&amp;"."&amp;B13</f>
        <v>@2:107.*</v>
      </c>
      <c r="E13" s="777" t="s">
        <v>415</v>
      </c>
      <c r="F13" s="778">
        <v>10555875.93</v>
      </c>
      <c r="G13" s="779">
        <v>9501126.4000000004</v>
      </c>
      <c r="H13" s="780">
        <v>10899019.84</v>
      </c>
      <c r="I13" s="780">
        <v>10951252.41</v>
      </c>
      <c r="J13" s="781">
        <v>11303827.66</v>
      </c>
      <c r="K13" s="782">
        <v>13181573.25</v>
      </c>
      <c r="L13" s="783">
        <v>17648079.600000001</v>
      </c>
      <c r="M13" s="784">
        <v>18641573.690000001</v>
      </c>
      <c r="N13" s="785">
        <v>9965389.1699999999</v>
      </c>
      <c r="O13" s="786">
        <v>10944845.09</v>
      </c>
      <c r="P13" s="787">
        <v>11645573.119999999</v>
      </c>
      <c r="Q13" s="788">
        <v>13934906.949999999</v>
      </c>
      <c r="R13" s="778">
        <v>12898869.82</v>
      </c>
      <c r="S13" s="780">
        <f t="shared" si="0"/>
        <v>12528711.671250001</v>
      </c>
      <c r="T13" s="754"/>
      <c r="U13" s="789"/>
      <c r="V13" s="789"/>
      <c r="W13" s="790">
        <f>S13</f>
        <v>12528711.671250001</v>
      </c>
      <c r="X13" s="789"/>
      <c r="Y13" s="767"/>
      <c r="Z13" s="767"/>
    </row>
    <row r="14" spans="1:26">
      <c r="A14" s="774"/>
      <c r="B14" s="774"/>
      <c r="C14" s="775">
        <v>5</v>
      </c>
      <c r="D14" s="776"/>
      <c r="E14" s="777"/>
      <c r="F14" s="791"/>
      <c r="G14" s="792"/>
      <c r="H14" s="793"/>
      <c r="I14" s="793"/>
      <c r="J14" s="794"/>
      <c r="K14" s="795"/>
      <c r="L14" s="796"/>
      <c r="M14" s="797"/>
      <c r="N14" s="798"/>
      <c r="O14" s="799"/>
      <c r="P14" s="800"/>
      <c r="Q14" s="801"/>
      <c r="R14" s="791"/>
      <c r="S14" s="780">
        <f t="shared" si="0"/>
        <v>0</v>
      </c>
      <c r="T14" s="754"/>
      <c r="U14" s="789"/>
      <c r="V14" s="789"/>
      <c r="W14" s="789"/>
      <c r="X14" s="789"/>
      <c r="Y14" s="767"/>
      <c r="Z14" s="767"/>
    </row>
    <row r="15" spans="1:26">
      <c r="A15" s="774"/>
      <c r="B15" s="774"/>
      <c r="C15" s="775">
        <v>6</v>
      </c>
      <c r="D15" s="776"/>
      <c r="E15" s="777" t="s">
        <v>416</v>
      </c>
      <c r="F15" s="802">
        <f>SUM(F11:F14)</f>
        <v>880740011.13999999</v>
      </c>
      <c r="G15" s="802">
        <f t="shared" ref="G15:S15" si="1">SUM(G11:G14)</f>
        <v>881317562.63999999</v>
      </c>
      <c r="H15" s="802">
        <f t="shared" si="1"/>
        <v>883987679.81000006</v>
      </c>
      <c r="I15" s="802">
        <f t="shared" si="1"/>
        <v>887206269.56999993</v>
      </c>
      <c r="J15" s="802">
        <f t="shared" si="1"/>
        <v>890488321.88999999</v>
      </c>
      <c r="K15" s="802">
        <f t="shared" si="1"/>
        <v>895406808.5999999</v>
      </c>
      <c r="L15" s="802">
        <f t="shared" si="1"/>
        <v>902629250.75999999</v>
      </c>
      <c r="M15" s="802">
        <f t="shared" si="1"/>
        <v>907341475.31000006</v>
      </c>
      <c r="N15" s="802">
        <f t="shared" si="1"/>
        <v>910786915.67999995</v>
      </c>
      <c r="O15" s="802">
        <f t="shared" si="1"/>
        <v>915609591.31000006</v>
      </c>
      <c r="P15" s="802">
        <f t="shared" si="1"/>
        <v>922623756.10000002</v>
      </c>
      <c r="Q15" s="802">
        <f t="shared" si="1"/>
        <v>927093603.34000015</v>
      </c>
      <c r="R15" s="802">
        <f t="shared" si="1"/>
        <v>935593433.73000002</v>
      </c>
      <c r="S15" s="802">
        <f t="shared" si="1"/>
        <v>902721496.4537499</v>
      </c>
      <c r="T15" s="754"/>
      <c r="U15" s="789"/>
      <c r="V15" s="789"/>
      <c r="W15" s="789"/>
      <c r="X15" s="789"/>
      <c r="Y15" s="767"/>
      <c r="Z15" s="767"/>
    </row>
    <row r="16" spans="1:26">
      <c r="A16" s="774"/>
      <c r="B16" s="774"/>
      <c r="C16" s="775">
        <v>7</v>
      </c>
      <c r="D16" s="776"/>
      <c r="E16" s="777"/>
      <c r="F16" s="791"/>
      <c r="G16" s="792"/>
      <c r="H16" s="793"/>
      <c r="I16" s="793"/>
      <c r="J16" s="794"/>
      <c r="K16" s="795"/>
      <c r="L16" s="796"/>
      <c r="M16" s="797"/>
      <c r="N16" s="798"/>
      <c r="O16" s="799"/>
      <c r="P16" s="800"/>
      <c r="Q16" s="801"/>
      <c r="R16" s="791"/>
      <c r="S16" s="780">
        <f t="shared" si="0"/>
        <v>0</v>
      </c>
      <c r="T16" s="754"/>
      <c r="U16" s="789"/>
      <c r="V16" s="789"/>
      <c r="W16" s="789"/>
      <c r="X16" s="789"/>
      <c r="Y16" s="767"/>
      <c r="Z16" s="767"/>
    </row>
    <row r="17" spans="1:26">
      <c r="A17" s="774" t="s">
        <v>417</v>
      </c>
      <c r="B17" s="774" t="s">
        <v>418</v>
      </c>
      <c r="C17" s="775">
        <v>8</v>
      </c>
      <c r="D17" s="776" t="str">
        <f>A17&amp;"."&amp;B17</f>
        <v>1082.8</v>
      </c>
      <c r="E17" s="803" t="s">
        <v>419</v>
      </c>
      <c r="F17" s="804">
        <v>686205.96</v>
      </c>
      <c r="G17" s="805">
        <v>829635.6</v>
      </c>
      <c r="H17" s="780">
        <v>771254.68</v>
      </c>
      <c r="I17" s="780">
        <v>524465.69999999995</v>
      </c>
      <c r="J17" s="804">
        <v>698101.21</v>
      </c>
      <c r="K17" s="804">
        <v>830365.63</v>
      </c>
      <c r="L17" s="804">
        <v>887437.96</v>
      </c>
      <c r="M17" s="804">
        <v>780282.77</v>
      </c>
      <c r="N17" s="804">
        <v>1016342.45</v>
      </c>
      <c r="O17" s="806">
        <v>906028.11</v>
      </c>
      <c r="P17" s="804">
        <v>908236.76</v>
      </c>
      <c r="Q17" s="804">
        <v>933863.07</v>
      </c>
      <c r="R17" s="804">
        <v>991503.47</v>
      </c>
      <c r="S17" s="780">
        <f t="shared" si="0"/>
        <v>827072.38791666657</v>
      </c>
      <c r="T17" s="754"/>
      <c r="U17" s="789"/>
      <c r="V17" s="789"/>
      <c r="W17" s="789"/>
      <c r="X17" s="789"/>
      <c r="Y17" s="767"/>
      <c r="Z17" s="767"/>
    </row>
    <row r="18" spans="1:26">
      <c r="A18" s="774" t="s">
        <v>417</v>
      </c>
      <c r="B18" s="774" t="s">
        <v>420</v>
      </c>
      <c r="C18" s="775">
        <v>9</v>
      </c>
      <c r="D18" s="776" t="str">
        <f>+A18</f>
        <v>1082</v>
      </c>
      <c r="E18" s="777" t="s">
        <v>421</v>
      </c>
      <c r="F18" s="778">
        <v>-297303622.94999999</v>
      </c>
      <c r="G18" s="779">
        <v>-298329288.63</v>
      </c>
      <c r="H18" s="780">
        <v>-299555161.89999998</v>
      </c>
      <c r="I18" s="780">
        <v>-300533506.98000002</v>
      </c>
      <c r="J18" s="781">
        <v>-301818176.24000001</v>
      </c>
      <c r="K18" s="782">
        <v>-303247549.05000001</v>
      </c>
      <c r="L18" s="783">
        <v>-304208502.81</v>
      </c>
      <c r="M18" s="784">
        <v>-305547368.5</v>
      </c>
      <c r="N18" s="785">
        <v>-306922056.56</v>
      </c>
      <c r="O18" s="786">
        <v>-308090549.82999998</v>
      </c>
      <c r="P18" s="787">
        <v>-309380893.37</v>
      </c>
      <c r="Q18" s="788">
        <v>-310725873.72000003</v>
      </c>
      <c r="R18" s="778">
        <v>-310640427.29000002</v>
      </c>
      <c r="S18" s="780">
        <f t="shared" si="0"/>
        <v>-304360912.72583336</v>
      </c>
      <c r="T18" s="754"/>
      <c r="U18" s="789"/>
      <c r="V18" s="789"/>
      <c r="W18" s="789"/>
      <c r="X18" s="789"/>
      <c r="Y18" s="767"/>
      <c r="Z18" s="767"/>
    </row>
    <row r="19" spans="1:26">
      <c r="A19" s="774" t="s">
        <v>422</v>
      </c>
      <c r="B19" s="774" t="s">
        <v>410</v>
      </c>
      <c r="C19" s="775">
        <v>10</v>
      </c>
      <c r="D19" s="776" t="str">
        <f>+A19</f>
        <v>1112</v>
      </c>
      <c r="E19" s="777" t="s">
        <v>423</v>
      </c>
      <c r="F19" s="807">
        <v>-8070827.1500000004</v>
      </c>
      <c r="G19" s="808">
        <v>-8314228.7599999998</v>
      </c>
      <c r="H19" s="809">
        <v>-8560523.9900000002</v>
      </c>
      <c r="I19" s="809">
        <v>-8770158.4000000004</v>
      </c>
      <c r="J19" s="810">
        <v>-9007056.4499999993</v>
      </c>
      <c r="K19" s="811">
        <v>-9243688.6899999995</v>
      </c>
      <c r="L19" s="812">
        <v>-9480361.2899999991</v>
      </c>
      <c r="M19" s="813">
        <v>-9701458.4700000007</v>
      </c>
      <c r="N19" s="814">
        <v>-9922555.6500000004</v>
      </c>
      <c r="O19" s="815">
        <v>-10143652.83</v>
      </c>
      <c r="P19" s="816">
        <v>-10365313.029999999</v>
      </c>
      <c r="Q19" s="817">
        <v>-10586166.609999999</v>
      </c>
      <c r="R19" s="807">
        <v>-10807311.550000001</v>
      </c>
      <c r="S19" s="780">
        <f t="shared" si="0"/>
        <v>-9461186.1266666651</v>
      </c>
      <c r="T19" s="754"/>
      <c r="U19" s="789"/>
      <c r="V19" s="789"/>
      <c r="W19" s="789"/>
      <c r="X19" s="789"/>
      <c r="Y19" s="767"/>
      <c r="Z19" s="767"/>
    </row>
    <row r="20" spans="1:26">
      <c r="A20" s="774" t="s">
        <v>424</v>
      </c>
      <c r="B20" s="774" t="s">
        <v>410</v>
      </c>
      <c r="C20" s="775">
        <v>11</v>
      </c>
      <c r="D20" s="774" t="str">
        <f>+A20</f>
        <v>1152</v>
      </c>
      <c r="E20" s="777" t="s">
        <v>425</v>
      </c>
      <c r="F20" s="818">
        <v>0</v>
      </c>
      <c r="G20" s="819">
        <v>0</v>
      </c>
      <c r="H20" s="820">
        <v>0</v>
      </c>
      <c r="I20" s="820">
        <v>0</v>
      </c>
      <c r="J20" s="821">
        <v>0</v>
      </c>
      <c r="K20" s="822">
        <v>0</v>
      </c>
      <c r="L20" s="823">
        <v>0</v>
      </c>
      <c r="M20" s="824">
        <v>0</v>
      </c>
      <c r="N20" s="825">
        <v>0</v>
      </c>
      <c r="O20" s="826">
        <v>0</v>
      </c>
      <c r="P20" s="827">
        <v>0</v>
      </c>
      <c r="Q20" s="828">
        <v>0</v>
      </c>
      <c r="R20" s="818">
        <v>0</v>
      </c>
      <c r="S20" s="780">
        <f t="shared" si="0"/>
        <v>0</v>
      </c>
      <c r="T20" s="754"/>
      <c r="U20" s="789"/>
      <c r="V20" s="789"/>
      <c r="W20" s="789"/>
      <c r="X20" s="789"/>
      <c r="Y20" s="767"/>
      <c r="Z20" s="767"/>
    </row>
    <row r="21" spans="1:26">
      <c r="A21" s="774"/>
      <c r="B21" s="774"/>
      <c r="C21" s="775">
        <v>12</v>
      </c>
      <c r="D21" s="776"/>
      <c r="E21" s="777" t="s">
        <v>426</v>
      </c>
      <c r="F21" s="829">
        <f>SUM(F17:F20)</f>
        <v>-304688244.13999999</v>
      </c>
      <c r="G21" s="829">
        <f t="shared" ref="G21:S21" si="2">SUM(G17:G20)</f>
        <v>-305813881.78999996</v>
      </c>
      <c r="H21" s="829">
        <f t="shared" si="2"/>
        <v>-307344431.20999998</v>
      </c>
      <c r="I21" s="829">
        <f t="shared" si="2"/>
        <v>-308779199.68000001</v>
      </c>
      <c r="J21" s="829">
        <f t="shared" si="2"/>
        <v>-310127131.48000002</v>
      </c>
      <c r="K21" s="829">
        <f t="shared" si="2"/>
        <v>-311660872.11000001</v>
      </c>
      <c r="L21" s="829">
        <f t="shared" si="2"/>
        <v>-312801426.14000005</v>
      </c>
      <c r="M21" s="829">
        <f t="shared" si="2"/>
        <v>-314468544.20000005</v>
      </c>
      <c r="N21" s="829">
        <f t="shared" si="2"/>
        <v>-315828269.75999999</v>
      </c>
      <c r="O21" s="829">
        <f t="shared" si="2"/>
        <v>-317328174.54999995</v>
      </c>
      <c r="P21" s="829">
        <f t="shared" si="2"/>
        <v>-318837969.63999999</v>
      </c>
      <c r="Q21" s="829">
        <f t="shared" si="2"/>
        <v>-320378177.26000005</v>
      </c>
      <c r="R21" s="829">
        <f t="shared" si="2"/>
        <v>-320456235.37</v>
      </c>
      <c r="S21" s="829">
        <f t="shared" si="2"/>
        <v>-312995026.46458334</v>
      </c>
      <c r="T21" s="754"/>
      <c r="U21" s="789"/>
      <c r="V21" s="790"/>
      <c r="W21" s="789"/>
      <c r="X21" s="789"/>
      <c r="Y21" s="767"/>
      <c r="Z21" s="767"/>
    </row>
    <row r="22" spans="1:26">
      <c r="A22" s="774"/>
      <c r="B22" s="774"/>
      <c r="C22" s="775">
        <v>13</v>
      </c>
      <c r="D22" s="776"/>
      <c r="E22" s="777"/>
      <c r="F22" s="791"/>
      <c r="G22" s="792"/>
      <c r="H22" s="793"/>
      <c r="I22" s="793"/>
      <c r="J22" s="794"/>
      <c r="K22" s="795"/>
      <c r="L22" s="796"/>
      <c r="M22" s="797"/>
      <c r="N22" s="798"/>
      <c r="O22" s="799"/>
      <c r="P22" s="800"/>
      <c r="Q22" s="801"/>
      <c r="R22" s="791"/>
      <c r="S22" s="780">
        <f t="shared" si="0"/>
        <v>0</v>
      </c>
      <c r="T22" s="754"/>
      <c r="U22" s="789"/>
      <c r="V22" s="789"/>
      <c r="W22" s="789"/>
      <c r="X22" s="789"/>
      <c r="Y22" s="767"/>
      <c r="Z22" s="767"/>
    </row>
    <row r="23" spans="1:26">
      <c r="A23" s="774" t="s">
        <v>427</v>
      </c>
      <c r="B23" s="774" t="s">
        <v>410</v>
      </c>
      <c r="C23" s="775">
        <v>14</v>
      </c>
      <c r="D23" s="776" t="str">
        <f>+A23</f>
        <v>1087</v>
      </c>
      <c r="E23" s="777" t="s">
        <v>428</v>
      </c>
      <c r="F23" s="778">
        <v>-3106488.9199999701</v>
      </c>
      <c r="G23" s="779">
        <v>-3114831.04</v>
      </c>
      <c r="H23" s="780">
        <v>-3129854.48</v>
      </c>
      <c r="I23" s="780">
        <v>-3101719.66</v>
      </c>
      <c r="J23" s="781">
        <v>-3114986.65</v>
      </c>
      <c r="K23" s="782">
        <v>-3126477.53</v>
      </c>
      <c r="L23" s="783">
        <v>-3141437.98</v>
      </c>
      <c r="M23" s="784">
        <v>-3157143.28</v>
      </c>
      <c r="N23" s="785">
        <v>-3164800.94</v>
      </c>
      <c r="O23" s="786">
        <v>-3176368.87</v>
      </c>
      <c r="P23" s="787">
        <v>-3178448.47</v>
      </c>
      <c r="Q23" s="788">
        <v>-3184113.82</v>
      </c>
      <c r="R23" s="778">
        <v>-3251382.2</v>
      </c>
      <c r="S23" s="780">
        <f t="shared" si="0"/>
        <v>-3147426.523333332</v>
      </c>
      <c r="T23" s="754"/>
      <c r="U23" s="789"/>
      <c r="V23" s="789"/>
      <c r="W23" s="789"/>
      <c r="X23" s="789"/>
      <c r="Y23" s="767"/>
      <c r="Z23" s="767"/>
    </row>
    <row r="24" spans="1:26">
      <c r="A24" s="774" t="s">
        <v>1006</v>
      </c>
      <c r="B24" s="774" t="s">
        <v>410</v>
      </c>
      <c r="C24" s="775">
        <v>15</v>
      </c>
      <c r="D24" s="776" t="str">
        <f>+A24</f>
        <v>1088</v>
      </c>
      <c r="E24" s="778" t="s">
        <v>1007</v>
      </c>
      <c r="F24" s="778">
        <v>-124586801</v>
      </c>
      <c r="G24" s="779">
        <v>-124938981.86</v>
      </c>
      <c r="H24" s="780">
        <v>-125253035.84999999</v>
      </c>
      <c r="I24" s="780">
        <v>-125305836.09999999</v>
      </c>
      <c r="J24" s="781">
        <v>-125700569.34</v>
      </c>
      <c r="K24" s="782">
        <v>-126092534.17</v>
      </c>
      <c r="L24" s="783">
        <v>-126397292.31</v>
      </c>
      <c r="M24" s="784">
        <v>-126779418.34</v>
      </c>
      <c r="N24" s="785">
        <v>-127152785.67</v>
      </c>
      <c r="O24" s="786">
        <v>-127377044.70999999</v>
      </c>
      <c r="P24" s="787">
        <v>-127747360.28</v>
      </c>
      <c r="Q24" s="788">
        <v>-128065696.11</v>
      </c>
      <c r="R24" s="778">
        <v>-129636963.91</v>
      </c>
      <c r="S24" s="780">
        <f t="shared" si="0"/>
        <v>-126493536.43291664</v>
      </c>
      <c r="T24" s="754"/>
      <c r="U24" s="789"/>
      <c r="V24" s="789"/>
      <c r="W24" s="789"/>
      <c r="X24" s="789"/>
      <c r="Y24" s="767"/>
      <c r="Z24" s="767"/>
    </row>
    <row r="25" spans="1:26">
      <c r="A25" s="774"/>
      <c r="B25" s="774"/>
      <c r="C25" s="775">
        <v>16</v>
      </c>
      <c r="D25" s="776"/>
      <c r="E25" s="777" t="s">
        <v>429</v>
      </c>
      <c r="F25" s="830">
        <f>+F23+F24</f>
        <v>-127693289.91999997</v>
      </c>
      <c r="G25" s="830">
        <f t="shared" ref="G25:S25" si="3">+G23+G24</f>
        <v>-128053812.90000001</v>
      </c>
      <c r="H25" s="830">
        <f t="shared" si="3"/>
        <v>-128382890.33</v>
      </c>
      <c r="I25" s="830">
        <f t="shared" si="3"/>
        <v>-128407555.75999999</v>
      </c>
      <c r="J25" s="830">
        <f t="shared" si="3"/>
        <v>-128815555.99000001</v>
      </c>
      <c r="K25" s="830">
        <f t="shared" si="3"/>
        <v>-129219011.7</v>
      </c>
      <c r="L25" s="830">
        <f t="shared" si="3"/>
        <v>-129538730.29000001</v>
      </c>
      <c r="M25" s="830">
        <f t="shared" si="3"/>
        <v>-129936561.62</v>
      </c>
      <c r="N25" s="830">
        <f t="shared" si="3"/>
        <v>-130317586.61</v>
      </c>
      <c r="O25" s="830">
        <f t="shared" si="3"/>
        <v>-130553413.58</v>
      </c>
      <c r="P25" s="830">
        <f t="shared" si="3"/>
        <v>-130925808.75</v>
      </c>
      <c r="Q25" s="830">
        <f t="shared" si="3"/>
        <v>-131249809.92999999</v>
      </c>
      <c r="R25" s="830">
        <f t="shared" si="3"/>
        <v>-132888346.11</v>
      </c>
      <c r="S25" s="830">
        <f t="shared" si="3"/>
        <v>-129640962.95624997</v>
      </c>
      <c r="T25" s="754"/>
      <c r="U25" s="789"/>
      <c r="V25" s="789"/>
      <c r="W25" s="789"/>
      <c r="X25" s="789"/>
      <c r="Y25" s="767"/>
      <c r="Z25" s="767"/>
    </row>
    <row r="26" spans="1:26">
      <c r="A26" s="774"/>
      <c r="B26" s="774"/>
      <c r="C26" s="775">
        <v>17</v>
      </c>
      <c r="D26" s="776"/>
      <c r="E26" s="777"/>
      <c r="F26" s="791"/>
      <c r="G26" s="792"/>
      <c r="H26" s="793"/>
      <c r="I26" s="793"/>
      <c r="J26" s="794"/>
      <c r="K26" s="795"/>
      <c r="L26" s="796"/>
      <c r="M26" s="797"/>
      <c r="N26" s="798"/>
      <c r="O26" s="799"/>
      <c r="P26" s="800"/>
      <c r="Q26" s="801"/>
      <c r="R26" s="791"/>
      <c r="S26" s="780">
        <f t="shared" si="0"/>
        <v>0</v>
      </c>
      <c r="T26" s="754"/>
      <c r="U26" s="789"/>
      <c r="V26" s="789"/>
      <c r="W26" s="789"/>
      <c r="X26" s="789"/>
      <c r="Y26" s="767"/>
      <c r="Z26" s="767"/>
    </row>
    <row r="27" spans="1:26">
      <c r="A27" s="774"/>
      <c r="B27" s="774"/>
      <c r="C27" s="775">
        <v>18</v>
      </c>
      <c r="D27" s="776"/>
      <c r="E27" s="777" t="s">
        <v>430</v>
      </c>
      <c r="F27" s="831">
        <f>+F25+F21</f>
        <v>-432381534.05999994</v>
      </c>
      <c r="G27" s="831">
        <f t="shared" ref="G27:S27" si="4">+G25+G21</f>
        <v>-433867694.68999994</v>
      </c>
      <c r="H27" s="831">
        <f t="shared" si="4"/>
        <v>-435727321.53999996</v>
      </c>
      <c r="I27" s="831">
        <f t="shared" si="4"/>
        <v>-437186755.44</v>
      </c>
      <c r="J27" s="831">
        <f t="shared" si="4"/>
        <v>-438942687.47000003</v>
      </c>
      <c r="K27" s="831">
        <f t="shared" si="4"/>
        <v>-440879883.81</v>
      </c>
      <c r="L27" s="831">
        <f t="shared" si="4"/>
        <v>-442340156.43000007</v>
      </c>
      <c r="M27" s="831">
        <f t="shared" si="4"/>
        <v>-444405105.82000005</v>
      </c>
      <c r="N27" s="831">
        <f t="shared" si="4"/>
        <v>-446145856.37</v>
      </c>
      <c r="O27" s="831">
        <f t="shared" si="4"/>
        <v>-447881588.12999994</v>
      </c>
      <c r="P27" s="831">
        <f t="shared" si="4"/>
        <v>-449763778.38999999</v>
      </c>
      <c r="Q27" s="831">
        <f t="shared" si="4"/>
        <v>-451627987.19000006</v>
      </c>
      <c r="R27" s="831">
        <f t="shared" si="4"/>
        <v>-453344581.48000002</v>
      </c>
      <c r="S27" s="831">
        <f t="shared" si="4"/>
        <v>-442635989.42083329</v>
      </c>
      <c r="T27" s="754"/>
      <c r="U27" s="789"/>
      <c r="V27" s="790">
        <f>S27</f>
        <v>-442635989.42083329</v>
      </c>
      <c r="W27" s="789"/>
      <c r="X27" s="789"/>
      <c r="Y27" s="767"/>
      <c r="Z27" s="767"/>
    </row>
    <row r="28" spans="1:26">
      <c r="A28" s="774"/>
      <c r="B28" s="774"/>
      <c r="C28" s="775">
        <v>19</v>
      </c>
      <c r="D28" s="776"/>
      <c r="E28" s="832"/>
      <c r="F28" s="833"/>
      <c r="G28" s="834"/>
      <c r="H28" s="835"/>
      <c r="I28" s="835"/>
      <c r="J28" s="836"/>
      <c r="K28" s="837"/>
      <c r="L28" s="838"/>
      <c r="M28" s="839"/>
      <c r="N28" s="840"/>
      <c r="O28" s="841"/>
      <c r="P28" s="842"/>
      <c r="Q28" s="843"/>
      <c r="R28" s="833"/>
      <c r="S28" s="780">
        <f t="shared" si="0"/>
        <v>0</v>
      </c>
      <c r="T28" s="754"/>
      <c r="U28" s="789"/>
      <c r="V28" s="789"/>
      <c r="W28" s="789"/>
      <c r="X28" s="789"/>
      <c r="Y28" s="767"/>
      <c r="Z28" s="767"/>
    </row>
    <row r="29" spans="1:26">
      <c r="A29" s="774"/>
      <c r="B29" s="774"/>
      <c r="C29" s="775">
        <v>20</v>
      </c>
      <c r="D29" s="776"/>
      <c r="E29" s="832" t="s">
        <v>431</v>
      </c>
      <c r="F29" s="844">
        <f>+F15+F27</f>
        <v>448358477.08000004</v>
      </c>
      <c r="G29" s="844">
        <f t="shared" ref="G29:S29" si="5">+G15+G27</f>
        <v>447449867.95000005</v>
      </c>
      <c r="H29" s="844">
        <f t="shared" si="5"/>
        <v>448260358.2700001</v>
      </c>
      <c r="I29" s="844">
        <f t="shared" si="5"/>
        <v>450019514.12999994</v>
      </c>
      <c r="J29" s="844">
        <f t="shared" si="5"/>
        <v>451545634.41999996</v>
      </c>
      <c r="K29" s="844">
        <f t="shared" si="5"/>
        <v>454526924.7899999</v>
      </c>
      <c r="L29" s="844">
        <f t="shared" si="5"/>
        <v>460289094.32999992</v>
      </c>
      <c r="M29" s="844">
        <f t="shared" si="5"/>
        <v>462936369.49000001</v>
      </c>
      <c r="N29" s="844">
        <f t="shared" si="5"/>
        <v>464641059.30999994</v>
      </c>
      <c r="O29" s="844">
        <f t="shared" si="5"/>
        <v>467728003.18000013</v>
      </c>
      <c r="P29" s="844">
        <f t="shared" si="5"/>
        <v>472859977.71000004</v>
      </c>
      <c r="Q29" s="844">
        <f t="shared" si="5"/>
        <v>475465616.1500001</v>
      </c>
      <c r="R29" s="844">
        <f t="shared" si="5"/>
        <v>482248852.25</v>
      </c>
      <c r="S29" s="844">
        <f t="shared" si="5"/>
        <v>460085507.03291661</v>
      </c>
      <c r="T29" s="754"/>
      <c r="U29" s="789"/>
      <c r="V29" s="789"/>
      <c r="W29" s="789"/>
      <c r="X29" s="789"/>
      <c r="Y29" s="767"/>
      <c r="Z29" s="767"/>
    </row>
    <row r="30" spans="1:26">
      <c r="A30" s="774"/>
      <c r="B30" s="774"/>
      <c r="C30" s="775">
        <v>21</v>
      </c>
      <c r="D30" s="776"/>
      <c r="E30" s="832"/>
      <c r="F30" s="791"/>
      <c r="G30" s="792"/>
      <c r="H30" s="793"/>
      <c r="I30" s="793"/>
      <c r="J30" s="794"/>
      <c r="K30" s="795"/>
      <c r="L30" s="796"/>
      <c r="M30" s="797"/>
      <c r="N30" s="798"/>
      <c r="O30" s="799"/>
      <c r="P30" s="800"/>
      <c r="Q30" s="801"/>
      <c r="R30" s="791"/>
      <c r="S30" s="780">
        <f t="shared" si="0"/>
        <v>0</v>
      </c>
      <c r="T30" s="754"/>
      <c r="U30" s="789"/>
      <c r="V30" s="789"/>
      <c r="W30" s="789"/>
      <c r="X30" s="789"/>
      <c r="Y30" s="767"/>
      <c r="Z30" s="767"/>
    </row>
    <row r="31" spans="1:26">
      <c r="A31" s="774" t="s">
        <v>432</v>
      </c>
      <c r="B31" s="774" t="s">
        <v>410</v>
      </c>
      <c r="C31" s="775">
        <v>22</v>
      </c>
      <c r="D31" s="776" t="str">
        <f>+A31</f>
        <v>1231</v>
      </c>
      <c r="E31" s="777" t="s">
        <v>433</v>
      </c>
      <c r="F31" s="778">
        <v>0</v>
      </c>
      <c r="G31" s="779">
        <v>0</v>
      </c>
      <c r="H31" s="780">
        <v>0</v>
      </c>
      <c r="I31" s="780">
        <v>0</v>
      </c>
      <c r="J31" s="781">
        <v>0</v>
      </c>
      <c r="K31" s="782">
        <v>0</v>
      </c>
      <c r="L31" s="783">
        <v>0</v>
      </c>
      <c r="M31" s="784">
        <v>0</v>
      </c>
      <c r="N31" s="785">
        <v>0</v>
      </c>
      <c r="O31" s="786">
        <v>0</v>
      </c>
      <c r="P31" s="787">
        <v>0</v>
      </c>
      <c r="Q31" s="788">
        <v>0</v>
      </c>
      <c r="R31" s="778">
        <v>0</v>
      </c>
      <c r="S31" s="780">
        <f t="shared" si="0"/>
        <v>0</v>
      </c>
      <c r="T31" s="754"/>
      <c r="U31" s="789"/>
      <c r="V31" s="789"/>
      <c r="W31" s="789"/>
      <c r="X31" s="789"/>
      <c r="Y31" s="767"/>
      <c r="Z31" s="767"/>
    </row>
    <row r="32" spans="1:26">
      <c r="A32" s="774"/>
      <c r="B32" s="774"/>
      <c r="C32" s="775">
        <v>23</v>
      </c>
      <c r="D32" s="776"/>
      <c r="E32" s="832"/>
      <c r="F32" s="791"/>
      <c r="G32" s="792"/>
      <c r="H32" s="793"/>
      <c r="I32" s="793"/>
      <c r="J32" s="794"/>
      <c r="K32" s="795"/>
      <c r="L32" s="796"/>
      <c r="M32" s="797"/>
      <c r="N32" s="798"/>
      <c r="O32" s="799"/>
      <c r="P32" s="800"/>
      <c r="Q32" s="801"/>
      <c r="R32" s="791"/>
      <c r="S32" s="780">
        <f t="shared" si="0"/>
        <v>0</v>
      </c>
      <c r="T32" s="754"/>
      <c r="U32" s="789"/>
      <c r="V32" s="789"/>
      <c r="W32" s="789"/>
      <c r="X32" s="789"/>
      <c r="Y32" s="767"/>
      <c r="Z32" s="767"/>
    </row>
    <row r="33" spans="1:26">
      <c r="A33" s="774"/>
      <c r="B33" s="774"/>
      <c r="C33" s="775">
        <v>24</v>
      </c>
      <c r="D33" s="776"/>
      <c r="E33" s="832" t="s">
        <v>434</v>
      </c>
      <c r="F33" s="802">
        <f>+F31</f>
        <v>0</v>
      </c>
      <c r="G33" s="845">
        <v>0</v>
      </c>
      <c r="H33" s="846">
        <v>0</v>
      </c>
      <c r="I33" s="846">
        <v>0</v>
      </c>
      <c r="J33" s="847">
        <v>0</v>
      </c>
      <c r="K33" s="848">
        <v>0</v>
      </c>
      <c r="L33" s="849">
        <v>0</v>
      </c>
      <c r="M33" s="850">
        <v>0</v>
      </c>
      <c r="N33" s="851">
        <v>0</v>
      </c>
      <c r="O33" s="852">
        <v>0</v>
      </c>
      <c r="P33" s="853">
        <v>0</v>
      </c>
      <c r="Q33" s="854">
        <v>0</v>
      </c>
      <c r="R33" s="802">
        <v>0</v>
      </c>
      <c r="S33" s="780">
        <f t="shared" si="0"/>
        <v>0</v>
      </c>
      <c r="T33" s="754"/>
      <c r="U33" s="789"/>
      <c r="V33" s="789"/>
      <c r="W33" s="789"/>
      <c r="X33" s="789"/>
      <c r="Y33" s="767"/>
      <c r="Z33" s="767"/>
    </row>
    <row r="34" spans="1:26">
      <c r="A34" s="774"/>
      <c r="B34" s="774"/>
      <c r="C34" s="775">
        <v>25</v>
      </c>
      <c r="D34" s="776"/>
      <c r="E34" s="832"/>
      <c r="F34" s="778"/>
      <c r="G34" s="779"/>
      <c r="H34" s="780"/>
      <c r="I34" s="780"/>
      <c r="J34" s="781"/>
      <c r="K34" s="782"/>
      <c r="L34" s="783"/>
      <c r="M34" s="784"/>
      <c r="N34" s="785"/>
      <c r="O34" s="786"/>
      <c r="P34" s="787"/>
      <c r="Q34" s="788"/>
      <c r="R34" s="778"/>
      <c r="S34" s="780">
        <f t="shared" si="0"/>
        <v>0</v>
      </c>
      <c r="T34" s="754"/>
      <c r="U34" s="789"/>
      <c r="V34" s="789"/>
      <c r="W34" s="789"/>
      <c r="X34" s="789"/>
      <c r="Y34" s="767"/>
      <c r="Z34" s="767"/>
    </row>
    <row r="35" spans="1:26">
      <c r="A35" s="774" t="s">
        <v>435</v>
      </c>
      <c r="B35" s="774" t="s">
        <v>410</v>
      </c>
      <c r="C35" s="775">
        <v>26</v>
      </c>
      <c r="D35" s="776" t="s">
        <v>436</v>
      </c>
      <c r="E35" s="777" t="s">
        <v>437</v>
      </c>
      <c r="F35" s="778">
        <v>10440344.33</v>
      </c>
      <c r="G35" s="779">
        <v>10405591.74</v>
      </c>
      <c r="H35" s="780">
        <v>10429989.75</v>
      </c>
      <c r="I35" s="780">
        <v>10572999.300000001</v>
      </c>
      <c r="J35" s="781">
        <v>10589120.779999999</v>
      </c>
      <c r="K35" s="782">
        <v>10617181.02</v>
      </c>
      <c r="L35" s="783">
        <v>10713771.609999999</v>
      </c>
      <c r="M35" s="784">
        <v>10797331.810000001</v>
      </c>
      <c r="N35" s="785">
        <v>10792682.289999999</v>
      </c>
      <c r="O35" s="786">
        <v>10946112.279999999</v>
      </c>
      <c r="P35" s="787">
        <v>10858631.279999999</v>
      </c>
      <c r="Q35" s="788">
        <v>10843104.140000001</v>
      </c>
      <c r="R35" s="778">
        <v>10932832.17</v>
      </c>
      <c r="S35" s="780">
        <f t="shared" si="0"/>
        <v>10687758.687500002</v>
      </c>
      <c r="T35" s="754"/>
      <c r="U35" s="789"/>
      <c r="V35" s="789"/>
      <c r="W35" s="790">
        <f>S35</f>
        <v>10687758.687500002</v>
      </c>
      <c r="X35" s="790"/>
      <c r="Y35" s="767"/>
      <c r="Z35" s="767"/>
    </row>
    <row r="36" spans="1:26">
      <c r="A36" s="774" t="s">
        <v>438</v>
      </c>
      <c r="B36" s="774" t="s">
        <v>410</v>
      </c>
      <c r="C36" s="775">
        <v>27</v>
      </c>
      <c r="D36" s="776" t="str">
        <f>+A36</f>
        <v>1210</v>
      </c>
      <c r="E36" s="777" t="s">
        <v>439</v>
      </c>
      <c r="F36" s="778">
        <v>202030.18</v>
      </c>
      <c r="G36" s="779">
        <v>202030.18</v>
      </c>
      <c r="H36" s="780">
        <v>202030.18</v>
      </c>
      <c r="I36" s="780">
        <v>202030.18</v>
      </c>
      <c r="J36" s="781">
        <v>202030.18</v>
      </c>
      <c r="K36" s="782">
        <v>202030.18</v>
      </c>
      <c r="L36" s="783">
        <v>202030.18</v>
      </c>
      <c r="M36" s="784">
        <v>202030.18</v>
      </c>
      <c r="N36" s="785">
        <v>202030.18</v>
      </c>
      <c r="O36" s="786">
        <v>202030.18</v>
      </c>
      <c r="P36" s="787">
        <v>202030.18</v>
      </c>
      <c r="Q36" s="788">
        <v>202030.18</v>
      </c>
      <c r="R36" s="778">
        <v>202030.18</v>
      </c>
      <c r="S36" s="780">
        <f t="shared" si="0"/>
        <v>202030.17999999996</v>
      </c>
      <c r="T36" s="754"/>
      <c r="U36" s="789"/>
      <c r="V36" s="789"/>
      <c r="W36" s="790">
        <f>S36</f>
        <v>202030.17999999996</v>
      </c>
      <c r="X36" s="789"/>
      <c r="Y36" s="767"/>
      <c r="Z36" s="767"/>
    </row>
    <row r="37" spans="1:26">
      <c r="A37" s="774" t="s">
        <v>440</v>
      </c>
      <c r="B37" s="774" t="s">
        <v>410</v>
      </c>
      <c r="C37" s="775">
        <v>28</v>
      </c>
      <c r="D37" s="776" t="str">
        <f>+A37</f>
        <v>1220</v>
      </c>
      <c r="E37" s="777" t="s">
        <v>441</v>
      </c>
      <c r="F37" s="778">
        <v>0</v>
      </c>
      <c r="G37" s="779">
        <v>0</v>
      </c>
      <c r="H37" s="780">
        <v>0</v>
      </c>
      <c r="I37" s="780">
        <v>0</v>
      </c>
      <c r="J37" s="781">
        <v>0</v>
      </c>
      <c r="K37" s="782">
        <v>0</v>
      </c>
      <c r="L37" s="783">
        <v>0</v>
      </c>
      <c r="M37" s="784">
        <v>0</v>
      </c>
      <c r="N37" s="785">
        <v>0</v>
      </c>
      <c r="O37" s="786">
        <v>0</v>
      </c>
      <c r="P37" s="787">
        <v>0</v>
      </c>
      <c r="Q37" s="788">
        <v>0</v>
      </c>
      <c r="R37" s="778">
        <v>0</v>
      </c>
      <c r="S37" s="780">
        <f t="shared" si="0"/>
        <v>0</v>
      </c>
      <c r="T37" s="754"/>
      <c r="U37" s="789"/>
      <c r="V37" s="789"/>
      <c r="W37" s="789"/>
      <c r="X37" s="789"/>
      <c r="Y37" s="767"/>
      <c r="Z37" s="767"/>
    </row>
    <row r="38" spans="1:26">
      <c r="A38" s="774"/>
      <c r="B38" s="774"/>
      <c r="C38" s="775">
        <v>29</v>
      </c>
      <c r="D38" s="776"/>
      <c r="E38" s="832"/>
      <c r="F38" s="791"/>
      <c r="G38" s="792"/>
      <c r="H38" s="793"/>
      <c r="I38" s="793"/>
      <c r="J38" s="794"/>
      <c r="K38" s="795"/>
      <c r="L38" s="796"/>
      <c r="M38" s="797"/>
      <c r="N38" s="798"/>
      <c r="O38" s="799"/>
      <c r="P38" s="800"/>
      <c r="Q38" s="801"/>
      <c r="R38" s="791"/>
      <c r="S38" s="780">
        <f t="shared" si="0"/>
        <v>0</v>
      </c>
      <c r="T38" s="754"/>
      <c r="U38" s="789"/>
      <c r="V38" s="789"/>
      <c r="W38" s="789"/>
      <c r="X38" s="789"/>
      <c r="Y38" s="767"/>
      <c r="Z38" s="767"/>
    </row>
    <row r="39" spans="1:26">
      <c r="A39" s="774"/>
      <c r="B39" s="774"/>
      <c r="C39" s="775">
        <v>30</v>
      </c>
      <c r="D39" s="776"/>
      <c r="E39" s="832" t="s">
        <v>442</v>
      </c>
      <c r="F39" s="802">
        <f>SUM(F35:F37)</f>
        <v>10642374.51</v>
      </c>
      <c r="G39" s="802">
        <f t="shared" ref="G39:S39" si="6">SUM(G35:G37)</f>
        <v>10607621.92</v>
      </c>
      <c r="H39" s="802">
        <f t="shared" si="6"/>
        <v>10632019.93</v>
      </c>
      <c r="I39" s="802">
        <f t="shared" si="6"/>
        <v>10775029.48</v>
      </c>
      <c r="J39" s="802">
        <f t="shared" si="6"/>
        <v>10791150.959999999</v>
      </c>
      <c r="K39" s="802">
        <f t="shared" si="6"/>
        <v>10819211.199999999</v>
      </c>
      <c r="L39" s="802">
        <f t="shared" si="6"/>
        <v>10915801.789999999</v>
      </c>
      <c r="M39" s="802">
        <f t="shared" si="6"/>
        <v>10999361.99</v>
      </c>
      <c r="N39" s="802">
        <f t="shared" si="6"/>
        <v>10994712.469999999</v>
      </c>
      <c r="O39" s="802">
        <f t="shared" si="6"/>
        <v>11148142.459999999</v>
      </c>
      <c r="P39" s="802">
        <f t="shared" si="6"/>
        <v>11060661.459999999</v>
      </c>
      <c r="Q39" s="802">
        <f t="shared" si="6"/>
        <v>11045134.32</v>
      </c>
      <c r="R39" s="802">
        <f t="shared" si="6"/>
        <v>11134862.35</v>
      </c>
      <c r="S39" s="802">
        <f t="shared" si="6"/>
        <v>10889788.867500002</v>
      </c>
      <c r="T39" s="754"/>
      <c r="U39" s="789"/>
      <c r="V39" s="789"/>
      <c r="W39" s="790"/>
      <c r="X39" s="789"/>
      <c r="Y39" s="767"/>
      <c r="Z39" s="767"/>
    </row>
    <row r="40" spans="1:26">
      <c r="A40" s="774"/>
      <c r="B40" s="774"/>
      <c r="C40" s="775">
        <v>31</v>
      </c>
      <c r="D40" s="776"/>
      <c r="E40" s="832"/>
      <c r="F40" s="778"/>
      <c r="G40" s="779"/>
      <c r="H40" s="780"/>
      <c r="I40" s="780"/>
      <c r="J40" s="781"/>
      <c r="K40" s="782"/>
      <c r="L40" s="783"/>
      <c r="M40" s="784"/>
      <c r="N40" s="785"/>
      <c r="O40" s="786"/>
      <c r="P40" s="787"/>
      <c r="Q40" s="788"/>
      <c r="R40" s="778"/>
      <c r="S40" s="780">
        <f t="shared" si="0"/>
        <v>0</v>
      </c>
      <c r="T40" s="754"/>
      <c r="U40" s="789"/>
      <c r="V40" s="789"/>
      <c r="W40" s="789"/>
      <c r="X40" s="789"/>
      <c r="Y40" s="767"/>
      <c r="Z40" s="767"/>
    </row>
    <row r="41" spans="1:26">
      <c r="A41" s="774" t="s">
        <v>443</v>
      </c>
      <c r="B41" s="774" t="s">
        <v>410</v>
      </c>
      <c r="C41" s="775">
        <v>32</v>
      </c>
      <c r="D41" s="776">
        <v>0</v>
      </c>
      <c r="E41" s="777" t="s">
        <v>444</v>
      </c>
      <c r="F41" s="778">
        <v>31796378.109999999</v>
      </c>
      <c r="G41" s="779">
        <v>33637701.130000003</v>
      </c>
      <c r="H41" s="780">
        <v>44807487.329999998</v>
      </c>
      <c r="I41" s="780">
        <v>52398976.439999998</v>
      </c>
      <c r="J41" s="781">
        <v>49576190.109999999</v>
      </c>
      <c r="K41" s="782">
        <v>48951604.280000001</v>
      </c>
      <c r="L41" s="783">
        <v>45625476.759999998</v>
      </c>
      <c r="M41" s="784">
        <v>37997660.950000003</v>
      </c>
      <c r="N41" s="785">
        <v>29727244.120000001</v>
      </c>
      <c r="O41" s="786">
        <v>20012518.899999999</v>
      </c>
      <c r="P41" s="787">
        <v>15883490.439999999</v>
      </c>
      <c r="Q41" s="788">
        <v>8440571.4900000002</v>
      </c>
      <c r="R41" s="778">
        <v>3539112.52</v>
      </c>
      <c r="S41" s="780">
        <f t="shared" si="0"/>
        <v>33727222.272083335</v>
      </c>
      <c r="T41" s="754"/>
      <c r="U41" s="789"/>
      <c r="V41" s="789"/>
      <c r="W41" s="789"/>
      <c r="X41" s="789"/>
      <c r="Y41" s="767"/>
      <c r="Z41" s="767"/>
    </row>
    <row r="42" spans="1:26">
      <c r="A42" s="774" t="s">
        <v>445</v>
      </c>
      <c r="B42" s="774" t="s">
        <v>446</v>
      </c>
      <c r="C42" s="775">
        <v>33</v>
      </c>
      <c r="D42" s="776" t="str">
        <f>A42&amp;"."&amp;B42</f>
        <v>1340.1*</v>
      </c>
      <c r="E42" s="777" t="s">
        <v>447</v>
      </c>
      <c r="F42" s="778">
        <v>0</v>
      </c>
      <c r="G42" s="779">
        <v>0</v>
      </c>
      <c r="H42" s="780">
        <v>0</v>
      </c>
      <c r="I42" s="780">
        <v>0</v>
      </c>
      <c r="J42" s="781">
        <v>0</v>
      </c>
      <c r="K42" s="782">
        <v>0</v>
      </c>
      <c r="L42" s="783">
        <v>0</v>
      </c>
      <c r="M42" s="784">
        <v>0</v>
      </c>
      <c r="N42" s="785">
        <v>0</v>
      </c>
      <c r="O42" s="786">
        <v>0</v>
      </c>
      <c r="P42" s="787">
        <v>0</v>
      </c>
      <c r="Q42" s="788">
        <v>0</v>
      </c>
      <c r="R42" s="778">
        <v>0</v>
      </c>
      <c r="S42" s="780">
        <f t="shared" si="0"/>
        <v>0</v>
      </c>
      <c r="T42" s="754"/>
      <c r="U42" s="789"/>
      <c r="V42" s="789"/>
      <c r="W42" s="789"/>
      <c r="X42" s="789"/>
      <c r="Y42" s="767"/>
      <c r="Z42" s="767"/>
    </row>
    <row r="43" spans="1:26">
      <c r="A43" s="774" t="s">
        <v>448</v>
      </c>
      <c r="B43" s="774" t="s">
        <v>410</v>
      </c>
      <c r="C43" s="775">
        <v>34</v>
      </c>
      <c r="D43" s="776" t="str">
        <f>+A43</f>
        <v>1350</v>
      </c>
      <c r="E43" s="777" t="s">
        <v>449</v>
      </c>
      <c r="F43" s="807">
        <v>2700</v>
      </c>
      <c r="G43" s="779">
        <v>2700</v>
      </c>
      <c r="H43" s="809">
        <v>2700</v>
      </c>
      <c r="I43" s="809">
        <v>2700</v>
      </c>
      <c r="J43" s="810">
        <v>2700</v>
      </c>
      <c r="K43" s="811">
        <v>2700</v>
      </c>
      <c r="L43" s="812">
        <v>2700</v>
      </c>
      <c r="M43" s="813">
        <v>2700</v>
      </c>
      <c r="N43" s="814">
        <v>2700</v>
      </c>
      <c r="O43" s="815">
        <v>2700</v>
      </c>
      <c r="P43" s="816">
        <v>2700</v>
      </c>
      <c r="Q43" s="788">
        <v>2700</v>
      </c>
      <c r="R43" s="807">
        <v>2750</v>
      </c>
      <c r="S43" s="780">
        <f t="shared" si="0"/>
        <v>2702.0833333333335</v>
      </c>
      <c r="T43" s="754"/>
      <c r="U43" s="789"/>
      <c r="V43" s="789"/>
      <c r="W43" s="789"/>
      <c r="X43" s="789"/>
      <c r="Y43" s="767"/>
      <c r="Z43" s="767"/>
    </row>
    <row r="44" spans="1:26">
      <c r="A44" s="774"/>
      <c r="B44" s="774"/>
      <c r="C44" s="775">
        <v>35</v>
      </c>
      <c r="D44" s="776"/>
      <c r="E44" s="832"/>
      <c r="F44" s="791"/>
      <c r="G44" s="792"/>
      <c r="H44" s="793"/>
      <c r="I44" s="793"/>
      <c r="J44" s="794"/>
      <c r="K44" s="795"/>
      <c r="L44" s="796"/>
      <c r="M44" s="797"/>
      <c r="N44" s="798"/>
      <c r="O44" s="799"/>
      <c r="P44" s="800"/>
      <c r="Q44" s="801"/>
      <c r="R44" s="791"/>
      <c r="S44" s="780">
        <f t="shared" si="0"/>
        <v>0</v>
      </c>
      <c r="T44" s="754"/>
      <c r="U44" s="789"/>
      <c r="V44" s="789"/>
      <c r="W44" s="789"/>
      <c r="X44" s="789"/>
      <c r="Y44" s="767"/>
      <c r="Z44" s="767"/>
    </row>
    <row r="45" spans="1:26">
      <c r="A45" s="774"/>
      <c r="B45" s="774"/>
      <c r="C45" s="775">
        <v>36</v>
      </c>
      <c r="D45" s="776"/>
      <c r="E45" s="832" t="s">
        <v>450</v>
      </c>
      <c r="F45" s="802">
        <f>SUM(F41:F43)</f>
        <v>31799078.109999999</v>
      </c>
      <c r="G45" s="802">
        <f t="shared" ref="G45:S45" si="7">SUM(G41:G43)</f>
        <v>33640401.130000003</v>
      </c>
      <c r="H45" s="802">
        <f t="shared" si="7"/>
        <v>44810187.329999998</v>
      </c>
      <c r="I45" s="802">
        <f t="shared" si="7"/>
        <v>52401676.439999998</v>
      </c>
      <c r="J45" s="802">
        <f t="shared" si="7"/>
        <v>49578890.109999999</v>
      </c>
      <c r="K45" s="802">
        <f t="shared" si="7"/>
        <v>48954304.280000001</v>
      </c>
      <c r="L45" s="802">
        <f t="shared" si="7"/>
        <v>45628176.759999998</v>
      </c>
      <c r="M45" s="802">
        <f t="shared" si="7"/>
        <v>38000360.950000003</v>
      </c>
      <c r="N45" s="802">
        <f t="shared" si="7"/>
        <v>29729944.120000001</v>
      </c>
      <c r="O45" s="802">
        <f t="shared" si="7"/>
        <v>20015218.899999999</v>
      </c>
      <c r="P45" s="802">
        <f t="shared" si="7"/>
        <v>15886190.439999999</v>
      </c>
      <c r="Q45" s="802">
        <f t="shared" si="7"/>
        <v>8443271.4900000002</v>
      </c>
      <c r="R45" s="802">
        <f t="shared" si="7"/>
        <v>3541862.52</v>
      </c>
      <c r="S45" s="802">
        <f t="shared" si="7"/>
        <v>33729924.35541667</v>
      </c>
      <c r="T45" s="754"/>
      <c r="U45" s="789"/>
      <c r="V45" s="789"/>
      <c r="W45" s="789"/>
      <c r="X45" s="790">
        <f>S45</f>
        <v>33729924.35541667</v>
      </c>
      <c r="Y45" s="767"/>
      <c r="Z45" s="767"/>
    </row>
    <row r="46" spans="1:26">
      <c r="A46" s="774"/>
      <c r="B46" s="774"/>
      <c r="C46" s="775">
        <v>37</v>
      </c>
      <c r="D46" s="776"/>
      <c r="E46" s="832"/>
      <c r="F46" s="778"/>
      <c r="G46" s="779"/>
      <c r="H46" s="780"/>
      <c r="I46" s="780"/>
      <c r="J46" s="781"/>
      <c r="K46" s="782"/>
      <c r="L46" s="783"/>
      <c r="M46" s="784"/>
      <c r="N46" s="785"/>
      <c r="O46" s="786"/>
      <c r="P46" s="787"/>
      <c r="Q46" s="788"/>
      <c r="R46" s="778"/>
      <c r="S46" s="780">
        <f t="shared" si="0"/>
        <v>0</v>
      </c>
      <c r="T46" s="754"/>
      <c r="U46" s="789"/>
      <c r="V46" s="789"/>
      <c r="W46" s="789"/>
      <c r="X46" s="789"/>
      <c r="Y46" s="767"/>
      <c r="Z46" s="767"/>
    </row>
    <row r="47" spans="1:26">
      <c r="A47" s="774" t="s">
        <v>451</v>
      </c>
      <c r="B47" s="774" t="s">
        <v>410</v>
      </c>
      <c r="C47" s="775">
        <v>38</v>
      </c>
      <c r="D47" s="776" t="str">
        <f>+A47</f>
        <v>1360</v>
      </c>
      <c r="E47" s="777" t="s">
        <v>452</v>
      </c>
      <c r="F47" s="778">
        <v>0</v>
      </c>
      <c r="G47" s="779">
        <v>0</v>
      </c>
      <c r="H47" s="780">
        <v>0</v>
      </c>
      <c r="I47" s="780">
        <v>0</v>
      </c>
      <c r="J47" s="781">
        <v>0</v>
      </c>
      <c r="K47" s="782">
        <v>0</v>
      </c>
      <c r="L47" s="783">
        <v>0</v>
      </c>
      <c r="M47" s="784">
        <v>0</v>
      </c>
      <c r="N47" s="785">
        <v>0</v>
      </c>
      <c r="O47" s="786">
        <v>0</v>
      </c>
      <c r="P47" s="787">
        <v>0</v>
      </c>
      <c r="Q47" s="788">
        <v>0</v>
      </c>
      <c r="R47" s="778">
        <v>0</v>
      </c>
      <c r="S47" s="780">
        <f t="shared" si="0"/>
        <v>0</v>
      </c>
      <c r="T47" s="754"/>
      <c r="U47" s="789"/>
      <c r="V47" s="789"/>
      <c r="W47" s="789"/>
      <c r="X47" s="789"/>
      <c r="Y47" s="767"/>
      <c r="Z47" s="767"/>
    </row>
    <row r="48" spans="1:26">
      <c r="A48" s="774"/>
      <c r="B48" s="774"/>
      <c r="C48" s="775">
        <v>39</v>
      </c>
      <c r="D48" s="776"/>
      <c r="E48" s="832"/>
      <c r="F48" s="791"/>
      <c r="G48" s="792"/>
      <c r="H48" s="793"/>
      <c r="I48" s="793"/>
      <c r="J48" s="794"/>
      <c r="K48" s="795"/>
      <c r="L48" s="796"/>
      <c r="M48" s="797"/>
      <c r="N48" s="798"/>
      <c r="O48" s="799"/>
      <c r="P48" s="800"/>
      <c r="Q48" s="801"/>
      <c r="R48" s="791"/>
      <c r="S48" s="780">
        <f t="shared" si="0"/>
        <v>0</v>
      </c>
      <c r="T48" s="754"/>
      <c r="U48" s="789"/>
      <c r="V48" s="789"/>
      <c r="W48" s="789"/>
      <c r="X48" s="789"/>
      <c r="Y48" s="767"/>
      <c r="Z48" s="767"/>
    </row>
    <row r="49" spans="1:26">
      <c r="A49" s="774"/>
      <c r="B49" s="774"/>
      <c r="C49" s="775">
        <v>40</v>
      </c>
      <c r="D49" s="776"/>
      <c r="E49" s="832" t="s">
        <v>453</v>
      </c>
      <c r="F49" s="802">
        <f>+F47</f>
        <v>0</v>
      </c>
      <c r="G49" s="802">
        <f t="shared" ref="G49:S49" si="8">+G47</f>
        <v>0</v>
      </c>
      <c r="H49" s="802">
        <f t="shared" si="8"/>
        <v>0</v>
      </c>
      <c r="I49" s="802">
        <f t="shared" si="8"/>
        <v>0</v>
      </c>
      <c r="J49" s="802">
        <f t="shared" si="8"/>
        <v>0</v>
      </c>
      <c r="K49" s="802">
        <f t="shared" si="8"/>
        <v>0</v>
      </c>
      <c r="L49" s="802">
        <f t="shared" si="8"/>
        <v>0</v>
      </c>
      <c r="M49" s="802">
        <f t="shared" si="8"/>
        <v>0</v>
      </c>
      <c r="N49" s="802">
        <f t="shared" si="8"/>
        <v>0</v>
      </c>
      <c r="O49" s="802">
        <f t="shared" si="8"/>
        <v>0</v>
      </c>
      <c r="P49" s="802">
        <f t="shared" si="8"/>
        <v>0</v>
      </c>
      <c r="Q49" s="802">
        <f t="shared" si="8"/>
        <v>0</v>
      </c>
      <c r="R49" s="802">
        <f t="shared" si="8"/>
        <v>0</v>
      </c>
      <c r="S49" s="802">
        <f t="shared" si="8"/>
        <v>0</v>
      </c>
      <c r="T49" s="754"/>
      <c r="U49" s="789"/>
      <c r="V49" s="789"/>
      <c r="W49" s="789"/>
      <c r="X49" s="789"/>
      <c r="Y49" s="767"/>
      <c r="Z49" s="767"/>
    </row>
    <row r="50" spans="1:26">
      <c r="A50" s="774"/>
      <c r="B50" s="774"/>
      <c r="C50" s="775">
        <v>41</v>
      </c>
      <c r="D50" s="776"/>
      <c r="E50" s="832"/>
      <c r="F50" s="778"/>
      <c r="G50" s="779"/>
      <c r="H50" s="780"/>
      <c r="I50" s="780"/>
      <c r="J50" s="781"/>
      <c r="K50" s="782"/>
      <c r="L50" s="783"/>
      <c r="M50" s="784"/>
      <c r="N50" s="785"/>
      <c r="O50" s="786"/>
      <c r="P50" s="787"/>
      <c r="Q50" s="788"/>
      <c r="R50" s="778"/>
      <c r="S50" s="780">
        <f t="shared" si="0"/>
        <v>0</v>
      </c>
      <c r="T50" s="754"/>
      <c r="U50" s="789"/>
      <c r="V50" s="789"/>
      <c r="W50" s="789"/>
      <c r="X50" s="789"/>
      <c r="Y50" s="767"/>
      <c r="Z50" s="767"/>
    </row>
    <row r="51" spans="1:26">
      <c r="A51" s="774" t="s">
        <v>454</v>
      </c>
      <c r="B51" s="774" t="s">
        <v>410</v>
      </c>
      <c r="C51" s="775">
        <v>42</v>
      </c>
      <c r="D51" s="776" t="str">
        <f>+A51</f>
        <v>1420</v>
      </c>
      <c r="E51" s="777" t="s">
        <v>455</v>
      </c>
      <c r="F51" s="778">
        <v>17163639.989999998</v>
      </c>
      <c r="G51" s="779">
        <v>26322767.609999999</v>
      </c>
      <c r="H51" s="780">
        <v>20047055.809999999</v>
      </c>
      <c r="I51" s="780">
        <v>18417152.960000001</v>
      </c>
      <c r="J51" s="781">
        <v>14049277.699999999</v>
      </c>
      <c r="K51" s="782">
        <v>10183208.6</v>
      </c>
      <c r="L51" s="783">
        <v>8622829.0099999998</v>
      </c>
      <c r="M51" s="784">
        <v>7531448.8600000003</v>
      </c>
      <c r="N51" s="785">
        <v>6298975.6600000001</v>
      </c>
      <c r="O51" s="786">
        <v>6778198.8799999999</v>
      </c>
      <c r="P51" s="787">
        <v>7689242.75</v>
      </c>
      <c r="Q51" s="788">
        <v>8533149.9199999999</v>
      </c>
      <c r="R51" s="778">
        <v>18361542.969999999</v>
      </c>
      <c r="S51" s="780">
        <f t="shared" si="0"/>
        <v>12686324.936666666</v>
      </c>
      <c r="T51" s="754"/>
      <c r="U51" s="789"/>
      <c r="V51" s="789"/>
      <c r="W51" s="789"/>
      <c r="X51" s="789"/>
      <c r="Y51" s="767"/>
      <c r="Z51" s="767"/>
    </row>
    <row r="52" spans="1:26">
      <c r="A52" s="774" t="s">
        <v>456</v>
      </c>
      <c r="B52" s="774" t="s">
        <v>410</v>
      </c>
      <c r="C52" s="775">
        <v>43</v>
      </c>
      <c r="D52" s="776" t="str">
        <f>+A52</f>
        <v>1432</v>
      </c>
      <c r="E52" s="777" t="s">
        <v>457</v>
      </c>
      <c r="F52" s="778">
        <v>1964217.09</v>
      </c>
      <c r="G52" s="779">
        <v>1879399.49</v>
      </c>
      <c r="H52" s="780">
        <v>2171369.25</v>
      </c>
      <c r="I52" s="780">
        <v>3186245.43</v>
      </c>
      <c r="J52" s="781">
        <v>3513224.13</v>
      </c>
      <c r="K52" s="782">
        <v>3880038.02</v>
      </c>
      <c r="L52" s="783">
        <v>2019869.43</v>
      </c>
      <c r="M52" s="784">
        <v>1652166.99</v>
      </c>
      <c r="N52" s="785">
        <v>1606524.04</v>
      </c>
      <c r="O52" s="786">
        <v>1559833.95</v>
      </c>
      <c r="P52" s="787">
        <v>1578182.34</v>
      </c>
      <c r="Q52" s="788">
        <v>1540722.05</v>
      </c>
      <c r="R52" s="778">
        <v>1813282.23</v>
      </c>
      <c r="S52" s="780">
        <f t="shared" si="0"/>
        <v>2206360.398333333</v>
      </c>
      <c r="T52" s="754"/>
      <c r="U52" s="789"/>
      <c r="V52" s="789"/>
      <c r="W52" s="789"/>
      <c r="X52" s="789"/>
      <c r="Y52" s="767"/>
      <c r="Z52" s="767"/>
    </row>
    <row r="53" spans="1:26">
      <c r="A53" s="774" t="s">
        <v>458</v>
      </c>
      <c r="B53" s="774" t="s">
        <v>410</v>
      </c>
      <c r="C53" s="775">
        <v>44</v>
      </c>
      <c r="D53" s="776" t="str">
        <f>+A53</f>
        <v>1710</v>
      </c>
      <c r="E53" s="777" t="s">
        <v>459</v>
      </c>
      <c r="F53" s="818">
        <v>0</v>
      </c>
      <c r="G53" s="819">
        <v>0</v>
      </c>
      <c r="H53" s="820">
        <v>0</v>
      </c>
      <c r="I53" s="820">
        <v>0</v>
      </c>
      <c r="J53" s="821">
        <v>0</v>
      </c>
      <c r="K53" s="822">
        <v>0</v>
      </c>
      <c r="L53" s="823">
        <v>0</v>
      </c>
      <c r="M53" s="824">
        <v>0</v>
      </c>
      <c r="N53" s="825">
        <v>0</v>
      </c>
      <c r="O53" s="826">
        <v>0</v>
      </c>
      <c r="P53" s="827">
        <v>0</v>
      </c>
      <c r="Q53" s="828">
        <v>0</v>
      </c>
      <c r="R53" s="818">
        <v>0</v>
      </c>
      <c r="S53" s="780">
        <f t="shared" si="0"/>
        <v>0</v>
      </c>
      <c r="T53" s="754"/>
      <c r="U53" s="789"/>
      <c r="V53" s="789"/>
      <c r="W53" s="789"/>
      <c r="X53" s="789"/>
      <c r="Y53" s="767"/>
      <c r="Z53" s="767"/>
    </row>
    <row r="54" spans="1:26">
      <c r="A54" s="774"/>
      <c r="B54" s="774"/>
      <c r="C54" s="775">
        <v>45</v>
      </c>
      <c r="D54" s="776"/>
      <c r="E54" s="832" t="s">
        <v>460</v>
      </c>
      <c r="F54" s="778">
        <f>SUM(F51:F53)</f>
        <v>19127857.079999998</v>
      </c>
      <c r="G54" s="778">
        <f t="shared" ref="G54:S54" si="9">SUM(G51:G53)</f>
        <v>28202167.099999998</v>
      </c>
      <c r="H54" s="778">
        <f t="shared" si="9"/>
        <v>22218425.059999999</v>
      </c>
      <c r="I54" s="778">
        <f t="shared" si="9"/>
        <v>21603398.390000001</v>
      </c>
      <c r="J54" s="778">
        <f t="shared" si="9"/>
        <v>17562501.829999998</v>
      </c>
      <c r="K54" s="778">
        <f t="shared" si="9"/>
        <v>14063246.619999999</v>
      </c>
      <c r="L54" s="778">
        <f t="shared" si="9"/>
        <v>10642698.439999999</v>
      </c>
      <c r="M54" s="778">
        <f t="shared" si="9"/>
        <v>9183615.8499999996</v>
      </c>
      <c r="N54" s="778">
        <f t="shared" si="9"/>
        <v>7905499.7000000002</v>
      </c>
      <c r="O54" s="778">
        <f t="shared" si="9"/>
        <v>8338032.8300000001</v>
      </c>
      <c r="P54" s="778">
        <f t="shared" si="9"/>
        <v>9267425.0899999999</v>
      </c>
      <c r="Q54" s="778">
        <f t="shared" si="9"/>
        <v>10073871.970000001</v>
      </c>
      <c r="R54" s="778">
        <f t="shared" si="9"/>
        <v>20174825.199999999</v>
      </c>
      <c r="S54" s="778">
        <f t="shared" si="9"/>
        <v>14892685.334999999</v>
      </c>
      <c r="T54" s="754"/>
      <c r="U54" s="789"/>
      <c r="V54" s="789"/>
      <c r="W54" s="789"/>
      <c r="X54" s="790">
        <f>S54</f>
        <v>14892685.334999999</v>
      </c>
      <c r="Y54" s="767"/>
      <c r="Z54" s="767"/>
    </row>
    <row r="55" spans="1:26">
      <c r="A55" s="774"/>
      <c r="B55" s="774"/>
      <c r="C55" s="775">
        <v>46</v>
      </c>
      <c r="D55" s="776"/>
      <c r="E55" s="832" t="s">
        <v>110</v>
      </c>
      <c r="F55" s="778"/>
      <c r="G55" s="779"/>
      <c r="H55" s="780"/>
      <c r="I55" s="780"/>
      <c r="J55" s="781"/>
      <c r="K55" s="782"/>
      <c r="L55" s="783"/>
      <c r="M55" s="784"/>
      <c r="N55" s="785"/>
      <c r="O55" s="786"/>
      <c r="P55" s="787"/>
      <c r="Q55" s="788"/>
      <c r="R55" s="778"/>
      <c r="S55" s="780">
        <f t="shared" si="0"/>
        <v>0</v>
      </c>
      <c r="T55" s="754"/>
      <c r="U55" s="789"/>
      <c r="V55" s="789"/>
      <c r="W55" s="789"/>
      <c r="X55" s="789"/>
      <c r="Y55" s="767"/>
      <c r="Z55" s="767"/>
    </row>
    <row r="56" spans="1:26">
      <c r="A56" s="774" t="s">
        <v>461</v>
      </c>
      <c r="B56" s="774" t="s">
        <v>446</v>
      </c>
      <c r="C56" s="775">
        <v>47</v>
      </c>
      <c r="D56" s="776" t="str">
        <f>A56&amp;"."&amp;B56</f>
        <v>1410.1*</v>
      </c>
      <c r="E56" s="832" t="s">
        <v>462</v>
      </c>
      <c r="F56" s="778">
        <v>0</v>
      </c>
      <c r="G56" s="779">
        <v>0</v>
      </c>
      <c r="H56" s="780">
        <v>0</v>
      </c>
      <c r="I56" s="780">
        <v>0</v>
      </c>
      <c r="J56" s="781">
        <v>0</v>
      </c>
      <c r="K56" s="782">
        <v>0</v>
      </c>
      <c r="L56" s="783">
        <v>0</v>
      </c>
      <c r="M56" s="784">
        <v>0</v>
      </c>
      <c r="N56" s="785">
        <v>0</v>
      </c>
      <c r="O56" s="786">
        <v>0</v>
      </c>
      <c r="P56" s="787">
        <v>0</v>
      </c>
      <c r="Q56" s="788">
        <v>0</v>
      </c>
      <c r="R56" s="778">
        <v>0</v>
      </c>
      <c r="S56" s="780">
        <f t="shared" si="0"/>
        <v>0</v>
      </c>
      <c r="T56" s="754"/>
      <c r="U56" s="789"/>
      <c r="V56" s="789"/>
      <c r="W56" s="789"/>
      <c r="X56" s="790">
        <f>S56</f>
        <v>0</v>
      </c>
      <c r="Y56" s="767"/>
      <c r="Z56" s="767"/>
    </row>
    <row r="57" spans="1:26">
      <c r="A57" s="774" t="s">
        <v>461</v>
      </c>
      <c r="B57" s="774" t="s">
        <v>463</v>
      </c>
      <c r="C57" s="775">
        <v>48</v>
      </c>
      <c r="D57" s="776" t="str">
        <f>A57&amp;"."&amp;B57</f>
        <v>1410.2*</v>
      </c>
      <c r="E57" s="832" t="s">
        <v>464</v>
      </c>
      <c r="F57" s="778">
        <v>0</v>
      </c>
      <c r="G57" s="779">
        <v>0</v>
      </c>
      <c r="H57" s="780">
        <v>0</v>
      </c>
      <c r="I57" s="780">
        <v>0</v>
      </c>
      <c r="J57" s="781">
        <v>0</v>
      </c>
      <c r="K57" s="782">
        <v>0</v>
      </c>
      <c r="L57" s="783">
        <v>0</v>
      </c>
      <c r="M57" s="784">
        <v>0</v>
      </c>
      <c r="N57" s="785">
        <v>0</v>
      </c>
      <c r="O57" s="786">
        <v>0</v>
      </c>
      <c r="P57" s="787">
        <v>0</v>
      </c>
      <c r="Q57" s="788">
        <v>0</v>
      </c>
      <c r="R57" s="778">
        <v>0</v>
      </c>
      <c r="S57" s="780">
        <f t="shared" si="0"/>
        <v>0</v>
      </c>
      <c r="T57" s="754"/>
      <c r="U57" s="789"/>
      <c r="V57" s="789"/>
      <c r="W57" s="789"/>
      <c r="X57" s="757"/>
      <c r="Y57" s="767"/>
      <c r="Z57" s="767"/>
    </row>
    <row r="58" spans="1:26">
      <c r="A58" s="774"/>
      <c r="B58" s="774"/>
      <c r="C58" s="775">
        <v>49</v>
      </c>
      <c r="D58" s="776"/>
      <c r="E58" s="832"/>
      <c r="F58" s="778"/>
      <c r="G58" s="779"/>
      <c r="H58" s="780"/>
      <c r="I58" s="780"/>
      <c r="J58" s="781"/>
      <c r="K58" s="782"/>
      <c r="L58" s="783"/>
      <c r="M58" s="784"/>
      <c r="N58" s="785"/>
      <c r="O58" s="786"/>
      <c r="P58" s="787"/>
      <c r="Q58" s="788"/>
      <c r="R58" s="778"/>
      <c r="S58" s="780">
        <f t="shared" si="0"/>
        <v>0</v>
      </c>
      <c r="T58" s="754"/>
      <c r="U58" s="789"/>
      <c r="V58" s="789"/>
      <c r="W58" s="789"/>
      <c r="X58" s="757"/>
      <c r="Y58" s="767"/>
      <c r="Z58" s="767"/>
    </row>
    <row r="59" spans="1:26">
      <c r="A59" s="774" t="s">
        <v>465</v>
      </c>
      <c r="B59" s="774" t="s">
        <v>466</v>
      </c>
      <c r="C59" s="775">
        <v>50</v>
      </c>
      <c r="D59" s="776" t="str">
        <f t="shared" ref="D59:D68" si="10">A59&amp;"."&amp;B59</f>
        <v>1460.000*</v>
      </c>
      <c r="E59" s="832" t="s">
        <v>467</v>
      </c>
      <c r="F59" s="778">
        <v>0</v>
      </c>
      <c r="G59" s="779">
        <v>0</v>
      </c>
      <c r="H59" s="780">
        <v>0</v>
      </c>
      <c r="I59" s="780">
        <v>0</v>
      </c>
      <c r="J59" s="781">
        <v>0</v>
      </c>
      <c r="K59" s="782">
        <v>0</v>
      </c>
      <c r="L59" s="783">
        <v>0</v>
      </c>
      <c r="M59" s="784">
        <v>0</v>
      </c>
      <c r="N59" s="785">
        <v>0</v>
      </c>
      <c r="O59" s="786">
        <v>0</v>
      </c>
      <c r="P59" s="787">
        <v>0</v>
      </c>
      <c r="Q59" s="788">
        <v>0</v>
      </c>
      <c r="R59" s="778">
        <v>0</v>
      </c>
      <c r="S59" s="780">
        <f t="shared" si="0"/>
        <v>0</v>
      </c>
      <c r="T59" s="754"/>
      <c r="U59" s="789"/>
      <c r="V59" s="789"/>
      <c r="W59" s="789"/>
      <c r="X59" s="757"/>
      <c r="Y59" s="767"/>
      <c r="Z59" s="767"/>
    </row>
    <row r="60" spans="1:26">
      <c r="A60" s="774" t="s">
        <v>465</v>
      </c>
      <c r="B60" s="774" t="s">
        <v>468</v>
      </c>
      <c r="C60" s="775">
        <v>51</v>
      </c>
      <c r="D60" s="776" t="str">
        <f t="shared" si="10"/>
        <v>1460.001*</v>
      </c>
      <c r="E60" s="832" t="s">
        <v>467</v>
      </c>
      <c r="F60" s="778">
        <v>48558.859999999899</v>
      </c>
      <c r="G60" s="779">
        <v>26116.28</v>
      </c>
      <c r="H60" s="780">
        <v>12988.44</v>
      </c>
      <c r="I60" s="780">
        <v>26792.01</v>
      </c>
      <c r="J60" s="781">
        <v>10961.37</v>
      </c>
      <c r="K60" s="782">
        <v>10764.13</v>
      </c>
      <c r="L60" s="783">
        <v>16249.32</v>
      </c>
      <c r="M60" s="784">
        <v>9995.92</v>
      </c>
      <c r="N60" s="785">
        <v>11586.68</v>
      </c>
      <c r="O60" s="786">
        <v>15190.69</v>
      </c>
      <c r="P60" s="787">
        <v>14691.3</v>
      </c>
      <c r="Q60" s="788">
        <v>25150.6</v>
      </c>
      <c r="R60" s="778">
        <v>10479.629999999999</v>
      </c>
      <c r="S60" s="780">
        <f t="shared" si="0"/>
        <v>17500.498749999995</v>
      </c>
      <c r="T60" s="754"/>
      <c r="U60" s="789"/>
      <c r="V60" s="789"/>
      <c r="W60" s="789"/>
      <c r="X60" s="757"/>
      <c r="Y60" s="767"/>
      <c r="Z60" s="767"/>
    </row>
    <row r="61" spans="1:26">
      <c r="A61" s="774" t="s">
        <v>465</v>
      </c>
      <c r="B61" s="774" t="s">
        <v>469</v>
      </c>
      <c r="C61" s="775">
        <v>52</v>
      </c>
      <c r="D61" s="776" t="str">
        <f t="shared" si="10"/>
        <v>1460.041*</v>
      </c>
      <c r="E61" s="832" t="s">
        <v>470</v>
      </c>
      <c r="F61" s="778">
        <v>0</v>
      </c>
      <c r="G61" s="779">
        <v>0</v>
      </c>
      <c r="H61" s="780">
        <v>0</v>
      </c>
      <c r="I61" s="780">
        <v>0</v>
      </c>
      <c r="J61" s="781">
        <v>0</v>
      </c>
      <c r="K61" s="782">
        <v>0</v>
      </c>
      <c r="L61" s="783">
        <v>0</v>
      </c>
      <c r="M61" s="784">
        <v>0</v>
      </c>
      <c r="N61" s="785">
        <v>0</v>
      </c>
      <c r="O61" s="855">
        <v>0</v>
      </c>
      <c r="P61" s="787">
        <v>0</v>
      </c>
      <c r="Q61" s="788">
        <v>0</v>
      </c>
      <c r="R61" s="778">
        <v>0</v>
      </c>
      <c r="S61" s="780">
        <f t="shared" si="0"/>
        <v>0</v>
      </c>
      <c r="T61" s="754"/>
      <c r="U61" s="789"/>
      <c r="V61" s="789"/>
      <c r="W61" s="789"/>
      <c r="X61" s="757"/>
      <c r="Y61" s="767"/>
      <c r="Z61" s="767"/>
    </row>
    <row r="62" spans="1:26">
      <c r="A62" s="774" t="s">
        <v>465</v>
      </c>
      <c r="B62" s="774" t="s">
        <v>471</v>
      </c>
      <c r="C62" s="775">
        <v>53</v>
      </c>
      <c r="D62" s="776" t="str">
        <f t="shared" si="10"/>
        <v>1460.067*</v>
      </c>
      <c r="E62" s="832" t="s">
        <v>472</v>
      </c>
      <c r="F62" s="778">
        <v>0</v>
      </c>
      <c r="G62" s="779">
        <v>0</v>
      </c>
      <c r="H62" s="780">
        <v>0</v>
      </c>
      <c r="I62" s="780">
        <v>0</v>
      </c>
      <c r="J62" s="781">
        <v>0</v>
      </c>
      <c r="K62" s="782">
        <v>0</v>
      </c>
      <c r="L62" s="783">
        <v>0</v>
      </c>
      <c r="M62" s="784">
        <v>0</v>
      </c>
      <c r="N62" s="785">
        <v>0</v>
      </c>
      <c r="O62" s="785">
        <v>600</v>
      </c>
      <c r="P62" s="785">
        <v>600</v>
      </c>
      <c r="Q62" s="785">
        <v>600</v>
      </c>
      <c r="R62" s="778">
        <v>0</v>
      </c>
      <c r="S62" s="780">
        <f t="shared" si="0"/>
        <v>150</v>
      </c>
      <c r="T62" s="754"/>
      <c r="U62" s="789"/>
      <c r="V62" s="789"/>
      <c r="W62" s="789"/>
      <c r="X62" s="757"/>
      <c r="Y62" s="767"/>
      <c r="Z62" s="767"/>
    </row>
    <row r="63" spans="1:26">
      <c r="A63" s="774" t="s">
        <v>465</v>
      </c>
      <c r="B63" s="774" t="s">
        <v>473</v>
      </c>
      <c r="C63" s="775">
        <v>54</v>
      </c>
      <c r="D63" s="776" t="str">
        <f t="shared" si="10"/>
        <v>1460.044*</v>
      </c>
      <c r="E63" s="832" t="s">
        <v>474</v>
      </c>
      <c r="F63" s="778">
        <v>0</v>
      </c>
      <c r="G63" s="779">
        <v>0</v>
      </c>
      <c r="H63" s="780">
        <v>0</v>
      </c>
      <c r="I63" s="780">
        <v>0</v>
      </c>
      <c r="J63" s="781">
        <v>0</v>
      </c>
      <c r="K63" s="782">
        <v>0</v>
      </c>
      <c r="L63" s="783">
        <v>0</v>
      </c>
      <c r="M63" s="784">
        <v>0</v>
      </c>
      <c r="N63" s="785">
        <v>0</v>
      </c>
      <c r="O63" s="855">
        <v>0</v>
      </c>
      <c r="P63" s="787">
        <v>0</v>
      </c>
      <c r="Q63" s="788">
        <v>0</v>
      </c>
      <c r="R63" s="778">
        <v>0</v>
      </c>
      <c r="S63" s="780">
        <f t="shared" si="0"/>
        <v>0</v>
      </c>
      <c r="T63" s="754"/>
      <c r="U63" s="789"/>
      <c r="V63" s="789"/>
      <c r="W63" s="789"/>
      <c r="X63" s="757"/>
      <c r="Y63" s="767"/>
      <c r="Z63" s="767"/>
    </row>
    <row r="64" spans="1:26">
      <c r="A64" s="774" t="s">
        <v>465</v>
      </c>
      <c r="B64" s="774" t="s">
        <v>475</v>
      </c>
      <c r="C64" s="775">
        <v>55</v>
      </c>
      <c r="D64" s="776" t="str">
        <f t="shared" si="10"/>
        <v>1460.046*</v>
      </c>
      <c r="E64" s="832" t="s">
        <v>476</v>
      </c>
      <c r="F64" s="778">
        <v>0</v>
      </c>
      <c r="G64" s="779">
        <v>0</v>
      </c>
      <c r="H64" s="780">
        <v>0</v>
      </c>
      <c r="I64" s="780">
        <v>0</v>
      </c>
      <c r="J64" s="781">
        <v>0</v>
      </c>
      <c r="K64" s="782">
        <v>0</v>
      </c>
      <c r="L64" s="783">
        <v>0</v>
      </c>
      <c r="M64" s="784">
        <v>0</v>
      </c>
      <c r="N64" s="785">
        <v>0</v>
      </c>
      <c r="O64" s="855">
        <v>0</v>
      </c>
      <c r="P64" s="787">
        <v>0</v>
      </c>
      <c r="Q64" s="788">
        <v>0</v>
      </c>
      <c r="R64" s="778">
        <v>0</v>
      </c>
      <c r="S64" s="780">
        <f t="shared" si="0"/>
        <v>0</v>
      </c>
      <c r="T64" s="754"/>
      <c r="U64" s="789"/>
      <c r="V64" s="789"/>
      <c r="W64" s="789"/>
      <c r="X64" s="757"/>
      <c r="Y64" s="767"/>
      <c r="Z64" s="767"/>
    </row>
    <row r="65" spans="1:26">
      <c r="A65" s="750" t="s">
        <v>465</v>
      </c>
      <c r="B65" s="750" t="s">
        <v>477</v>
      </c>
      <c r="C65" s="775">
        <v>56</v>
      </c>
      <c r="D65" s="752" t="str">
        <f t="shared" si="10"/>
        <v>1460.047*</v>
      </c>
      <c r="E65" s="832" t="s">
        <v>478</v>
      </c>
      <c r="F65" s="778">
        <v>0</v>
      </c>
      <c r="G65" s="779">
        <v>0</v>
      </c>
      <c r="H65" s="780">
        <v>0</v>
      </c>
      <c r="I65" s="780">
        <v>0</v>
      </c>
      <c r="J65" s="781">
        <v>0</v>
      </c>
      <c r="K65" s="782">
        <v>0</v>
      </c>
      <c r="L65" s="783">
        <v>0</v>
      </c>
      <c r="M65" s="784">
        <v>0</v>
      </c>
      <c r="N65" s="785">
        <v>0</v>
      </c>
      <c r="O65" s="855">
        <v>0</v>
      </c>
      <c r="P65" s="787">
        <v>0</v>
      </c>
      <c r="Q65" s="788">
        <v>0</v>
      </c>
      <c r="R65" s="778">
        <v>0</v>
      </c>
      <c r="S65" s="780">
        <f t="shared" si="0"/>
        <v>0</v>
      </c>
      <c r="T65" s="754"/>
      <c r="U65" s="789"/>
      <c r="V65" s="789"/>
      <c r="W65" s="789"/>
      <c r="X65" s="757"/>
      <c r="Y65" s="767"/>
      <c r="Z65" s="767"/>
    </row>
    <row r="66" spans="1:26">
      <c r="A66" s="774" t="s">
        <v>465</v>
      </c>
      <c r="B66" s="774" t="s">
        <v>479</v>
      </c>
      <c r="C66" s="775">
        <v>57</v>
      </c>
      <c r="D66" s="776" t="str">
        <f t="shared" si="10"/>
        <v>1460.048*</v>
      </c>
      <c r="E66" s="832" t="s">
        <v>480</v>
      </c>
      <c r="F66" s="778">
        <v>69846.27</v>
      </c>
      <c r="G66" s="779">
        <v>58503.92</v>
      </c>
      <c r="H66" s="780">
        <v>34092.58</v>
      </c>
      <c r="I66" s="780">
        <v>47951.48</v>
      </c>
      <c r="J66" s="781">
        <v>31934.7</v>
      </c>
      <c r="K66" s="782">
        <v>39550.07</v>
      </c>
      <c r="L66" s="783">
        <v>35566.370000000003</v>
      </c>
      <c r="M66" s="784">
        <v>64992.26</v>
      </c>
      <c r="N66" s="785">
        <v>38492.42</v>
      </c>
      <c r="O66" s="855">
        <v>34139.53</v>
      </c>
      <c r="P66" s="787">
        <v>64402.559999999998</v>
      </c>
      <c r="Q66" s="788">
        <v>39382.44</v>
      </c>
      <c r="R66" s="778">
        <v>34047.85</v>
      </c>
      <c r="S66" s="780">
        <f t="shared" si="0"/>
        <v>45079.615833333322</v>
      </c>
      <c r="T66" s="754"/>
      <c r="U66" s="789"/>
      <c r="V66" s="789"/>
      <c r="W66" s="789"/>
      <c r="X66" s="757"/>
      <c r="Y66" s="767"/>
      <c r="Z66" s="767"/>
    </row>
    <row r="67" spans="1:26">
      <c r="A67" s="750" t="s">
        <v>465</v>
      </c>
      <c r="B67" s="750" t="s">
        <v>481</v>
      </c>
      <c r="C67" s="775">
        <v>58</v>
      </c>
      <c r="D67" s="752" t="str">
        <f t="shared" si="10"/>
        <v>1460.060*</v>
      </c>
      <c r="E67" s="832" t="s">
        <v>482</v>
      </c>
      <c r="F67" s="778">
        <v>0</v>
      </c>
      <c r="G67" s="779">
        <v>0</v>
      </c>
      <c r="H67" s="780">
        <v>0</v>
      </c>
      <c r="I67" s="780">
        <v>0</v>
      </c>
      <c r="J67" s="781">
        <v>0</v>
      </c>
      <c r="K67" s="782">
        <v>0</v>
      </c>
      <c r="L67" s="783">
        <v>0</v>
      </c>
      <c r="M67" s="784">
        <v>0</v>
      </c>
      <c r="N67" s="785">
        <v>0</v>
      </c>
      <c r="O67" s="855">
        <v>0</v>
      </c>
      <c r="P67" s="787">
        <v>0</v>
      </c>
      <c r="Q67" s="788">
        <v>0</v>
      </c>
      <c r="R67" s="778">
        <v>0</v>
      </c>
      <c r="S67" s="780">
        <f t="shared" si="0"/>
        <v>0</v>
      </c>
      <c r="T67" s="754"/>
      <c r="U67" s="789"/>
      <c r="V67" s="789"/>
      <c r="W67" s="789"/>
      <c r="X67" s="757"/>
      <c r="Y67" s="767"/>
      <c r="Z67" s="767"/>
    </row>
    <row r="68" spans="1:26">
      <c r="A68" s="750" t="s">
        <v>465</v>
      </c>
      <c r="B68" s="750" t="s">
        <v>483</v>
      </c>
      <c r="C68" s="775">
        <v>59</v>
      </c>
      <c r="D68" s="752" t="str">
        <f t="shared" si="10"/>
        <v>1460.062*</v>
      </c>
      <c r="E68" s="832" t="s">
        <v>484</v>
      </c>
      <c r="F68" s="778">
        <v>0</v>
      </c>
      <c r="G68" s="779">
        <v>0</v>
      </c>
      <c r="H68" s="780">
        <v>0</v>
      </c>
      <c r="I68" s="780">
        <v>0</v>
      </c>
      <c r="J68" s="781">
        <v>0</v>
      </c>
      <c r="K68" s="782">
        <v>0</v>
      </c>
      <c r="L68" s="783">
        <v>0</v>
      </c>
      <c r="M68" s="784">
        <v>0</v>
      </c>
      <c r="N68" s="785">
        <v>0</v>
      </c>
      <c r="O68" s="855">
        <v>0</v>
      </c>
      <c r="P68" s="787">
        <v>0</v>
      </c>
      <c r="Q68" s="788">
        <v>15532.52</v>
      </c>
      <c r="R68" s="778">
        <v>15532.52</v>
      </c>
      <c r="S68" s="780">
        <f t="shared" si="0"/>
        <v>1941.5649999999998</v>
      </c>
      <c r="T68" s="754"/>
      <c r="U68" s="789"/>
      <c r="V68" s="789"/>
      <c r="W68" s="789"/>
      <c r="X68" s="757"/>
      <c r="Y68" s="767"/>
      <c r="Z68" s="767"/>
    </row>
    <row r="69" spans="1:26">
      <c r="A69" s="774"/>
      <c r="B69" s="856"/>
      <c r="C69" s="775">
        <v>60</v>
      </c>
      <c r="D69" s="776"/>
      <c r="E69" s="832" t="s">
        <v>485</v>
      </c>
      <c r="F69" s="802">
        <f>SUM(F56:F68)</f>
        <v>118405.1299999999</v>
      </c>
      <c r="G69" s="802">
        <f t="shared" ref="G69:S69" si="11">SUM(G56:G68)</f>
        <v>84620.2</v>
      </c>
      <c r="H69" s="802">
        <f t="shared" si="11"/>
        <v>47081.020000000004</v>
      </c>
      <c r="I69" s="802">
        <f t="shared" si="11"/>
        <v>74743.490000000005</v>
      </c>
      <c r="J69" s="802">
        <f t="shared" si="11"/>
        <v>42896.07</v>
      </c>
      <c r="K69" s="802">
        <f t="shared" si="11"/>
        <v>50314.2</v>
      </c>
      <c r="L69" s="802">
        <f t="shared" si="11"/>
        <v>51815.69</v>
      </c>
      <c r="M69" s="802">
        <f t="shared" si="11"/>
        <v>74988.180000000008</v>
      </c>
      <c r="N69" s="802">
        <f t="shared" si="11"/>
        <v>50079.1</v>
      </c>
      <c r="O69" s="802">
        <f t="shared" si="11"/>
        <v>49930.22</v>
      </c>
      <c r="P69" s="802">
        <f t="shared" si="11"/>
        <v>79693.86</v>
      </c>
      <c r="Q69" s="802">
        <f t="shared" si="11"/>
        <v>80665.56</v>
      </c>
      <c r="R69" s="802">
        <f t="shared" si="11"/>
        <v>60060</v>
      </c>
      <c r="S69" s="802">
        <f t="shared" si="11"/>
        <v>64671.679583333316</v>
      </c>
      <c r="T69" s="754"/>
      <c r="U69" s="789"/>
      <c r="V69" s="789"/>
      <c r="W69" s="790">
        <f>S69</f>
        <v>64671.679583333316</v>
      </c>
      <c r="X69" s="757"/>
      <c r="Y69" s="767"/>
      <c r="Z69" s="767"/>
    </row>
    <row r="70" spans="1:26">
      <c r="A70" s="774"/>
      <c r="B70" s="856"/>
      <c r="C70" s="775">
        <v>61</v>
      </c>
      <c r="D70" s="776"/>
      <c r="E70" s="832"/>
      <c r="F70" s="778"/>
      <c r="G70" s="779"/>
      <c r="H70" s="780"/>
      <c r="I70" s="780"/>
      <c r="J70" s="781"/>
      <c r="K70" s="782"/>
      <c r="L70" s="783"/>
      <c r="M70" s="784"/>
      <c r="N70" s="785"/>
      <c r="O70" s="815"/>
      <c r="P70" s="787"/>
      <c r="Q70" s="788"/>
      <c r="R70" s="778"/>
      <c r="S70" s="780">
        <f t="shared" si="0"/>
        <v>0</v>
      </c>
      <c r="T70" s="754"/>
      <c r="U70" s="789"/>
      <c r="V70" s="789"/>
      <c r="W70" s="789"/>
      <c r="X70" s="757"/>
      <c r="Y70" s="767"/>
      <c r="Z70" s="767"/>
    </row>
    <row r="71" spans="1:26">
      <c r="A71" s="774" t="s">
        <v>486</v>
      </c>
      <c r="B71" s="856" t="s">
        <v>410</v>
      </c>
      <c r="C71" s="775">
        <v>62</v>
      </c>
      <c r="D71" s="776">
        <v>1466</v>
      </c>
      <c r="E71" s="832" t="s">
        <v>487</v>
      </c>
      <c r="F71" s="778">
        <v>0</v>
      </c>
      <c r="G71" s="779">
        <v>0</v>
      </c>
      <c r="H71" s="780">
        <v>0</v>
      </c>
      <c r="I71" s="780">
        <v>0</v>
      </c>
      <c r="J71" s="781">
        <v>0</v>
      </c>
      <c r="K71" s="782">
        <v>0</v>
      </c>
      <c r="L71" s="783">
        <v>0</v>
      </c>
      <c r="M71" s="784">
        <v>0</v>
      </c>
      <c r="N71" s="785">
        <v>0</v>
      </c>
      <c r="O71" s="855">
        <v>0</v>
      </c>
      <c r="P71" s="787">
        <v>0</v>
      </c>
      <c r="Q71" s="788">
        <v>0</v>
      </c>
      <c r="R71" s="778">
        <v>0</v>
      </c>
      <c r="S71" s="780">
        <f t="shared" si="0"/>
        <v>0</v>
      </c>
      <c r="T71" s="754"/>
      <c r="U71" s="789"/>
      <c r="V71" s="789"/>
      <c r="W71" s="790">
        <f>S71</f>
        <v>0</v>
      </c>
      <c r="X71" s="757"/>
      <c r="Y71" s="767"/>
      <c r="Z71" s="767"/>
    </row>
    <row r="72" spans="1:26">
      <c r="A72" s="774"/>
      <c r="B72" s="774"/>
      <c r="C72" s="775">
        <v>63</v>
      </c>
      <c r="D72" s="776"/>
      <c r="E72" s="832"/>
      <c r="F72" s="778"/>
      <c r="G72" s="779"/>
      <c r="H72" s="780"/>
      <c r="I72" s="780"/>
      <c r="J72" s="781"/>
      <c r="K72" s="782"/>
      <c r="L72" s="783"/>
      <c r="M72" s="784"/>
      <c r="N72" s="785"/>
      <c r="O72" s="786"/>
      <c r="P72" s="787"/>
      <c r="Q72" s="788"/>
      <c r="R72" s="778"/>
      <c r="S72" s="780">
        <f t="shared" si="0"/>
        <v>0</v>
      </c>
      <c r="T72" s="754"/>
      <c r="U72" s="789"/>
      <c r="V72" s="789"/>
      <c r="W72" s="789"/>
      <c r="X72" s="757"/>
      <c r="Y72" s="767"/>
      <c r="Z72" s="767"/>
    </row>
    <row r="73" spans="1:26">
      <c r="A73" s="774"/>
      <c r="B73" s="774"/>
      <c r="C73" s="775">
        <v>64</v>
      </c>
      <c r="D73" s="776"/>
      <c r="E73" s="832" t="s">
        <v>488</v>
      </c>
      <c r="F73" s="778">
        <f>+F71+F69+F54</f>
        <v>19246262.209999997</v>
      </c>
      <c r="G73" s="778">
        <f t="shared" ref="G73:S73" si="12">+G71+G69+G54</f>
        <v>28286787.299999997</v>
      </c>
      <c r="H73" s="778">
        <f t="shared" si="12"/>
        <v>22265506.079999998</v>
      </c>
      <c r="I73" s="778">
        <f t="shared" si="12"/>
        <v>21678141.879999999</v>
      </c>
      <c r="J73" s="778">
        <f t="shared" si="12"/>
        <v>17605397.899999999</v>
      </c>
      <c r="K73" s="778">
        <f t="shared" si="12"/>
        <v>14113560.819999998</v>
      </c>
      <c r="L73" s="778">
        <f t="shared" si="12"/>
        <v>10694514.129999999</v>
      </c>
      <c r="M73" s="778">
        <f t="shared" si="12"/>
        <v>9258604.0299999993</v>
      </c>
      <c r="N73" s="778">
        <f t="shared" si="12"/>
        <v>7955578.7999999998</v>
      </c>
      <c r="O73" s="778">
        <f t="shared" si="12"/>
        <v>8387963.0499999998</v>
      </c>
      <c r="P73" s="778">
        <f t="shared" si="12"/>
        <v>9347118.9499999993</v>
      </c>
      <c r="Q73" s="778">
        <f t="shared" si="12"/>
        <v>10154537.530000001</v>
      </c>
      <c r="R73" s="778">
        <f t="shared" si="12"/>
        <v>20234885.199999999</v>
      </c>
      <c r="S73" s="778">
        <f t="shared" si="12"/>
        <v>14957357.014583332</v>
      </c>
      <c r="T73" s="754"/>
      <c r="U73" s="789"/>
      <c r="V73" s="789"/>
      <c r="W73" s="789"/>
      <c r="X73" s="789"/>
      <c r="Y73" s="767"/>
      <c r="Z73" s="767"/>
    </row>
    <row r="74" spans="1:26">
      <c r="A74" s="774"/>
      <c r="B74" s="774"/>
      <c r="C74" s="775">
        <v>65</v>
      </c>
      <c r="D74" s="752"/>
      <c r="E74" s="832"/>
      <c r="F74" s="778"/>
      <c r="G74" s="779"/>
      <c r="H74" s="780"/>
      <c r="I74" s="780"/>
      <c r="J74" s="781"/>
      <c r="K74" s="782"/>
      <c r="L74" s="783"/>
      <c r="M74" s="784"/>
      <c r="N74" s="785"/>
      <c r="O74" s="786"/>
      <c r="P74" s="787"/>
      <c r="Q74" s="788"/>
      <c r="R74" s="778"/>
      <c r="S74" s="780">
        <f t="shared" si="0"/>
        <v>0</v>
      </c>
      <c r="T74" s="754"/>
      <c r="U74" s="789"/>
      <c r="V74" s="789"/>
      <c r="W74" s="789"/>
      <c r="X74" s="789"/>
      <c r="Y74" s="767"/>
      <c r="Z74" s="767"/>
    </row>
    <row r="75" spans="1:26">
      <c r="A75" s="774" t="s">
        <v>489</v>
      </c>
      <c r="B75" s="774" t="s">
        <v>410</v>
      </c>
      <c r="C75" s="775">
        <v>66</v>
      </c>
      <c r="D75" s="752" t="str">
        <f>+A75</f>
        <v>1442</v>
      </c>
      <c r="E75" s="777" t="s">
        <v>490</v>
      </c>
      <c r="F75" s="778">
        <v>-401439.13</v>
      </c>
      <c r="G75" s="779">
        <v>-624811.17000000004</v>
      </c>
      <c r="H75" s="780">
        <v>-665111.98</v>
      </c>
      <c r="I75" s="780">
        <v>-612366.89</v>
      </c>
      <c r="J75" s="781">
        <v>-559025.18999999994</v>
      </c>
      <c r="K75" s="782">
        <v>-531431.04</v>
      </c>
      <c r="L75" s="783">
        <v>-430587.85</v>
      </c>
      <c r="M75" s="784">
        <v>-362696.57</v>
      </c>
      <c r="N75" s="785">
        <v>-292228.65000000002</v>
      </c>
      <c r="O75" s="786">
        <v>-248556.61</v>
      </c>
      <c r="P75" s="787">
        <v>-242332.38</v>
      </c>
      <c r="Q75" s="788">
        <v>-265166.53999999998</v>
      </c>
      <c r="R75" s="778">
        <v>-412137.48</v>
      </c>
      <c r="S75" s="780">
        <f t="shared" si="0"/>
        <v>-436758.59791666665</v>
      </c>
      <c r="T75" s="754"/>
      <c r="U75" s="789"/>
      <c r="V75" s="789"/>
      <c r="W75" s="789"/>
      <c r="X75" s="789"/>
      <c r="Y75" s="767"/>
      <c r="Z75" s="767"/>
    </row>
    <row r="76" spans="1:26">
      <c r="A76" s="774" t="s">
        <v>491</v>
      </c>
      <c r="B76" s="774" t="s">
        <v>410</v>
      </c>
      <c r="C76" s="775">
        <v>67</v>
      </c>
      <c r="D76" s="752" t="str">
        <f>+A76</f>
        <v>1443</v>
      </c>
      <c r="E76" s="777" t="s">
        <v>492</v>
      </c>
      <c r="F76" s="778">
        <v>-40000</v>
      </c>
      <c r="G76" s="779">
        <v>-40000</v>
      </c>
      <c r="H76" s="780">
        <v>-38782.51</v>
      </c>
      <c r="I76" s="780">
        <v>-38782.51</v>
      </c>
      <c r="J76" s="781">
        <v>-38782.51</v>
      </c>
      <c r="K76" s="782">
        <v>-34733.08</v>
      </c>
      <c r="L76" s="783">
        <v>-33535.199999999997</v>
      </c>
      <c r="M76" s="784">
        <v>-28404.51</v>
      </c>
      <c r="N76" s="785">
        <v>-28404.51</v>
      </c>
      <c r="O76" s="786">
        <v>-28404.51</v>
      </c>
      <c r="P76" s="787">
        <v>-28404.51</v>
      </c>
      <c r="Q76" s="788">
        <v>-28404.51</v>
      </c>
      <c r="R76" s="778">
        <v>-40000</v>
      </c>
      <c r="S76" s="780">
        <f t="shared" ref="S76:S139" si="13">((F76+R76)+((G76+H76+I76+J76+K76+L76+M76+N76+O76+P76+Q76)*2))/24</f>
        <v>-33886.530000000006</v>
      </c>
      <c r="T76" s="754"/>
      <c r="U76" s="789"/>
      <c r="V76" s="789"/>
      <c r="W76" s="789"/>
      <c r="X76" s="789"/>
      <c r="Y76" s="767"/>
      <c r="Z76" s="767"/>
    </row>
    <row r="77" spans="1:26">
      <c r="A77" s="774" t="s">
        <v>493</v>
      </c>
      <c r="B77" s="774" t="s">
        <v>410</v>
      </c>
      <c r="C77" s="775">
        <v>68</v>
      </c>
      <c r="D77" s="752" t="str">
        <f>+A77</f>
        <v>1449</v>
      </c>
      <c r="E77" s="777" t="s">
        <v>494</v>
      </c>
      <c r="F77" s="818">
        <v>-20000</v>
      </c>
      <c r="G77" s="819">
        <v>-15659.52</v>
      </c>
      <c r="H77" s="820">
        <v>-17302.900000000001</v>
      </c>
      <c r="I77" s="820">
        <v>-15893.85</v>
      </c>
      <c r="J77" s="821">
        <v>-13338.68</v>
      </c>
      <c r="K77" s="822">
        <v>-6655.48</v>
      </c>
      <c r="L77" s="823">
        <v>-5641.47</v>
      </c>
      <c r="M77" s="824">
        <v>-5614.19</v>
      </c>
      <c r="N77" s="825">
        <v>-2540.77</v>
      </c>
      <c r="O77" s="826">
        <v>-1339.49</v>
      </c>
      <c r="P77" s="827">
        <v>-1339.49</v>
      </c>
      <c r="Q77" s="828">
        <v>-788.430000000002</v>
      </c>
      <c r="R77" s="818">
        <v>-19013.580000000002</v>
      </c>
      <c r="S77" s="780">
        <f t="shared" si="13"/>
        <v>-8801.7550000000028</v>
      </c>
      <c r="T77" s="754"/>
      <c r="U77" s="789"/>
      <c r="V77" s="789"/>
      <c r="W77" s="789"/>
      <c r="X77" s="789"/>
      <c r="Y77" s="767"/>
      <c r="Z77" s="767"/>
    </row>
    <row r="78" spans="1:26">
      <c r="A78" s="774"/>
      <c r="B78" s="774"/>
      <c r="C78" s="775">
        <v>69</v>
      </c>
      <c r="D78" s="752"/>
      <c r="E78" s="777"/>
      <c r="F78" s="807"/>
      <c r="G78" s="808"/>
      <c r="H78" s="809"/>
      <c r="I78" s="809"/>
      <c r="J78" s="810"/>
      <c r="K78" s="811"/>
      <c r="L78" s="812"/>
      <c r="M78" s="813"/>
      <c r="N78" s="814"/>
      <c r="O78" s="815"/>
      <c r="P78" s="816"/>
      <c r="Q78" s="817"/>
      <c r="R78" s="807"/>
      <c r="S78" s="780">
        <f t="shared" si="13"/>
        <v>0</v>
      </c>
      <c r="T78" s="754"/>
      <c r="U78" s="789"/>
      <c r="V78" s="789"/>
      <c r="W78" s="789"/>
      <c r="X78" s="789"/>
      <c r="Y78" s="767"/>
      <c r="Z78" s="767"/>
    </row>
    <row r="79" spans="1:26">
      <c r="A79" s="774"/>
      <c r="B79" s="774"/>
      <c r="C79" s="775">
        <v>70</v>
      </c>
      <c r="D79" s="776"/>
      <c r="E79" s="832" t="s">
        <v>495</v>
      </c>
      <c r="F79" s="807">
        <f>SUM(F75:F77)</f>
        <v>-461439.13</v>
      </c>
      <c r="G79" s="807">
        <f t="shared" ref="G79:S79" si="14">SUM(G75:G77)</f>
        <v>-680470.69000000006</v>
      </c>
      <c r="H79" s="807">
        <f t="shared" si="14"/>
        <v>-721197.39</v>
      </c>
      <c r="I79" s="807">
        <f t="shared" si="14"/>
        <v>-667043.25</v>
      </c>
      <c r="J79" s="807">
        <f t="shared" si="14"/>
        <v>-611146.38</v>
      </c>
      <c r="K79" s="807">
        <f t="shared" si="14"/>
        <v>-572819.6</v>
      </c>
      <c r="L79" s="807">
        <f t="shared" si="14"/>
        <v>-469764.51999999996</v>
      </c>
      <c r="M79" s="807">
        <f t="shared" si="14"/>
        <v>-396715.27</v>
      </c>
      <c r="N79" s="807">
        <f t="shared" si="14"/>
        <v>-323173.93000000005</v>
      </c>
      <c r="O79" s="807">
        <f t="shared" si="14"/>
        <v>-278300.61</v>
      </c>
      <c r="P79" s="807">
        <f t="shared" si="14"/>
        <v>-272076.38</v>
      </c>
      <c r="Q79" s="807">
        <f t="shared" si="14"/>
        <v>-294359.48</v>
      </c>
      <c r="R79" s="807">
        <f t="shared" si="14"/>
        <v>-471151.06</v>
      </c>
      <c r="S79" s="807">
        <f t="shared" si="14"/>
        <v>-479446.88291666668</v>
      </c>
      <c r="T79" s="754"/>
      <c r="U79" s="789"/>
      <c r="V79" s="789"/>
      <c r="W79" s="789"/>
      <c r="X79" s="790">
        <f>S79</f>
        <v>-479446.88291666668</v>
      </c>
      <c r="Y79" s="767"/>
      <c r="Z79" s="767"/>
    </row>
    <row r="80" spans="1:26">
      <c r="A80" s="774"/>
      <c r="B80" s="774"/>
      <c r="C80" s="775">
        <v>71</v>
      </c>
      <c r="D80" s="776"/>
      <c r="E80" s="832"/>
      <c r="F80" s="791"/>
      <c r="G80" s="791"/>
      <c r="H80" s="791"/>
      <c r="I80" s="791"/>
      <c r="J80" s="791"/>
      <c r="K80" s="791"/>
      <c r="L80" s="791"/>
      <c r="M80" s="791"/>
      <c r="N80" s="791"/>
      <c r="O80" s="791"/>
      <c r="P80" s="791"/>
      <c r="Q80" s="791"/>
      <c r="R80" s="791"/>
      <c r="S80" s="791"/>
      <c r="T80" s="754"/>
      <c r="U80" s="789"/>
      <c r="V80" s="789"/>
      <c r="W80" s="789"/>
      <c r="X80" s="789"/>
      <c r="Y80" s="767"/>
      <c r="Z80" s="767"/>
    </row>
    <row r="81" spans="1:26">
      <c r="A81" s="774"/>
      <c r="B81" s="774"/>
      <c r="C81" s="775">
        <v>72</v>
      </c>
      <c r="D81" s="776"/>
      <c r="E81" s="832" t="s">
        <v>496</v>
      </c>
      <c r="F81" s="802">
        <f>+F73+F79</f>
        <v>18784823.079999998</v>
      </c>
      <c r="G81" s="802">
        <f t="shared" ref="G81:S81" si="15">+G73+G79</f>
        <v>27606316.609999996</v>
      </c>
      <c r="H81" s="802">
        <f t="shared" si="15"/>
        <v>21544308.689999998</v>
      </c>
      <c r="I81" s="802">
        <f t="shared" si="15"/>
        <v>21011098.629999999</v>
      </c>
      <c r="J81" s="802">
        <f t="shared" si="15"/>
        <v>16994251.52</v>
      </c>
      <c r="K81" s="802">
        <f t="shared" si="15"/>
        <v>13540741.219999999</v>
      </c>
      <c r="L81" s="802">
        <f t="shared" si="15"/>
        <v>10224749.609999999</v>
      </c>
      <c r="M81" s="802">
        <f t="shared" si="15"/>
        <v>8861888.7599999998</v>
      </c>
      <c r="N81" s="802">
        <f t="shared" si="15"/>
        <v>7632404.8700000001</v>
      </c>
      <c r="O81" s="802">
        <f t="shared" si="15"/>
        <v>8109662.4399999995</v>
      </c>
      <c r="P81" s="802">
        <f t="shared" si="15"/>
        <v>9075042.5699999984</v>
      </c>
      <c r="Q81" s="802">
        <f t="shared" si="15"/>
        <v>9860178.0500000007</v>
      </c>
      <c r="R81" s="802">
        <f t="shared" si="15"/>
        <v>19763734.140000001</v>
      </c>
      <c r="S81" s="802">
        <f t="shared" si="15"/>
        <v>14477910.131666666</v>
      </c>
      <c r="T81" s="754"/>
      <c r="U81" s="789"/>
      <c r="V81" s="789"/>
      <c r="W81" s="789"/>
      <c r="X81" s="789"/>
      <c r="Y81" s="767"/>
      <c r="Z81" s="767"/>
    </row>
    <row r="82" spans="1:26">
      <c r="A82" s="774"/>
      <c r="B82" s="774"/>
      <c r="C82" s="775">
        <v>73</v>
      </c>
      <c r="D82" s="776"/>
      <c r="E82" s="832"/>
      <c r="F82" s="778"/>
      <c r="G82" s="779"/>
      <c r="H82" s="780"/>
      <c r="I82" s="780"/>
      <c r="J82" s="781"/>
      <c r="K82" s="782"/>
      <c r="L82" s="783"/>
      <c r="M82" s="784"/>
      <c r="N82" s="785"/>
      <c r="O82" s="786"/>
      <c r="P82" s="787"/>
      <c r="Q82" s="788"/>
      <c r="R82" s="778"/>
      <c r="S82" s="780">
        <f t="shared" si="13"/>
        <v>0</v>
      </c>
      <c r="T82" s="754"/>
      <c r="U82" s="789"/>
      <c r="V82" s="789"/>
      <c r="W82" s="789"/>
      <c r="X82" s="789"/>
      <c r="Y82" s="767"/>
      <c r="Z82" s="767"/>
    </row>
    <row r="83" spans="1:26">
      <c r="A83" s="774" t="s">
        <v>497</v>
      </c>
      <c r="B83" s="774" t="s">
        <v>410</v>
      </c>
      <c r="C83" s="775">
        <v>74</v>
      </c>
      <c r="D83" s="776" t="str">
        <f>+A83</f>
        <v>1540</v>
      </c>
      <c r="E83" s="777" t="s">
        <v>498</v>
      </c>
      <c r="F83" s="778">
        <v>7019221.7300000004</v>
      </c>
      <c r="G83" s="779">
        <v>6875168.5999999996</v>
      </c>
      <c r="H83" s="780">
        <v>6777067.6399999997</v>
      </c>
      <c r="I83" s="780">
        <v>6833615.6799999997</v>
      </c>
      <c r="J83" s="781">
        <v>7007981.5999999996</v>
      </c>
      <c r="K83" s="782">
        <v>7051778.0599999996</v>
      </c>
      <c r="L83" s="783">
        <v>7233831.7300000004</v>
      </c>
      <c r="M83" s="784">
        <v>7196644.9400000004</v>
      </c>
      <c r="N83" s="785">
        <v>7223266.5300000003</v>
      </c>
      <c r="O83" s="786">
        <v>7796442.8799999999</v>
      </c>
      <c r="P83" s="787">
        <v>7542268.9100000001</v>
      </c>
      <c r="Q83" s="788">
        <v>7494539.7300000004</v>
      </c>
      <c r="R83" s="778">
        <v>7223893.4299999997</v>
      </c>
      <c r="S83" s="780">
        <f t="shared" si="13"/>
        <v>7179513.6566666672</v>
      </c>
      <c r="T83" s="754"/>
      <c r="U83" s="789"/>
      <c r="V83" s="789"/>
      <c r="W83" s="789"/>
      <c r="X83" s="789"/>
      <c r="Y83" s="767"/>
      <c r="Z83" s="767"/>
    </row>
    <row r="84" spans="1:26">
      <c r="A84" s="774" t="s">
        <v>499</v>
      </c>
      <c r="B84" s="774" t="s">
        <v>410</v>
      </c>
      <c r="C84" s="775">
        <v>75</v>
      </c>
      <c r="D84" s="776" t="str">
        <f>+A84</f>
        <v>1630</v>
      </c>
      <c r="E84" s="777" t="s">
        <v>500</v>
      </c>
      <c r="F84" s="778">
        <v>2.91038304567337E-11</v>
      </c>
      <c r="G84" s="779">
        <v>6295.25</v>
      </c>
      <c r="H84" s="780">
        <v>4651.54</v>
      </c>
      <c r="I84" s="780">
        <v>23106.77</v>
      </c>
      <c r="J84" s="781">
        <v>41906.57</v>
      </c>
      <c r="K84" s="782">
        <v>67087.56</v>
      </c>
      <c r="L84" s="783">
        <v>85003.37</v>
      </c>
      <c r="M84" s="784">
        <v>102587.63</v>
      </c>
      <c r="N84" s="785">
        <v>151876.95000000001</v>
      </c>
      <c r="O84" s="786">
        <v>166830.17000000001</v>
      </c>
      <c r="P84" s="787">
        <v>173789.35</v>
      </c>
      <c r="Q84" s="788">
        <v>187712.69</v>
      </c>
      <c r="R84" s="778">
        <v>-2.91038304567337E-11</v>
      </c>
      <c r="S84" s="780">
        <f t="shared" si="13"/>
        <v>84237.320833333346</v>
      </c>
      <c r="T84" s="754"/>
      <c r="U84" s="789"/>
      <c r="V84" s="789"/>
      <c r="W84" s="789"/>
      <c r="X84" s="789"/>
      <c r="Y84" s="767"/>
      <c r="Z84" s="767"/>
    </row>
    <row r="85" spans="1:26">
      <c r="A85" s="774" t="s">
        <v>501</v>
      </c>
      <c r="B85" s="774" t="s">
        <v>502</v>
      </c>
      <c r="C85" s="775">
        <v>76</v>
      </c>
      <c r="D85" s="776" t="str">
        <f>A85&amp;"."&amp;B85</f>
        <v>1641.[01,03]</v>
      </c>
      <c r="E85" s="777" t="s">
        <v>503</v>
      </c>
      <c r="F85" s="807">
        <v>0</v>
      </c>
      <c r="G85" s="779">
        <v>0</v>
      </c>
      <c r="H85" s="809">
        <v>0</v>
      </c>
      <c r="I85" s="809">
        <v>0</v>
      </c>
      <c r="J85" s="810">
        <v>0</v>
      </c>
      <c r="K85" s="811">
        <v>0</v>
      </c>
      <c r="L85" s="812">
        <v>0</v>
      </c>
      <c r="M85" s="813">
        <v>0</v>
      </c>
      <c r="N85" s="814">
        <v>0</v>
      </c>
      <c r="O85" s="815">
        <v>0</v>
      </c>
      <c r="P85" s="816">
        <v>0</v>
      </c>
      <c r="Q85" s="788">
        <v>0</v>
      </c>
      <c r="R85" s="807">
        <v>0</v>
      </c>
      <c r="S85" s="780">
        <f t="shared" si="13"/>
        <v>0</v>
      </c>
      <c r="T85" s="754"/>
      <c r="U85" s="789"/>
      <c r="V85" s="789"/>
      <c r="W85" s="789"/>
      <c r="X85" s="789"/>
      <c r="Y85" s="767"/>
      <c r="Z85" s="767"/>
    </row>
    <row r="86" spans="1:26">
      <c r="A86" s="774" t="s">
        <v>501</v>
      </c>
      <c r="B86" s="774" t="s">
        <v>504</v>
      </c>
      <c r="C86" s="775">
        <v>77</v>
      </c>
      <c r="D86" s="776" t="str">
        <f>A86&amp;"."&amp;B86</f>
        <v>1641.02</v>
      </c>
      <c r="E86" s="777" t="s">
        <v>505</v>
      </c>
      <c r="F86" s="807">
        <v>52788.7</v>
      </c>
      <c r="G86" s="779">
        <v>592943.59</v>
      </c>
      <c r="H86" s="809">
        <v>0</v>
      </c>
      <c r="I86" s="809">
        <v>278037.19</v>
      </c>
      <c r="J86" s="810">
        <v>364258.05</v>
      </c>
      <c r="K86" s="811">
        <v>91779.05</v>
      </c>
      <c r="L86" s="812">
        <v>6720.03999999999</v>
      </c>
      <c r="M86" s="813">
        <v>-6.3664629124105001E-12</v>
      </c>
      <c r="N86" s="814">
        <v>-6.3664629124105001E-12</v>
      </c>
      <c r="O86" s="815">
        <v>149539.65</v>
      </c>
      <c r="P86" s="816">
        <v>206387.69</v>
      </c>
      <c r="Q86" s="788">
        <v>280814.13</v>
      </c>
      <c r="R86" s="807">
        <v>87958.720000000001</v>
      </c>
      <c r="S86" s="780">
        <f t="shared" si="13"/>
        <v>170071.09166666667</v>
      </c>
      <c r="T86" s="754"/>
      <c r="U86" s="789"/>
      <c r="V86" s="789"/>
      <c r="W86" s="789"/>
      <c r="X86" s="789"/>
      <c r="Y86" s="767"/>
      <c r="Z86" s="767"/>
    </row>
    <row r="87" spans="1:26">
      <c r="A87" s="774" t="s">
        <v>501</v>
      </c>
      <c r="B87" s="774" t="s">
        <v>568</v>
      </c>
      <c r="C87" s="775">
        <v>78</v>
      </c>
      <c r="D87" s="776" t="str">
        <f>A87&amp;"."&amp;B87</f>
        <v>1641.04</v>
      </c>
      <c r="E87" s="777" t="s">
        <v>1008</v>
      </c>
      <c r="F87" s="807">
        <v>186057.52</v>
      </c>
      <c r="G87" s="779">
        <v>200402.73</v>
      </c>
      <c r="H87" s="809">
        <v>219068.21</v>
      </c>
      <c r="I87" s="809">
        <v>236891.08</v>
      </c>
      <c r="J87" s="810">
        <v>206008.55</v>
      </c>
      <c r="K87" s="811">
        <v>206008.55</v>
      </c>
      <c r="L87" s="812">
        <v>1820.00999999998</v>
      </c>
      <c r="M87" s="813">
        <v>-1.9781509763561199E-11</v>
      </c>
      <c r="N87" s="814">
        <v>51352.98</v>
      </c>
      <c r="O87" s="815">
        <v>89896.35</v>
      </c>
      <c r="P87" s="816">
        <v>89896.35</v>
      </c>
      <c r="Q87" s="788">
        <v>38697.56</v>
      </c>
      <c r="R87" s="807">
        <v>38697.56</v>
      </c>
      <c r="S87" s="780">
        <f t="shared" si="13"/>
        <v>121034.99250000004</v>
      </c>
      <c r="T87" s="754"/>
      <c r="U87" s="789"/>
      <c r="V87" s="789"/>
      <c r="W87" s="789"/>
      <c r="X87" s="789"/>
      <c r="Y87" s="767"/>
      <c r="Z87" s="767"/>
    </row>
    <row r="88" spans="1:26">
      <c r="A88" s="774" t="s">
        <v>506</v>
      </c>
      <c r="B88" s="774" t="s">
        <v>410</v>
      </c>
      <c r="C88" s="775">
        <v>79</v>
      </c>
      <c r="D88" s="776" t="str">
        <f>+A88</f>
        <v>1642</v>
      </c>
      <c r="E88" s="777" t="s">
        <v>507</v>
      </c>
      <c r="F88" s="807">
        <v>712311.02</v>
      </c>
      <c r="G88" s="779">
        <v>697965.81</v>
      </c>
      <c r="H88" s="809">
        <v>679300.33</v>
      </c>
      <c r="I88" s="809">
        <v>661477.46</v>
      </c>
      <c r="J88" s="810">
        <v>1205358</v>
      </c>
      <c r="K88" s="811">
        <v>1258794.78</v>
      </c>
      <c r="L88" s="812">
        <v>1462983.32</v>
      </c>
      <c r="M88" s="813">
        <v>1461900.81</v>
      </c>
      <c r="N88" s="814">
        <v>1905391.12</v>
      </c>
      <c r="O88" s="815">
        <v>2374582.09</v>
      </c>
      <c r="P88" s="816">
        <v>2374582.09</v>
      </c>
      <c r="Q88" s="788">
        <v>2393533.4399999999</v>
      </c>
      <c r="R88" s="807">
        <v>1705163.69</v>
      </c>
      <c r="S88" s="780">
        <f t="shared" si="13"/>
        <v>1473717.2170833331</v>
      </c>
      <c r="T88" s="754"/>
      <c r="U88" s="789"/>
      <c r="V88" s="789"/>
      <c r="W88" s="789"/>
      <c r="X88" s="789"/>
      <c r="Y88" s="767"/>
      <c r="Z88" s="767"/>
    </row>
    <row r="89" spans="1:26">
      <c r="A89" s="774"/>
      <c r="B89" s="774"/>
      <c r="C89" s="775">
        <v>80</v>
      </c>
      <c r="D89" s="776"/>
      <c r="E89" s="777"/>
      <c r="F89" s="791"/>
      <c r="G89" s="792"/>
      <c r="H89" s="793"/>
      <c r="I89" s="793"/>
      <c r="J89" s="794"/>
      <c r="K89" s="795"/>
      <c r="L89" s="796"/>
      <c r="M89" s="797"/>
      <c r="N89" s="798"/>
      <c r="O89" s="799"/>
      <c r="P89" s="800"/>
      <c r="Q89" s="801"/>
      <c r="R89" s="791"/>
      <c r="S89" s="780">
        <f t="shared" si="13"/>
        <v>0</v>
      </c>
      <c r="T89" s="754"/>
      <c r="U89" s="789"/>
      <c r="V89" s="789"/>
      <c r="W89" s="789"/>
      <c r="X89" s="789"/>
      <c r="Y89" s="767"/>
      <c r="Z89" s="767"/>
    </row>
    <row r="90" spans="1:26">
      <c r="A90" s="774"/>
      <c r="B90" s="774"/>
      <c r="C90" s="775">
        <v>81</v>
      </c>
      <c r="D90" s="776"/>
      <c r="E90" s="777" t="s">
        <v>508</v>
      </c>
      <c r="F90" s="802">
        <f>SUM(F83:F88)</f>
        <v>7970378.9700000007</v>
      </c>
      <c r="G90" s="802">
        <f t="shared" ref="G90:S90" si="16">SUM(G83:G88)</f>
        <v>8372775.9800000004</v>
      </c>
      <c r="H90" s="802">
        <f t="shared" si="16"/>
        <v>7680087.7199999997</v>
      </c>
      <c r="I90" s="802">
        <f t="shared" si="16"/>
        <v>8033128.1799999997</v>
      </c>
      <c r="J90" s="802">
        <f t="shared" si="16"/>
        <v>8825512.7699999996</v>
      </c>
      <c r="K90" s="802">
        <f t="shared" si="16"/>
        <v>8675447.9999999981</v>
      </c>
      <c r="L90" s="802">
        <f t="shared" si="16"/>
        <v>8790358.4700000007</v>
      </c>
      <c r="M90" s="802">
        <f t="shared" si="16"/>
        <v>8761133.3800000008</v>
      </c>
      <c r="N90" s="802">
        <f t="shared" si="16"/>
        <v>9331887.5800000019</v>
      </c>
      <c r="O90" s="802">
        <f t="shared" si="16"/>
        <v>10577291.140000001</v>
      </c>
      <c r="P90" s="802">
        <f t="shared" si="16"/>
        <v>10386924.390000001</v>
      </c>
      <c r="Q90" s="802">
        <f t="shared" si="16"/>
        <v>10395297.550000001</v>
      </c>
      <c r="R90" s="802">
        <f t="shared" si="16"/>
        <v>9055713.3999999985</v>
      </c>
      <c r="S90" s="802">
        <f t="shared" si="16"/>
        <v>9028574.2787500005</v>
      </c>
      <c r="T90" s="754"/>
      <c r="U90" s="789"/>
      <c r="V90" s="789"/>
      <c r="W90" s="789"/>
      <c r="X90" s="790">
        <f>S90</f>
        <v>9028574.2787500005</v>
      </c>
      <c r="Y90" s="767"/>
      <c r="Z90" s="767"/>
    </row>
    <row r="91" spans="1:26">
      <c r="A91" s="774"/>
      <c r="B91" s="774"/>
      <c r="C91" s="775">
        <v>82</v>
      </c>
      <c r="D91" s="776"/>
      <c r="E91" s="832"/>
      <c r="F91" s="778"/>
      <c r="G91" s="779"/>
      <c r="H91" s="780"/>
      <c r="I91" s="780"/>
      <c r="J91" s="781"/>
      <c r="K91" s="782"/>
      <c r="L91" s="783"/>
      <c r="M91" s="784"/>
      <c r="N91" s="785"/>
      <c r="O91" s="786"/>
      <c r="P91" s="787"/>
      <c r="Q91" s="788"/>
      <c r="R91" s="778"/>
      <c r="S91" s="780">
        <f t="shared" si="13"/>
        <v>0</v>
      </c>
      <c r="T91" s="754"/>
      <c r="U91" s="789"/>
      <c r="V91" s="789"/>
      <c r="W91" s="789"/>
      <c r="X91" s="789"/>
      <c r="Y91" s="767"/>
      <c r="Z91" s="767"/>
    </row>
    <row r="92" spans="1:26">
      <c r="A92" s="774" t="s">
        <v>509</v>
      </c>
      <c r="B92" s="774" t="s">
        <v>410</v>
      </c>
      <c r="C92" s="775">
        <v>83</v>
      </c>
      <c r="D92" s="776" t="str">
        <f>+A92</f>
        <v>1655</v>
      </c>
      <c r="E92" s="777" t="s">
        <v>510</v>
      </c>
      <c r="F92" s="778">
        <v>141934.38</v>
      </c>
      <c r="G92" s="779">
        <v>1047402.23</v>
      </c>
      <c r="H92" s="780">
        <v>951220.2</v>
      </c>
      <c r="I92" s="780">
        <v>862269.45</v>
      </c>
      <c r="J92" s="781">
        <v>753777.95</v>
      </c>
      <c r="K92" s="782">
        <v>645735.46</v>
      </c>
      <c r="L92" s="783">
        <v>573398.41</v>
      </c>
      <c r="M92" s="784">
        <v>465355.91</v>
      </c>
      <c r="N92" s="785">
        <v>357313.43</v>
      </c>
      <c r="O92" s="786">
        <v>282349.87</v>
      </c>
      <c r="P92" s="787">
        <v>171680.88</v>
      </c>
      <c r="Q92" s="788">
        <v>233437.62</v>
      </c>
      <c r="R92" s="778">
        <v>146719</v>
      </c>
      <c r="S92" s="780">
        <f t="shared" si="13"/>
        <v>540689.00833333342</v>
      </c>
      <c r="T92" s="754"/>
      <c r="U92" s="789"/>
      <c r="V92" s="789"/>
      <c r="W92" s="789"/>
      <c r="X92" s="789"/>
      <c r="Y92" s="767"/>
      <c r="Z92" s="767"/>
    </row>
    <row r="93" spans="1:26">
      <c r="A93" s="750" t="s">
        <v>511</v>
      </c>
      <c r="B93" s="750" t="s">
        <v>512</v>
      </c>
      <c r="C93" s="775">
        <v>84</v>
      </c>
      <c r="D93" s="752" t="str">
        <f>A93&amp;"."&amp;B93</f>
        <v>1659.[18,19,20]</v>
      </c>
      <c r="E93" s="857" t="s">
        <v>513</v>
      </c>
      <c r="F93" s="778">
        <v>0</v>
      </c>
      <c r="G93" s="858">
        <v>0</v>
      </c>
      <c r="H93" s="780">
        <v>0</v>
      </c>
      <c r="I93" s="780">
        <v>0</v>
      </c>
      <c r="J93" s="781">
        <v>0</v>
      </c>
      <c r="K93" s="782">
        <v>0</v>
      </c>
      <c r="L93" s="783">
        <v>0</v>
      </c>
      <c r="M93" s="784">
        <v>0</v>
      </c>
      <c r="N93" s="785">
        <v>0</v>
      </c>
      <c r="O93" s="786">
        <v>752163.93</v>
      </c>
      <c r="P93" s="787">
        <v>554607.04</v>
      </c>
      <c r="Q93" s="859">
        <v>391140.84</v>
      </c>
      <c r="R93" s="778">
        <v>0</v>
      </c>
      <c r="S93" s="780">
        <f t="shared" si="13"/>
        <v>141492.65083333335</v>
      </c>
      <c r="T93" s="754"/>
      <c r="U93" s="789"/>
      <c r="V93" s="789"/>
      <c r="W93" s="789"/>
      <c r="X93" s="789"/>
      <c r="Y93" s="767"/>
      <c r="Z93" s="767"/>
    </row>
    <row r="94" spans="1:26">
      <c r="A94" s="750" t="s">
        <v>511</v>
      </c>
      <c r="B94" s="750" t="s">
        <v>514</v>
      </c>
      <c r="C94" s="775">
        <v>85</v>
      </c>
      <c r="D94" s="752" t="str">
        <f>A94&amp;"."&amp;B94</f>
        <v>1659.22</v>
      </c>
      <c r="E94" s="857" t="s">
        <v>515</v>
      </c>
      <c r="F94" s="778">
        <v>2719098.63</v>
      </c>
      <c r="G94" s="858">
        <v>2487523.08</v>
      </c>
      <c r="H94" s="780">
        <v>2183281.08</v>
      </c>
      <c r="I94" s="780">
        <v>344683.95</v>
      </c>
      <c r="J94" s="781">
        <v>344683.95</v>
      </c>
      <c r="K94" s="782">
        <v>1242211.08</v>
      </c>
      <c r="L94" s="783">
        <v>1373709.51</v>
      </c>
      <c r="M94" s="784">
        <v>1911378.55</v>
      </c>
      <c r="N94" s="785">
        <v>2541463.54</v>
      </c>
      <c r="O94" s="786">
        <v>2763023.48</v>
      </c>
      <c r="P94" s="787">
        <v>2763023.48</v>
      </c>
      <c r="Q94" s="859">
        <v>2763023.48</v>
      </c>
      <c r="R94" s="778">
        <v>1381150.02</v>
      </c>
      <c r="S94" s="780">
        <f t="shared" si="13"/>
        <v>1897344.125416667</v>
      </c>
      <c r="T94" s="754"/>
      <c r="U94" s="789"/>
      <c r="V94" s="789"/>
      <c r="W94" s="789"/>
      <c r="X94" s="789"/>
      <c r="Y94" s="767"/>
      <c r="Z94" s="767"/>
    </row>
    <row r="95" spans="1:26">
      <c r="A95" s="750" t="s">
        <v>511</v>
      </c>
      <c r="B95" s="750" t="s">
        <v>516</v>
      </c>
      <c r="C95" s="775">
        <v>86</v>
      </c>
      <c r="D95" s="752" t="str">
        <f>A95&amp;"."&amp;B95</f>
        <v>1659.[/20,/21,/22,/18,/19]</v>
      </c>
      <c r="E95" s="777" t="s">
        <v>517</v>
      </c>
      <c r="F95" s="778">
        <v>711944.81</v>
      </c>
      <c r="G95" s="860">
        <v>592136.06999999995</v>
      </c>
      <c r="H95" s="780">
        <v>472327.33</v>
      </c>
      <c r="I95" s="780">
        <v>493362.4</v>
      </c>
      <c r="J95" s="781">
        <v>357904.35</v>
      </c>
      <c r="K95" s="782">
        <v>222446.3</v>
      </c>
      <c r="L95" s="783">
        <v>165668.10999999999</v>
      </c>
      <c r="M95" s="784">
        <v>143494.04999999999</v>
      </c>
      <c r="N95" s="785">
        <v>121319.99</v>
      </c>
      <c r="O95" s="786">
        <v>99145.930000000095</v>
      </c>
      <c r="P95" s="787">
        <v>76971.870000000097</v>
      </c>
      <c r="Q95" s="861">
        <v>1033988.87</v>
      </c>
      <c r="R95" s="778">
        <v>928900.59</v>
      </c>
      <c r="S95" s="780">
        <f t="shared" si="13"/>
        <v>383265.66416666663</v>
      </c>
      <c r="T95" s="754"/>
      <c r="U95" s="789"/>
      <c r="V95" s="789"/>
      <c r="W95" s="789"/>
      <c r="X95" s="789"/>
      <c r="Y95" s="767"/>
      <c r="Z95" s="767"/>
    </row>
    <row r="96" spans="1:26">
      <c r="A96" s="750" t="s">
        <v>518</v>
      </c>
      <c r="B96" s="750" t="s">
        <v>519</v>
      </c>
      <c r="C96" s="775">
        <v>87</v>
      </c>
      <c r="D96" s="752" t="str">
        <f>A96&amp;"."&amp;B96</f>
        <v>1860.[20424,20425]</v>
      </c>
      <c r="E96" s="777" t="s">
        <v>520</v>
      </c>
      <c r="F96" s="778">
        <v>0</v>
      </c>
      <c r="G96" s="860">
        <v>0</v>
      </c>
      <c r="H96" s="780">
        <v>0</v>
      </c>
      <c r="I96" s="780">
        <v>0</v>
      </c>
      <c r="J96" s="781">
        <v>0</v>
      </c>
      <c r="K96" s="782">
        <v>0</v>
      </c>
      <c r="L96" s="783">
        <v>0</v>
      </c>
      <c r="M96" s="784">
        <v>0</v>
      </c>
      <c r="N96" s="785">
        <v>0</v>
      </c>
      <c r="O96" s="786">
        <v>0</v>
      </c>
      <c r="P96" s="787">
        <v>0</v>
      </c>
      <c r="Q96" s="861">
        <v>0</v>
      </c>
      <c r="R96" s="778">
        <v>0</v>
      </c>
      <c r="S96" s="780">
        <f t="shared" si="13"/>
        <v>0</v>
      </c>
      <c r="T96" s="754"/>
      <c r="U96" s="789"/>
      <c r="V96" s="789"/>
      <c r="W96" s="789"/>
      <c r="X96" s="789"/>
      <c r="Y96" s="767"/>
      <c r="Z96" s="767"/>
    </row>
    <row r="97" spans="1:26">
      <c r="A97" s="750" t="s">
        <v>521</v>
      </c>
      <c r="B97" s="750" t="s">
        <v>410</v>
      </c>
      <c r="C97" s="775">
        <v>88</v>
      </c>
      <c r="D97" s="752" t="str">
        <f>+A97</f>
        <v>1747</v>
      </c>
      <c r="E97" s="777" t="s">
        <v>522</v>
      </c>
      <c r="F97" s="807">
        <v>0</v>
      </c>
      <c r="G97" s="860">
        <v>0</v>
      </c>
      <c r="H97" s="809">
        <v>0</v>
      </c>
      <c r="I97" s="809">
        <v>0</v>
      </c>
      <c r="J97" s="810">
        <v>0</v>
      </c>
      <c r="K97" s="811">
        <v>0</v>
      </c>
      <c r="L97" s="812">
        <v>0</v>
      </c>
      <c r="M97" s="813">
        <v>0</v>
      </c>
      <c r="N97" s="814">
        <v>0</v>
      </c>
      <c r="O97" s="815">
        <v>0</v>
      </c>
      <c r="P97" s="816">
        <v>0</v>
      </c>
      <c r="Q97" s="861">
        <v>0</v>
      </c>
      <c r="R97" s="807">
        <v>0</v>
      </c>
      <c r="S97" s="780">
        <f t="shared" si="13"/>
        <v>0</v>
      </c>
      <c r="T97" s="754"/>
      <c r="U97" s="789"/>
      <c r="V97" s="789"/>
      <c r="W97" s="789"/>
      <c r="X97" s="789"/>
      <c r="Y97" s="767"/>
      <c r="Z97" s="767"/>
    </row>
    <row r="98" spans="1:26">
      <c r="A98" s="750" t="s">
        <v>523</v>
      </c>
      <c r="B98" s="750" t="s">
        <v>524</v>
      </c>
      <c r="C98" s="775">
        <v>89</v>
      </c>
      <c r="D98" s="862" t="s">
        <v>525</v>
      </c>
      <c r="E98" s="777" t="s">
        <v>526</v>
      </c>
      <c r="F98" s="807">
        <v>0</v>
      </c>
      <c r="G98" s="860">
        <v>0</v>
      </c>
      <c r="H98" s="809">
        <v>0</v>
      </c>
      <c r="I98" s="809">
        <v>0</v>
      </c>
      <c r="J98" s="810">
        <v>0</v>
      </c>
      <c r="K98" s="811">
        <v>0</v>
      </c>
      <c r="L98" s="812">
        <v>0</v>
      </c>
      <c r="M98" s="813">
        <v>0</v>
      </c>
      <c r="N98" s="814">
        <v>0</v>
      </c>
      <c r="O98" s="815">
        <v>0</v>
      </c>
      <c r="P98" s="816">
        <v>0</v>
      </c>
      <c r="Q98" s="861">
        <v>0</v>
      </c>
      <c r="R98" s="807">
        <v>0</v>
      </c>
      <c r="S98" s="780">
        <f t="shared" si="13"/>
        <v>0</v>
      </c>
      <c r="T98" s="754"/>
      <c r="U98" s="789"/>
      <c r="V98" s="789"/>
      <c r="W98" s="789"/>
      <c r="X98" s="789"/>
      <c r="Y98" s="767"/>
      <c r="Z98" s="767"/>
    </row>
    <row r="99" spans="1:26">
      <c r="A99" s="750"/>
      <c r="B99" s="750"/>
      <c r="C99" s="775">
        <v>90</v>
      </c>
      <c r="D99" s="752"/>
      <c r="E99" s="777"/>
      <c r="F99" s="791"/>
      <c r="G99" s="863"/>
      <c r="H99" s="793"/>
      <c r="I99" s="793"/>
      <c r="J99" s="794"/>
      <c r="K99" s="795"/>
      <c r="L99" s="796"/>
      <c r="M99" s="797"/>
      <c r="N99" s="798"/>
      <c r="O99" s="799"/>
      <c r="P99" s="800"/>
      <c r="Q99" s="864"/>
      <c r="R99" s="791"/>
      <c r="S99" s="780">
        <f t="shared" si="13"/>
        <v>0</v>
      </c>
      <c r="T99" s="754"/>
      <c r="U99" s="789"/>
      <c r="V99" s="789"/>
      <c r="W99" s="789"/>
      <c r="X99" s="789"/>
      <c r="Y99" s="767"/>
      <c r="Z99" s="767"/>
    </row>
    <row r="100" spans="1:26">
      <c r="A100" s="774"/>
      <c r="B100" s="774"/>
      <c r="C100" s="775">
        <v>91</v>
      </c>
      <c r="D100" s="776"/>
      <c r="E100" s="777" t="s">
        <v>527</v>
      </c>
      <c r="F100" s="802">
        <f>SUM(F92:F98)</f>
        <v>3572977.82</v>
      </c>
      <c r="G100" s="802">
        <f t="shared" ref="G100:S100" si="17">SUM(G92:G98)</f>
        <v>4127061.38</v>
      </c>
      <c r="H100" s="802">
        <f t="shared" si="17"/>
        <v>3606828.6100000003</v>
      </c>
      <c r="I100" s="802">
        <f t="shared" si="17"/>
        <v>1700315.7999999998</v>
      </c>
      <c r="J100" s="802">
        <f t="shared" si="17"/>
        <v>1456366.25</v>
      </c>
      <c r="K100" s="802">
        <f t="shared" si="17"/>
        <v>2110392.84</v>
      </c>
      <c r="L100" s="802">
        <f t="shared" si="17"/>
        <v>2112776.0299999998</v>
      </c>
      <c r="M100" s="802">
        <f t="shared" si="17"/>
        <v>2520228.5099999998</v>
      </c>
      <c r="N100" s="802">
        <f t="shared" si="17"/>
        <v>3020096.9600000004</v>
      </c>
      <c r="O100" s="802">
        <f t="shared" si="17"/>
        <v>3896683.2100000004</v>
      </c>
      <c r="P100" s="802">
        <f t="shared" si="17"/>
        <v>3566283.27</v>
      </c>
      <c r="Q100" s="802">
        <f t="shared" si="17"/>
        <v>4421590.8099999996</v>
      </c>
      <c r="R100" s="802">
        <f t="shared" si="17"/>
        <v>2456769.61</v>
      </c>
      <c r="S100" s="802">
        <f t="shared" si="17"/>
        <v>2962791.4487500004</v>
      </c>
      <c r="T100" s="754"/>
      <c r="U100" s="789"/>
      <c r="V100" s="789"/>
      <c r="W100" s="789"/>
      <c r="X100" s="790">
        <f>S100</f>
        <v>2962791.4487500004</v>
      </c>
      <c r="Y100" s="767"/>
      <c r="Z100" s="767"/>
    </row>
    <row r="101" spans="1:26">
      <c r="A101" s="774"/>
      <c r="B101" s="774"/>
      <c r="C101" s="775">
        <v>92</v>
      </c>
      <c r="D101" s="776"/>
      <c r="E101" s="832"/>
      <c r="F101" s="778"/>
      <c r="G101" s="860"/>
      <c r="H101" s="780"/>
      <c r="I101" s="780"/>
      <c r="J101" s="781"/>
      <c r="K101" s="782"/>
      <c r="L101" s="783"/>
      <c r="M101" s="784"/>
      <c r="N101" s="785"/>
      <c r="O101" s="786"/>
      <c r="P101" s="787"/>
      <c r="Q101" s="861"/>
      <c r="R101" s="778"/>
      <c r="S101" s="780">
        <f t="shared" si="13"/>
        <v>0</v>
      </c>
      <c r="T101" s="754"/>
      <c r="U101" s="789"/>
      <c r="V101" s="789"/>
      <c r="W101" s="789"/>
      <c r="X101" s="789"/>
      <c r="Y101" s="767"/>
      <c r="Z101" s="767"/>
    </row>
    <row r="102" spans="1:26">
      <c r="A102" s="774" t="s">
        <v>528</v>
      </c>
      <c r="B102" s="774" t="s">
        <v>410</v>
      </c>
      <c r="C102" s="775">
        <v>93</v>
      </c>
      <c r="D102" s="776" t="str">
        <f>+A102</f>
        <v>1732</v>
      </c>
      <c r="E102" s="777" t="s">
        <v>529</v>
      </c>
      <c r="F102" s="778">
        <v>28632000.649999999</v>
      </c>
      <c r="G102" s="860">
        <v>24626907.170000002</v>
      </c>
      <c r="H102" s="780">
        <v>19166796.309999999</v>
      </c>
      <c r="I102" s="780">
        <v>14583859.439999999</v>
      </c>
      <c r="J102" s="781">
        <v>8270183.4000000004</v>
      </c>
      <c r="K102" s="782">
        <v>6024538.3700000001</v>
      </c>
      <c r="L102" s="783">
        <v>4191688.79</v>
      </c>
      <c r="M102" s="784">
        <v>3736720.02</v>
      </c>
      <c r="N102" s="785">
        <v>3243044.16</v>
      </c>
      <c r="O102" s="786">
        <v>4215111.09</v>
      </c>
      <c r="P102" s="787">
        <v>10117737.65</v>
      </c>
      <c r="Q102" s="861">
        <v>16812988.379999999</v>
      </c>
      <c r="R102" s="778">
        <v>32058629.699999999</v>
      </c>
      <c r="S102" s="780">
        <f t="shared" si="13"/>
        <v>12111240.829583332</v>
      </c>
      <c r="T102" s="754"/>
      <c r="U102" s="789"/>
      <c r="V102" s="789"/>
      <c r="W102" s="789"/>
      <c r="X102" s="789"/>
      <c r="Y102" s="767"/>
      <c r="Z102" s="767"/>
    </row>
    <row r="103" spans="1:26">
      <c r="A103" s="774" t="s">
        <v>530</v>
      </c>
      <c r="B103" s="774" t="s">
        <v>410</v>
      </c>
      <c r="C103" s="775">
        <v>94</v>
      </c>
      <c r="D103" s="776" t="str">
        <f>+A103</f>
        <v>1734</v>
      </c>
      <c r="E103" s="777" t="s">
        <v>531</v>
      </c>
      <c r="F103" s="804">
        <v>2108331.48</v>
      </c>
      <c r="G103" s="804">
        <v>2156906.9</v>
      </c>
      <c r="H103" s="804">
        <v>2045199.74</v>
      </c>
      <c r="I103" s="804">
        <v>1946728.53</v>
      </c>
      <c r="J103" s="804">
        <v>1855546.01</v>
      </c>
      <c r="K103" s="804">
        <v>1897697.16</v>
      </c>
      <c r="L103" s="804">
        <v>1936068.23</v>
      </c>
      <c r="M103" s="804">
        <v>1986725.15</v>
      </c>
      <c r="N103" s="804">
        <v>2148185.7000000002</v>
      </c>
      <c r="O103" s="806">
        <v>2331237.4</v>
      </c>
      <c r="P103" s="804">
        <v>2288200.34</v>
      </c>
      <c r="Q103" s="804">
        <v>2267355.81</v>
      </c>
      <c r="R103" s="804">
        <v>2463652.9500000002</v>
      </c>
      <c r="S103" s="780">
        <f t="shared" si="13"/>
        <v>2095486.9320833331</v>
      </c>
      <c r="T103" s="754"/>
      <c r="U103" s="789"/>
      <c r="V103" s="789"/>
      <c r="W103" s="789"/>
      <c r="X103" s="789"/>
      <c r="Y103" s="767"/>
      <c r="Z103" s="767"/>
    </row>
    <row r="104" spans="1:26">
      <c r="A104" s="774"/>
      <c r="B104" s="774"/>
      <c r="C104" s="775">
        <v>95</v>
      </c>
      <c r="D104" s="776"/>
      <c r="E104" s="777" t="s">
        <v>532</v>
      </c>
      <c r="F104" s="802">
        <f>+F102+F103</f>
        <v>30740332.129999999</v>
      </c>
      <c r="G104" s="802">
        <f t="shared" ref="G104:S104" si="18">+G102+G103</f>
        <v>26783814.07</v>
      </c>
      <c r="H104" s="802">
        <f t="shared" si="18"/>
        <v>21211996.049999997</v>
      </c>
      <c r="I104" s="802">
        <f t="shared" si="18"/>
        <v>16530587.969999999</v>
      </c>
      <c r="J104" s="802">
        <f t="shared" si="18"/>
        <v>10125729.41</v>
      </c>
      <c r="K104" s="802">
        <f t="shared" si="18"/>
        <v>7922235.5300000003</v>
      </c>
      <c r="L104" s="802">
        <f t="shared" si="18"/>
        <v>6127757.0199999996</v>
      </c>
      <c r="M104" s="802">
        <f t="shared" si="18"/>
        <v>5723445.1699999999</v>
      </c>
      <c r="N104" s="802">
        <f t="shared" si="18"/>
        <v>5391229.8600000003</v>
      </c>
      <c r="O104" s="802">
        <f t="shared" si="18"/>
        <v>6546348.4900000002</v>
      </c>
      <c r="P104" s="802">
        <f t="shared" si="18"/>
        <v>12405937.99</v>
      </c>
      <c r="Q104" s="802">
        <f t="shared" si="18"/>
        <v>19080344.189999998</v>
      </c>
      <c r="R104" s="802">
        <f t="shared" si="18"/>
        <v>34522282.649999999</v>
      </c>
      <c r="S104" s="802">
        <f t="shared" si="18"/>
        <v>14206727.761666665</v>
      </c>
      <c r="T104" s="754"/>
      <c r="U104" s="790"/>
      <c r="V104" s="789"/>
      <c r="W104" s="789"/>
      <c r="X104" s="790">
        <f>S104</f>
        <v>14206727.761666665</v>
      </c>
      <c r="Y104" s="767"/>
      <c r="Z104" s="767"/>
    </row>
    <row r="105" spans="1:26">
      <c r="A105" s="774"/>
      <c r="B105" s="774"/>
      <c r="C105" s="775">
        <v>96</v>
      </c>
      <c r="D105" s="776"/>
      <c r="E105" s="832"/>
      <c r="F105" s="778"/>
      <c r="G105" s="860"/>
      <c r="H105" s="780"/>
      <c r="I105" s="780"/>
      <c r="J105" s="781"/>
      <c r="K105" s="782"/>
      <c r="L105" s="783"/>
      <c r="M105" s="784"/>
      <c r="N105" s="785"/>
      <c r="O105" s="786"/>
      <c r="P105" s="787"/>
      <c r="Q105" s="861"/>
      <c r="R105" s="778"/>
      <c r="S105" s="780">
        <f t="shared" si="13"/>
        <v>0</v>
      </c>
      <c r="T105" s="754"/>
      <c r="U105" s="789"/>
      <c r="V105" s="789"/>
      <c r="W105" s="789"/>
      <c r="X105" s="789"/>
      <c r="Y105" s="767"/>
      <c r="Z105" s="767"/>
    </row>
    <row r="106" spans="1:26">
      <c r="A106" s="774" t="s">
        <v>533</v>
      </c>
      <c r="B106" s="774" t="s">
        <v>534</v>
      </c>
      <c r="C106" s="775">
        <v>97</v>
      </c>
      <c r="D106" s="776" t="str">
        <f>A106&amp;"."&amp;B106</f>
        <v>1900.[/*6*]</v>
      </c>
      <c r="E106" s="777" t="s">
        <v>535</v>
      </c>
      <c r="F106" s="778">
        <v>1686166.53</v>
      </c>
      <c r="G106" s="860">
        <v>1768090.12</v>
      </c>
      <c r="H106" s="780">
        <v>1850013.76</v>
      </c>
      <c r="I106" s="780">
        <v>1949363.44</v>
      </c>
      <c r="J106" s="781">
        <v>2032506.72</v>
      </c>
      <c r="K106" s="782">
        <v>2115649.98</v>
      </c>
      <c r="L106" s="783">
        <v>2191057.2599999998</v>
      </c>
      <c r="M106" s="784">
        <v>2272911.42</v>
      </c>
      <c r="N106" s="785">
        <v>2354765.66</v>
      </c>
      <c r="O106" s="786">
        <v>2425610.87</v>
      </c>
      <c r="P106" s="787">
        <v>0</v>
      </c>
      <c r="Q106" s="861">
        <v>0</v>
      </c>
      <c r="R106" s="778">
        <v>0</v>
      </c>
      <c r="S106" s="780">
        <f t="shared" si="13"/>
        <v>1650254.3745833335</v>
      </c>
      <c r="T106" s="754"/>
      <c r="U106" s="789"/>
      <c r="V106" s="789"/>
      <c r="W106" s="790"/>
      <c r="X106" s="790">
        <f>S106</f>
        <v>1650254.3745833335</v>
      </c>
      <c r="Y106" s="767"/>
      <c r="Z106" s="767"/>
    </row>
    <row r="107" spans="1:26">
      <c r="A107" s="774" t="s">
        <v>533</v>
      </c>
      <c r="B107" s="774" t="s">
        <v>536</v>
      </c>
      <c r="C107" s="775">
        <v>98</v>
      </c>
      <c r="D107" s="776" t="str">
        <f>A107&amp;"."&amp;B107</f>
        <v>1900.[*6*]</v>
      </c>
      <c r="E107" s="777" t="s">
        <v>537</v>
      </c>
      <c r="F107" s="778">
        <v>24705631</v>
      </c>
      <c r="G107" s="860">
        <v>24634848.52</v>
      </c>
      <c r="H107" s="780">
        <v>24564065.989999998</v>
      </c>
      <c r="I107" s="780">
        <v>24640601.559999999</v>
      </c>
      <c r="J107" s="781">
        <v>24569226.82</v>
      </c>
      <c r="K107" s="782">
        <v>24497852.09</v>
      </c>
      <c r="L107" s="783">
        <v>24350956.390000001</v>
      </c>
      <c r="M107" s="784">
        <v>24266971.73</v>
      </c>
      <c r="N107" s="785">
        <v>24182987.050000001</v>
      </c>
      <c r="O107" s="786">
        <v>24107703.920000002</v>
      </c>
      <c r="P107" s="787">
        <v>26704947.27</v>
      </c>
      <c r="Q107" s="861">
        <v>26662110.949999999</v>
      </c>
      <c r="R107" s="778">
        <v>26488326.940000001</v>
      </c>
      <c r="S107" s="780">
        <f t="shared" si="13"/>
        <v>24898270.938333333</v>
      </c>
      <c r="T107" s="754"/>
      <c r="U107" s="789"/>
      <c r="V107" s="789"/>
      <c r="W107" s="790"/>
      <c r="X107" s="790">
        <f>S107</f>
        <v>24898270.938333333</v>
      </c>
      <c r="Y107" s="767"/>
      <c r="Z107" s="767"/>
    </row>
    <row r="108" spans="1:26">
      <c r="A108" s="774"/>
      <c r="B108" s="774"/>
      <c r="C108" s="775">
        <v>99</v>
      </c>
      <c r="D108" s="776"/>
      <c r="E108" s="832"/>
      <c r="F108" s="778"/>
      <c r="G108" s="860"/>
      <c r="H108" s="780"/>
      <c r="I108" s="780"/>
      <c r="J108" s="781"/>
      <c r="K108" s="782"/>
      <c r="L108" s="783"/>
      <c r="M108" s="784"/>
      <c r="N108" s="785"/>
      <c r="O108" s="786"/>
      <c r="P108" s="787"/>
      <c r="Q108" s="861"/>
      <c r="R108" s="778"/>
      <c r="S108" s="780">
        <f t="shared" si="13"/>
        <v>0</v>
      </c>
      <c r="T108" s="754"/>
      <c r="U108" s="789"/>
      <c r="V108" s="789"/>
      <c r="W108" s="789"/>
      <c r="X108" s="789"/>
      <c r="Y108" s="767"/>
      <c r="Z108" s="767"/>
    </row>
    <row r="109" spans="1:26">
      <c r="A109" s="774" t="s">
        <v>538</v>
      </c>
      <c r="B109" s="774" t="s">
        <v>410</v>
      </c>
      <c r="C109" s="775">
        <v>100</v>
      </c>
      <c r="D109" s="776" t="str">
        <f>+A109</f>
        <v>1910</v>
      </c>
      <c r="E109" s="777" t="s">
        <v>539</v>
      </c>
      <c r="F109" s="778">
        <v>0</v>
      </c>
      <c r="G109" s="860">
        <v>0</v>
      </c>
      <c r="H109" s="780">
        <v>0</v>
      </c>
      <c r="I109" s="780">
        <v>0</v>
      </c>
      <c r="J109" s="781">
        <v>0</v>
      </c>
      <c r="K109" s="782">
        <v>0</v>
      </c>
      <c r="L109" s="783">
        <v>0</v>
      </c>
      <c r="M109" s="784">
        <v>0</v>
      </c>
      <c r="N109" s="785">
        <v>0</v>
      </c>
      <c r="O109" s="786">
        <v>0</v>
      </c>
      <c r="P109" s="787">
        <v>0</v>
      </c>
      <c r="Q109" s="861">
        <v>0</v>
      </c>
      <c r="R109" s="778">
        <v>318120.33</v>
      </c>
      <c r="S109" s="780">
        <f t="shared" si="13"/>
        <v>13255.01375</v>
      </c>
      <c r="T109" s="754"/>
      <c r="U109" s="789"/>
      <c r="V109" s="789"/>
      <c r="W109" s="790">
        <f>S109</f>
        <v>13255.01375</v>
      </c>
      <c r="X109" s="789"/>
      <c r="Y109" s="767"/>
      <c r="Z109" s="767"/>
    </row>
    <row r="110" spans="1:26">
      <c r="A110" s="774"/>
      <c r="B110" s="774"/>
      <c r="C110" s="775">
        <v>101</v>
      </c>
      <c r="D110" s="776"/>
      <c r="E110" s="832"/>
      <c r="F110" s="778"/>
      <c r="G110" s="860"/>
      <c r="H110" s="780"/>
      <c r="I110" s="780"/>
      <c r="J110" s="781"/>
      <c r="K110" s="782"/>
      <c r="L110" s="783"/>
      <c r="M110" s="784"/>
      <c r="N110" s="785"/>
      <c r="O110" s="786"/>
      <c r="P110" s="787"/>
      <c r="Q110" s="861"/>
      <c r="R110" s="778"/>
      <c r="S110" s="780">
        <f t="shared" si="13"/>
        <v>0</v>
      </c>
      <c r="T110" s="754"/>
      <c r="U110" s="789"/>
      <c r="V110" s="789"/>
      <c r="W110" s="789"/>
      <c r="X110" s="789"/>
      <c r="Y110" s="767"/>
      <c r="Z110" s="767"/>
    </row>
    <row r="111" spans="1:26">
      <c r="A111" s="774" t="s">
        <v>540</v>
      </c>
      <c r="B111" s="774" t="s">
        <v>541</v>
      </c>
      <c r="C111" s="775">
        <v>102</v>
      </c>
      <c r="D111" s="776" t="str">
        <f t="shared" ref="D111:D123" si="19">A111&amp;"."&amp;B111</f>
        <v>1810.12</v>
      </c>
      <c r="E111" s="777" t="s">
        <v>542</v>
      </c>
      <c r="F111" s="778">
        <v>78604.129999999903</v>
      </c>
      <c r="G111" s="860">
        <v>78044.67</v>
      </c>
      <c r="H111" s="780">
        <v>77485.210000000006</v>
      </c>
      <c r="I111" s="780">
        <v>76925.75</v>
      </c>
      <c r="J111" s="781">
        <v>76366.289999999994</v>
      </c>
      <c r="K111" s="782">
        <v>75806.83</v>
      </c>
      <c r="L111" s="783">
        <v>75247.37</v>
      </c>
      <c r="M111" s="784">
        <v>74687.91</v>
      </c>
      <c r="N111" s="785">
        <v>74128.45</v>
      </c>
      <c r="O111" s="786">
        <v>73568.989999999903</v>
      </c>
      <c r="P111" s="787">
        <v>73009.529999999897</v>
      </c>
      <c r="Q111" s="861">
        <v>72450.069999999905</v>
      </c>
      <c r="R111" s="778">
        <v>71890.609999999899</v>
      </c>
      <c r="S111" s="780">
        <f t="shared" si="13"/>
        <v>75247.369999999966</v>
      </c>
      <c r="T111" s="754"/>
      <c r="U111" s="789"/>
      <c r="V111" s="789"/>
      <c r="W111" s="789"/>
      <c r="X111" s="789"/>
      <c r="Y111" s="767"/>
      <c r="Z111" s="767"/>
    </row>
    <row r="112" spans="1:26">
      <c r="A112" s="774" t="s">
        <v>540</v>
      </c>
      <c r="B112" s="774" t="s">
        <v>543</v>
      </c>
      <c r="C112" s="775">
        <v>103</v>
      </c>
      <c r="D112" s="776" t="str">
        <f t="shared" si="19"/>
        <v>1810.13</v>
      </c>
      <c r="E112" s="777" t="s">
        <v>544</v>
      </c>
      <c r="F112" s="778">
        <v>66295.419999999896</v>
      </c>
      <c r="G112" s="860">
        <v>65875.820000000007</v>
      </c>
      <c r="H112" s="780">
        <v>65456.22</v>
      </c>
      <c r="I112" s="780">
        <v>65036.62</v>
      </c>
      <c r="J112" s="781">
        <v>64617.02</v>
      </c>
      <c r="K112" s="782">
        <v>64197.42</v>
      </c>
      <c r="L112" s="783">
        <v>63777.82</v>
      </c>
      <c r="M112" s="784">
        <v>63358.22</v>
      </c>
      <c r="N112" s="785">
        <v>62938.62</v>
      </c>
      <c r="O112" s="786">
        <v>62519.02</v>
      </c>
      <c r="P112" s="787">
        <v>62099.42</v>
      </c>
      <c r="Q112" s="861">
        <v>61679.82</v>
      </c>
      <c r="R112" s="778">
        <v>61260.22</v>
      </c>
      <c r="S112" s="780">
        <f t="shared" si="13"/>
        <v>63777.82</v>
      </c>
      <c r="T112" s="754"/>
      <c r="U112" s="789"/>
      <c r="V112" s="789"/>
      <c r="W112" s="789"/>
      <c r="X112" s="789"/>
      <c r="Y112" s="767"/>
      <c r="Z112" s="767"/>
    </row>
    <row r="113" spans="1:26">
      <c r="A113" s="774" t="s">
        <v>540</v>
      </c>
      <c r="B113" s="774" t="s">
        <v>545</v>
      </c>
      <c r="C113" s="775">
        <v>104</v>
      </c>
      <c r="D113" s="776" t="str">
        <f t="shared" si="19"/>
        <v>1810.17</v>
      </c>
      <c r="E113" s="777" t="s">
        <v>546</v>
      </c>
      <c r="F113" s="778">
        <v>1240690.05</v>
      </c>
      <c r="G113" s="860">
        <v>1235272.18</v>
      </c>
      <c r="H113" s="780">
        <v>1229854.31</v>
      </c>
      <c r="I113" s="780">
        <v>1224436.44</v>
      </c>
      <c r="J113" s="781">
        <v>1219018.57</v>
      </c>
      <c r="K113" s="782">
        <v>1213600.7</v>
      </c>
      <c r="L113" s="783">
        <v>1208182.83</v>
      </c>
      <c r="M113" s="784">
        <v>1202764.96</v>
      </c>
      <c r="N113" s="785">
        <v>1197347.0900000001</v>
      </c>
      <c r="O113" s="786">
        <v>1191929.22</v>
      </c>
      <c r="P113" s="787">
        <v>1186511.3500000001</v>
      </c>
      <c r="Q113" s="861">
        <v>1181093.48</v>
      </c>
      <c r="R113" s="778">
        <v>1175675.6100000001</v>
      </c>
      <c r="S113" s="780">
        <f t="shared" si="13"/>
        <v>1208182.83</v>
      </c>
      <c r="T113" s="754"/>
      <c r="U113" s="789"/>
      <c r="V113" s="789"/>
      <c r="W113" s="789"/>
      <c r="X113" s="789"/>
      <c r="Y113" s="767"/>
      <c r="Z113" s="767"/>
    </row>
    <row r="114" spans="1:26">
      <c r="A114" s="774" t="s">
        <v>540</v>
      </c>
      <c r="B114" s="774" t="s">
        <v>547</v>
      </c>
      <c r="C114" s="775">
        <v>105</v>
      </c>
      <c r="D114" s="776" t="str">
        <f t="shared" si="19"/>
        <v>1810.18</v>
      </c>
      <c r="E114" s="777" t="s">
        <v>548</v>
      </c>
      <c r="F114" s="778">
        <v>73826.64</v>
      </c>
      <c r="G114" s="860">
        <v>72478.58</v>
      </c>
      <c r="H114" s="780">
        <v>71130.52</v>
      </c>
      <c r="I114" s="780">
        <v>69782.460000000006</v>
      </c>
      <c r="J114" s="781">
        <v>68434.399999999994</v>
      </c>
      <c r="K114" s="782">
        <v>67086.34</v>
      </c>
      <c r="L114" s="783">
        <v>65738.28</v>
      </c>
      <c r="M114" s="784">
        <v>64390.22</v>
      </c>
      <c r="N114" s="785">
        <v>63042.16</v>
      </c>
      <c r="O114" s="786">
        <v>61694.1</v>
      </c>
      <c r="P114" s="787">
        <v>60346.04</v>
      </c>
      <c r="Q114" s="861">
        <v>58997.98</v>
      </c>
      <c r="R114" s="778">
        <v>57649.919999999998</v>
      </c>
      <c r="S114" s="780">
        <f t="shared" si="13"/>
        <v>65738.28</v>
      </c>
      <c r="T114" s="754"/>
      <c r="U114" s="789"/>
      <c r="V114" s="789"/>
      <c r="W114" s="789"/>
      <c r="X114" s="789"/>
      <c r="Y114" s="767"/>
      <c r="Z114" s="767"/>
    </row>
    <row r="115" spans="1:26">
      <c r="A115" s="774" t="s">
        <v>540</v>
      </c>
      <c r="B115" s="774" t="s">
        <v>549</v>
      </c>
      <c r="C115" s="775">
        <v>106</v>
      </c>
      <c r="D115" s="776" t="str">
        <f t="shared" si="19"/>
        <v>1810.19</v>
      </c>
      <c r="E115" s="777" t="s">
        <v>550</v>
      </c>
      <c r="F115" s="778">
        <v>164515.07999999999</v>
      </c>
      <c r="G115" s="860">
        <v>163867.57999999999</v>
      </c>
      <c r="H115" s="780">
        <v>163220.07999999999</v>
      </c>
      <c r="I115" s="780">
        <v>162572.57999999999</v>
      </c>
      <c r="J115" s="781">
        <v>161925.07999999999</v>
      </c>
      <c r="K115" s="782">
        <v>161277.57999999999</v>
      </c>
      <c r="L115" s="783">
        <v>160630.07999999999</v>
      </c>
      <c r="M115" s="784">
        <v>159982.57999999999</v>
      </c>
      <c r="N115" s="785">
        <v>159335.07999999999</v>
      </c>
      <c r="O115" s="786">
        <v>158687.57999999999</v>
      </c>
      <c r="P115" s="787">
        <v>158040.07999999999</v>
      </c>
      <c r="Q115" s="861">
        <v>157392.57999999999</v>
      </c>
      <c r="R115" s="778">
        <v>156745.07999999999</v>
      </c>
      <c r="S115" s="780">
        <f t="shared" si="13"/>
        <v>160630.08000000002</v>
      </c>
      <c r="T115" s="754"/>
      <c r="U115" s="789"/>
      <c r="V115" s="789"/>
      <c r="W115" s="789"/>
      <c r="X115" s="789"/>
      <c r="Y115" s="767"/>
      <c r="Z115" s="767"/>
    </row>
    <row r="116" spans="1:26">
      <c r="A116" s="774" t="s">
        <v>540</v>
      </c>
      <c r="B116" s="774" t="s">
        <v>551</v>
      </c>
      <c r="C116" s="775">
        <v>107</v>
      </c>
      <c r="D116" s="776" t="str">
        <f t="shared" si="19"/>
        <v>1810.20</v>
      </c>
      <c r="E116" s="865" t="s">
        <v>552</v>
      </c>
      <c r="F116" s="778">
        <v>120596.71</v>
      </c>
      <c r="G116" s="860">
        <v>119548.04</v>
      </c>
      <c r="H116" s="780">
        <v>118499.37</v>
      </c>
      <c r="I116" s="780">
        <v>117450.7</v>
      </c>
      <c r="J116" s="781">
        <v>116402.03</v>
      </c>
      <c r="K116" s="782">
        <v>115353.36</v>
      </c>
      <c r="L116" s="783">
        <v>114304.69</v>
      </c>
      <c r="M116" s="784">
        <v>113256.02</v>
      </c>
      <c r="N116" s="785">
        <v>112207.35</v>
      </c>
      <c r="O116" s="786">
        <v>111158.68</v>
      </c>
      <c r="P116" s="787">
        <v>110110.01</v>
      </c>
      <c r="Q116" s="861">
        <v>109061.34</v>
      </c>
      <c r="R116" s="778">
        <v>108012.67</v>
      </c>
      <c r="S116" s="780">
        <f t="shared" si="13"/>
        <v>114304.69</v>
      </c>
      <c r="T116" s="754"/>
      <c r="U116" s="789"/>
      <c r="V116" s="789"/>
      <c r="W116" s="789"/>
      <c r="X116" s="789"/>
      <c r="Y116" s="767"/>
      <c r="Z116" s="767"/>
    </row>
    <row r="117" spans="1:26">
      <c r="A117" s="774" t="s">
        <v>540</v>
      </c>
      <c r="B117" s="774" t="s">
        <v>553</v>
      </c>
      <c r="C117" s="775">
        <v>108</v>
      </c>
      <c r="D117" s="776" t="str">
        <f t="shared" si="19"/>
        <v>1810.21</v>
      </c>
      <c r="E117" s="865" t="s">
        <v>554</v>
      </c>
      <c r="F117" s="778">
        <v>126678.97</v>
      </c>
      <c r="G117" s="860">
        <v>125840.04</v>
      </c>
      <c r="H117" s="780">
        <v>125001.11</v>
      </c>
      <c r="I117" s="780">
        <v>124162.18</v>
      </c>
      <c r="J117" s="781">
        <v>123323.25</v>
      </c>
      <c r="K117" s="782">
        <v>122484.32</v>
      </c>
      <c r="L117" s="783">
        <v>121645.39</v>
      </c>
      <c r="M117" s="784">
        <v>120806.46</v>
      </c>
      <c r="N117" s="785">
        <v>119967.53</v>
      </c>
      <c r="O117" s="786">
        <v>119128.6</v>
      </c>
      <c r="P117" s="787">
        <v>118289.67</v>
      </c>
      <c r="Q117" s="861">
        <v>117450.74</v>
      </c>
      <c r="R117" s="778">
        <v>116611.81</v>
      </c>
      <c r="S117" s="780">
        <f t="shared" si="13"/>
        <v>121645.38999999997</v>
      </c>
      <c r="T117" s="754"/>
      <c r="U117" s="789"/>
      <c r="V117" s="789"/>
      <c r="W117" s="789"/>
      <c r="X117" s="789"/>
      <c r="Y117" s="767"/>
      <c r="Z117" s="767"/>
    </row>
    <row r="118" spans="1:26">
      <c r="A118" s="774" t="s">
        <v>540</v>
      </c>
      <c r="B118" s="774" t="s">
        <v>514</v>
      </c>
      <c r="C118" s="775">
        <v>109</v>
      </c>
      <c r="D118" s="776" t="str">
        <f t="shared" si="19"/>
        <v>1810.22</v>
      </c>
      <c r="E118" s="865" t="s">
        <v>555</v>
      </c>
      <c r="F118" s="807">
        <v>103750.1</v>
      </c>
      <c r="G118" s="860">
        <v>100291.77</v>
      </c>
      <c r="H118" s="809">
        <v>96833.44</v>
      </c>
      <c r="I118" s="809">
        <v>93375.11</v>
      </c>
      <c r="J118" s="810">
        <v>89916.78</v>
      </c>
      <c r="K118" s="811">
        <v>86458.45</v>
      </c>
      <c r="L118" s="812">
        <v>83000.12</v>
      </c>
      <c r="M118" s="813">
        <v>79541.789999999994</v>
      </c>
      <c r="N118" s="814">
        <v>76083.460000000006</v>
      </c>
      <c r="O118" s="815">
        <v>72625.13</v>
      </c>
      <c r="P118" s="816">
        <v>69166.8</v>
      </c>
      <c r="Q118" s="866">
        <v>65708.47</v>
      </c>
      <c r="R118" s="807">
        <v>62250.14</v>
      </c>
      <c r="S118" s="780">
        <f t="shared" si="13"/>
        <v>83000.12</v>
      </c>
      <c r="T118" s="754"/>
      <c r="U118" s="789"/>
      <c r="V118" s="789"/>
      <c r="W118" s="789"/>
      <c r="X118" s="789"/>
      <c r="Y118" s="767"/>
      <c r="Z118" s="767"/>
    </row>
    <row r="119" spans="1:26">
      <c r="A119" s="774" t="s">
        <v>540</v>
      </c>
      <c r="B119" s="774" t="s">
        <v>556</v>
      </c>
      <c r="C119" s="775">
        <v>110</v>
      </c>
      <c r="D119" s="776" t="str">
        <f t="shared" si="19"/>
        <v>1810.23</v>
      </c>
      <c r="E119" s="865" t="s">
        <v>557</v>
      </c>
      <c r="F119" s="815">
        <v>61144.39</v>
      </c>
      <c r="G119" s="786">
        <v>60967.67</v>
      </c>
      <c r="H119" s="786">
        <v>60790.95</v>
      </c>
      <c r="I119" s="786">
        <v>59506.01</v>
      </c>
      <c r="J119" s="855">
        <v>59332.52</v>
      </c>
      <c r="K119" s="855">
        <v>59159.03</v>
      </c>
      <c r="L119" s="786">
        <v>58985.54</v>
      </c>
      <c r="M119" s="786">
        <v>58812.05</v>
      </c>
      <c r="N119" s="786">
        <v>58638.559999999998</v>
      </c>
      <c r="O119" s="786">
        <v>58465.07</v>
      </c>
      <c r="P119" s="815">
        <v>58291.58</v>
      </c>
      <c r="Q119" s="815">
        <v>58118.09</v>
      </c>
      <c r="R119" s="815">
        <v>57944.6</v>
      </c>
      <c r="S119" s="780">
        <f t="shared" si="13"/>
        <v>59217.630416666652</v>
      </c>
      <c r="T119" s="754"/>
      <c r="U119" s="789"/>
      <c r="V119" s="789"/>
      <c r="W119" s="789"/>
      <c r="X119" s="789"/>
      <c r="Y119" s="767"/>
      <c r="Z119" s="767"/>
    </row>
    <row r="120" spans="1:26">
      <c r="A120" s="774" t="s">
        <v>540</v>
      </c>
      <c r="B120" s="774" t="s">
        <v>558</v>
      </c>
      <c r="C120" s="775">
        <v>111</v>
      </c>
      <c r="D120" s="776" t="str">
        <f t="shared" si="19"/>
        <v>1810.24</v>
      </c>
      <c r="E120" s="865" t="s">
        <v>559</v>
      </c>
      <c r="F120" s="815">
        <v>60452.25</v>
      </c>
      <c r="G120" s="786">
        <v>60322.52</v>
      </c>
      <c r="H120" s="786">
        <v>60192.79</v>
      </c>
      <c r="I120" s="786">
        <v>58941.24</v>
      </c>
      <c r="J120" s="855">
        <v>58813.94</v>
      </c>
      <c r="K120" s="855">
        <v>58686.64</v>
      </c>
      <c r="L120" s="786">
        <v>58559.34</v>
      </c>
      <c r="M120" s="786">
        <v>58432.04</v>
      </c>
      <c r="N120" s="786">
        <v>58304.74</v>
      </c>
      <c r="O120" s="815">
        <v>58177.440000000002</v>
      </c>
      <c r="P120" s="815">
        <v>58050.14</v>
      </c>
      <c r="Q120" s="815">
        <v>57922.84</v>
      </c>
      <c r="R120" s="815">
        <v>57795.54</v>
      </c>
      <c r="S120" s="780">
        <f t="shared" si="13"/>
        <v>58793.963749999995</v>
      </c>
      <c r="T120" s="754"/>
      <c r="U120" s="789"/>
      <c r="V120" s="789"/>
      <c r="W120" s="789"/>
      <c r="X120" s="789"/>
      <c r="Y120" s="767"/>
      <c r="Z120" s="767"/>
    </row>
    <row r="121" spans="1:26">
      <c r="A121" s="774" t="s">
        <v>540</v>
      </c>
      <c r="B121" s="774" t="s">
        <v>560</v>
      </c>
      <c r="C121" s="775">
        <v>112</v>
      </c>
      <c r="D121" s="776" t="str">
        <f t="shared" si="19"/>
        <v>1810.25</v>
      </c>
      <c r="E121" s="865" t="s">
        <v>559</v>
      </c>
      <c r="F121" s="815">
        <v>61497.83</v>
      </c>
      <c r="G121" s="786">
        <v>61321.11</v>
      </c>
      <c r="H121" s="786">
        <v>61144.39</v>
      </c>
      <c r="I121" s="786">
        <v>59852.99</v>
      </c>
      <c r="J121" s="855">
        <v>59679.5</v>
      </c>
      <c r="K121" s="855">
        <v>59506.01</v>
      </c>
      <c r="L121" s="786">
        <v>59332.52</v>
      </c>
      <c r="M121" s="786">
        <v>59159.03</v>
      </c>
      <c r="N121" s="786">
        <v>58985.54</v>
      </c>
      <c r="O121" s="815">
        <v>58812.05</v>
      </c>
      <c r="P121" s="815">
        <v>58638.559999999998</v>
      </c>
      <c r="Q121" s="815">
        <v>58465.07</v>
      </c>
      <c r="R121" s="815">
        <v>58291.58</v>
      </c>
      <c r="S121" s="780">
        <f t="shared" si="13"/>
        <v>59565.956249999988</v>
      </c>
      <c r="T121" s="754"/>
      <c r="U121" s="789"/>
      <c r="V121" s="789"/>
      <c r="W121" s="789"/>
      <c r="X121" s="789"/>
      <c r="Y121" s="767"/>
      <c r="Z121" s="767"/>
    </row>
    <row r="122" spans="1:26">
      <c r="A122" s="774" t="s">
        <v>540</v>
      </c>
      <c r="B122" s="774" t="s">
        <v>561</v>
      </c>
      <c r="C122" s="775">
        <v>113</v>
      </c>
      <c r="D122" s="776" t="str">
        <f t="shared" si="19"/>
        <v>1810.26</v>
      </c>
      <c r="E122" s="865" t="s">
        <v>559</v>
      </c>
      <c r="F122" s="815">
        <v>60711.71</v>
      </c>
      <c r="G122" s="815">
        <v>60581.98</v>
      </c>
      <c r="H122" s="815">
        <v>60452.25</v>
      </c>
      <c r="I122" s="815">
        <v>59195.839999999997</v>
      </c>
      <c r="J122" s="867">
        <v>59068.54</v>
      </c>
      <c r="K122" s="867">
        <v>58941.24</v>
      </c>
      <c r="L122" s="815">
        <v>58813.94</v>
      </c>
      <c r="M122" s="815">
        <v>58686.64</v>
      </c>
      <c r="N122" s="815">
        <v>58559.34</v>
      </c>
      <c r="O122" s="815">
        <v>58432.04</v>
      </c>
      <c r="P122" s="815">
        <v>58304.74</v>
      </c>
      <c r="Q122" s="815">
        <v>58177.440000000002</v>
      </c>
      <c r="R122" s="815">
        <v>58050.14</v>
      </c>
      <c r="S122" s="780">
        <f t="shared" si="13"/>
        <v>59049.576250000006</v>
      </c>
      <c r="T122" s="754"/>
      <c r="U122" s="789"/>
      <c r="V122" s="789"/>
      <c r="W122" s="789"/>
      <c r="X122" s="789"/>
      <c r="Y122" s="767"/>
      <c r="Z122" s="767"/>
    </row>
    <row r="123" spans="1:26">
      <c r="A123" s="774" t="s">
        <v>540</v>
      </c>
      <c r="B123" s="774" t="s">
        <v>1009</v>
      </c>
      <c r="C123" s="775">
        <v>114</v>
      </c>
      <c r="D123" s="776" t="str">
        <f t="shared" si="19"/>
        <v>1810.99</v>
      </c>
      <c r="E123" s="865" t="s">
        <v>1010</v>
      </c>
      <c r="F123" s="826"/>
      <c r="G123" s="786">
        <v>-2104120.19</v>
      </c>
      <c r="H123" s="826">
        <v>-2093227.2</v>
      </c>
      <c r="I123" s="826">
        <v>-2077862.81</v>
      </c>
      <c r="J123" s="868">
        <v>-2066981.14</v>
      </c>
      <c r="K123" s="868">
        <v>-2056099.47</v>
      </c>
      <c r="L123" s="826">
        <v>-2045217.8</v>
      </c>
      <c r="M123" s="826">
        <v>-2034336.13</v>
      </c>
      <c r="N123" s="826">
        <v>-2023454.46</v>
      </c>
      <c r="O123" s="826">
        <v>-2012572.79</v>
      </c>
      <c r="P123" s="826">
        <v>-2001691.12</v>
      </c>
      <c r="Q123" s="826">
        <v>-1990809.45</v>
      </c>
      <c r="R123" s="826">
        <v>-1979927.78</v>
      </c>
      <c r="S123" s="780">
        <f t="shared" si="13"/>
        <v>-1958028.0374999999</v>
      </c>
      <c r="T123" s="754"/>
      <c r="U123" s="789"/>
      <c r="V123" s="789"/>
      <c r="W123" s="789"/>
      <c r="X123" s="789"/>
      <c r="Y123" s="767"/>
      <c r="Z123" s="767"/>
    </row>
    <row r="124" spans="1:26">
      <c r="A124" s="774"/>
      <c r="B124" s="774"/>
      <c r="C124" s="775">
        <v>115</v>
      </c>
      <c r="D124" s="776"/>
      <c r="E124" s="869" t="s">
        <v>562</v>
      </c>
      <c r="F124" s="778">
        <f>SUM(F111:F123)</f>
        <v>2218763.2799999998</v>
      </c>
      <c r="G124" s="778">
        <f t="shared" ref="G124:S124" si="20">SUM(G111:G123)</f>
        <v>100291.77000000002</v>
      </c>
      <c r="H124" s="778">
        <f t="shared" si="20"/>
        <v>96833.440000000177</v>
      </c>
      <c r="I124" s="778">
        <f t="shared" si="20"/>
        <v>93375.10999999987</v>
      </c>
      <c r="J124" s="778">
        <f t="shared" si="20"/>
        <v>89916.780000000028</v>
      </c>
      <c r="K124" s="778">
        <f t="shared" si="20"/>
        <v>86458.450000000419</v>
      </c>
      <c r="L124" s="778">
        <f t="shared" si="20"/>
        <v>83000.120000000345</v>
      </c>
      <c r="M124" s="778">
        <f t="shared" si="20"/>
        <v>79541.790000000037</v>
      </c>
      <c r="N124" s="778">
        <f t="shared" si="20"/>
        <v>76083.460000000428</v>
      </c>
      <c r="O124" s="778">
        <f t="shared" si="20"/>
        <v>72625.130000000354</v>
      </c>
      <c r="P124" s="778">
        <f t="shared" si="20"/>
        <v>69166.800000000047</v>
      </c>
      <c r="Q124" s="778">
        <f t="shared" si="20"/>
        <v>65708.470000000205</v>
      </c>
      <c r="R124" s="778">
        <f t="shared" si="20"/>
        <v>62250.139999999898</v>
      </c>
      <c r="S124" s="778">
        <f t="shared" si="20"/>
        <v>171125.66916666715</v>
      </c>
      <c r="T124" s="754"/>
      <c r="U124" s="790">
        <f>S124</f>
        <v>171125.66916666715</v>
      </c>
      <c r="V124" s="790"/>
      <c r="W124" s="789"/>
      <c r="X124" s="789"/>
      <c r="Y124" s="767"/>
      <c r="Z124" s="767"/>
    </row>
    <row r="125" spans="1:26">
      <c r="A125" s="774"/>
      <c r="B125" s="774"/>
      <c r="C125" s="775">
        <v>116</v>
      </c>
      <c r="D125" s="776"/>
      <c r="E125" s="870"/>
      <c r="F125" s="778"/>
      <c r="G125" s="860"/>
      <c r="H125" s="780"/>
      <c r="I125" s="780"/>
      <c r="J125" s="781"/>
      <c r="K125" s="782"/>
      <c r="L125" s="783"/>
      <c r="M125" s="784"/>
      <c r="N125" s="785"/>
      <c r="O125" s="786"/>
      <c r="P125" s="787"/>
      <c r="Q125" s="861"/>
      <c r="R125" s="778"/>
      <c r="S125" s="780">
        <f t="shared" si="13"/>
        <v>0</v>
      </c>
      <c r="T125" s="754"/>
      <c r="U125" s="789"/>
      <c r="V125" s="789"/>
      <c r="W125" s="789"/>
      <c r="X125" s="789"/>
      <c r="Y125" s="767"/>
      <c r="Z125" s="767"/>
    </row>
    <row r="126" spans="1:26">
      <c r="A126" s="774" t="s">
        <v>563</v>
      </c>
      <c r="B126" s="774" t="s">
        <v>524</v>
      </c>
      <c r="C126" s="775">
        <v>117</v>
      </c>
      <c r="D126" s="776" t="str">
        <f>A126&amp;"."&amp;B126</f>
        <v>1890.01</v>
      </c>
      <c r="E126" s="869" t="s">
        <v>564</v>
      </c>
      <c r="F126" s="778">
        <v>0</v>
      </c>
      <c r="G126" s="860">
        <v>0</v>
      </c>
      <c r="H126" s="780">
        <v>0</v>
      </c>
      <c r="I126" s="780">
        <v>0</v>
      </c>
      <c r="J126" s="781">
        <v>0</v>
      </c>
      <c r="K126" s="782">
        <v>0</v>
      </c>
      <c r="L126" s="783">
        <v>0</v>
      </c>
      <c r="M126" s="784">
        <v>0</v>
      </c>
      <c r="N126" s="785">
        <v>0</v>
      </c>
      <c r="O126" s="786">
        <v>0</v>
      </c>
      <c r="P126" s="787">
        <v>0</v>
      </c>
      <c r="Q126" s="861">
        <v>0</v>
      </c>
      <c r="R126" s="778">
        <v>0</v>
      </c>
      <c r="S126" s="780">
        <f t="shared" si="13"/>
        <v>0</v>
      </c>
      <c r="T126" s="754"/>
      <c r="U126" s="789"/>
      <c r="V126" s="789"/>
      <c r="W126" s="789"/>
      <c r="X126" s="789"/>
      <c r="Y126" s="767"/>
      <c r="Z126" s="767"/>
    </row>
    <row r="127" spans="1:26">
      <c r="A127" s="774" t="s">
        <v>563</v>
      </c>
      <c r="B127" s="774" t="s">
        <v>504</v>
      </c>
      <c r="C127" s="775">
        <v>118</v>
      </c>
      <c r="D127" s="776" t="str">
        <f>A127&amp;"."&amp;B127</f>
        <v>1890.02</v>
      </c>
      <c r="E127" s="777" t="s">
        <v>565</v>
      </c>
      <c r="F127" s="778">
        <v>0</v>
      </c>
      <c r="G127" s="860">
        <v>0</v>
      </c>
      <c r="H127" s="780">
        <v>0</v>
      </c>
      <c r="I127" s="780">
        <v>0</v>
      </c>
      <c r="J127" s="781">
        <v>0</v>
      </c>
      <c r="K127" s="782">
        <v>0</v>
      </c>
      <c r="L127" s="783">
        <v>0</v>
      </c>
      <c r="M127" s="784">
        <v>0</v>
      </c>
      <c r="N127" s="785">
        <v>0</v>
      </c>
      <c r="O127" s="786">
        <v>0</v>
      </c>
      <c r="P127" s="787">
        <v>0</v>
      </c>
      <c r="Q127" s="861">
        <v>0</v>
      </c>
      <c r="R127" s="778">
        <v>0</v>
      </c>
      <c r="S127" s="780">
        <f t="shared" si="13"/>
        <v>0</v>
      </c>
      <c r="T127" s="754"/>
      <c r="U127" s="789"/>
      <c r="V127" s="789"/>
      <c r="W127" s="789"/>
      <c r="X127" s="789"/>
      <c r="Y127" s="767"/>
      <c r="Z127" s="767"/>
    </row>
    <row r="128" spans="1:26">
      <c r="A128" s="774" t="s">
        <v>563</v>
      </c>
      <c r="B128" s="774" t="s">
        <v>566</v>
      </c>
      <c r="C128" s="775">
        <v>119</v>
      </c>
      <c r="D128" s="776" t="str">
        <f>A128&amp;"."&amp;B128</f>
        <v>1890.03</v>
      </c>
      <c r="E128" s="777" t="s">
        <v>567</v>
      </c>
      <c r="F128" s="778">
        <v>0</v>
      </c>
      <c r="G128" s="860">
        <v>0</v>
      </c>
      <c r="H128" s="780">
        <v>0</v>
      </c>
      <c r="I128" s="780">
        <v>0</v>
      </c>
      <c r="J128" s="781">
        <v>0</v>
      </c>
      <c r="K128" s="782">
        <v>0</v>
      </c>
      <c r="L128" s="783">
        <v>0</v>
      </c>
      <c r="M128" s="784">
        <v>0</v>
      </c>
      <c r="N128" s="785">
        <v>0</v>
      </c>
      <c r="O128" s="786">
        <v>0</v>
      </c>
      <c r="P128" s="787">
        <v>0</v>
      </c>
      <c r="Q128" s="861">
        <v>0</v>
      </c>
      <c r="R128" s="778">
        <v>0</v>
      </c>
      <c r="S128" s="780">
        <f t="shared" si="13"/>
        <v>0</v>
      </c>
      <c r="T128" s="754"/>
      <c r="U128" s="789"/>
      <c r="V128" s="789"/>
      <c r="W128" s="789"/>
      <c r="X128" s="789"/>
      <c r="Y128" s="767"/>
      <c r="Z128" s="767"/>
    </row>
    <row r="129" spans="1:26">
      <c r="A129" s="774" t="s">
        <v>563</v>
      </c>
      <c r="B129" s="774" t="s">
        <v>568</v>
      </c>
      <c r="C129" s="775">
        <v>120</v>
      </c>
      <c r="D129" s="776" t="str">
        <f>A129&amp;"."&amp;B129</f>
        <v>1890.04</v>
      </c>
      <c r="E129" s="777" t="s">
        <v>569</v>
      </c>
      <c r="F129" s="778">
        <v>867212.39</v>
      </c>
      <c r="G129" s="860">
        <v>863798.17</v>
      </c>
      <c r="H129" s="780">
        <v>860383.95</v>
      </c>
      <c r="I129" s="780">
        <v>856969.73</v>
      </c>
      <c r="J129" s="781">
        <v>853555.51</v>
      </c>
      <c r="K129" s="782">
        <v>850141.29</v>
      </c>
      <c r="L129" s="783">
        <v>846727.07</v>
      </c>
      <c r="M129" s="784">
        <v>843312.85</v>
      </c>
      <c r="N129" s="785">
        <v>839898.63</v>
      </c>
      <c r="O129" s="786">
        <v>836484.41</v>
      </c>
      <c r="P129" s="787">
        <v>833070.19</v>
      </c>
      <c r="Q129" s="861">
        <v>829655.97</v>
      </c>
      <c r="R129" s="778">
        <v>826241.75</v>
      </c>
      <c r="S129" s="780">
        <f t="shared" si="13"/>
        <v>846727.07000000018</v>
      </c>
      <c r="T129" s="754"/>
      <c r="U129" s="789"/>
      <c r="V129" s="789"/>
      <c r="W129" s="789"/>
      <c r="X129" s="789"/>
      <c r="Y129" s="767"/>
      <c r="Z129" s="767"/>
    </row>
    <row r="130" spans="1:26">
      <c r="A130" s="774" t="s">
        <v>563</v>
      </c>
      <c r="B130" s="774"/>
      <c r="C130" s="775">
        <v>121</v>
      </c>
      <c r="D130" s="776"/>
      <c r="E130" s="777" t="s">
        <v>570</v>
      </c>
      <c r="F130" s="778">
        <v>0</v>
      </c>
      <c r="G130" s="871">
        <v>0</v>
      </c>
      <c r="H130" s="780">
        <v>0</v>
      </c>
      <c r="I130" s="780">
        <v>0</v>
      </c>
      <c r="J130" s="781">
        <v>0</v>
      </c>
      <c r="K130" s="782">
        <v>0</v>
      </c>
      <c r="L130" s="783">
        <v>0</v>
      </c>
      <c r="M130" s="784">
        <v>0</v>
      </c>
      <c r="N130" s="785">
        <v>0</v>
      </c>
      <c r="O130" s="786">
        <v>0</v>
      </c>
      <c r="P130" s="787">
        <v>0</v>
      </c>
      <c r="Q130" s="866">
        <v>0</v>
      </c>
      <c r="R130" s="778">
        <v>0</v>
      </c>
      <c r="S130" s="780">
        <f t="shared" si="13"/>
        <v>0</v>
      </c>
      <c r="T130" s="754"/>
      <c r="U130" s="789"/>
      <c r="V130" s="789"/>
      <c r="W130" s="789"/>
      <c r="X130" s="789"/>
      <c r="Y130" s="767"/>
      <c r="Z130" s="767"/>
    </row>
    <row r="131" spans="1:26">
      <c r="A131" s="774"/>
      <c r="B131" s="774"/>
      <c r="C131" s="775">
        <v>122</v>
      </c>
      <c r="D131" s="776"/>
      <c r="E131" s="777"/>
      <c r="F131" s="791"/>
      <c r="G131" s="863"/>
      <c r="H131" s="793"/>
      <c r="I131" s="793"/>
      <c r="J131" s="794"/>
      <c r="K131" s="795"/>
      <c r="L131" s="796"/>
      <c r="M131" s="797"/>
      <c r="N131" s="798"/>
      <c r="O131" s="799"/>
      <c r="P131" s="800"/>
      <c r="Q131" s="864"/>
      <c r="R131" s="791"/>
      <c r="S131" s="780">
        <f t="shared" si="13"/>
        <v>0</v>
      </c>
      <c r="T131" s="754"/>
      <c r="U131" s="789"/>
      <c r="V131" s="789"/>
      <c r="W131" s="789"/>
      <c r="X131" s="789"/>
      <c r="Y131" s="767"/>
      <c r="Z131" s="767"/>
    </row>
    <row r="132" spans="1:26">
      <c r="A132" s="774"/>
      <c r="B132" s="774"/>
      <c r="C132" s="775">
        <v>123</v>
      </c>
      <c r="D132" s="776"/>
      <c r="E132" s="777" t="s">
        <v>562</v>
      </c>
      <c r="F132" s="802">
        <f>SUM(F126:F130)</f>
        <v>867212.39</v>
      </c>
      <c r="G132" s="802">
        <f t="shared" ref="G132:S132" si="21">SUM(G126:G130)</f>
        <v>863798.17</v>
      </c>
      <c r="H132" s="802">
        <f t="shared" si="21"/>
        <v>860383.95</v>
      </c>
      <c r="I132" s="802">
        <f t="shared" si="21"/>
        <v>856969.73</v>
      </c>
      <c r="J132" s="802">
        <f t="shared" si="21"/>
        <v>853555.51</v>
      </c>
      <c r="K132" s="802">
        <f t="shared" si="21"/>
        <v>850141.29</v>
      </c>
      <c r="L132" s="802">
        <f t="shared" si="21"/>
        <v>846727.07</v>
      </c>
      <c r="M132" s="802">
        <f t="shared" si="21"/>
        <v>843312.85</v>
      </c>
      <c r="N132" s="802">
        <f t="shared" si="21"/>
        <v>839898.63</v>
      </c>
      <c r="O132" s="802">
        <f t="shared" si="21"/>
        <v>836484.41</v>
      </c>
      <c r="P132" s="802">
        <f t="shared" si="21"/>
        <v>833070.19</v>
      </c>
      <c r="Q132" s="802">
        <f t="shared" si="21"/>
        <v>829655.97</v>
      </c>
      <c r="R132" s="802">
        <f t="shared" si="21"/>
        <v>826241.75</v>
      </c>
      <c r="S132" s="802">
        <f t="shared" si="21"/>
        <v>846727.07000000018</v>
      </c>
      <c r="T132" s="754"/>
      <c r="U132" s="790">
        <f>S132</f>
        <v>846727.07000000018</v>
      </c>
      <c r="V132" s="790"/>
      <c r="W132" s="789"/>
      <c r="X132" s="789"/>
      <c r="Y132" s="767"/>
      <c r="Z132" s="767"/>
    </row>
    <row r="133" spans="1:26">
      <c r="A133" s="774"/>
      <c r="B133" s="774"/>
      <c r="C133" s="775">
        <v>124</v>
      </c>
      <c r="D133" s="776"/>
      <c r="E133" s="832"/>
      <c r="F133" s="778"/>
      <c r="G133" s="860"/>
      <c r="H133" s="780"/>
      <c r="I133" s="780"/>
      <c r="J133" s="781"/>
      <c r="K133" s="782"/>
      <c r="L133" s="783"/>
      <c r="M133" s="784"/>
      <c r="N133" s="785"/>
      <c r="O133" s="786"/>
      <c r="P133" s="787"/>
      <c r="Q133" s="861"/>
      <c r="R133" s="778"/>
      <c r="S133" s="780">
        <f t="shared" si="13"/>
        <v>0</v>
      </c>
      <c r="T133" s="754"/>
      <c r="U133" s="789"/>
      <c r="V133" s="789"/>
      <c r="W133" s="789"/>
      <c r="X133" s="789"/>
      <c r="Y133" s="767"/>
      <c r="Z133" s="767"/>
    </row>
    <row r="134" spans="1:26">
      <c r="A134" s="774" t="s">
        <v>523</v>
      </c>
      <c r="B134" s="774" t="s">
        <v>504</v>
      </c>
      <c r="C134" s="775">
        <v>125</v>
      </c>
      <c r="D134" s="776" t="str">
        <f>A134&amp;"."&amp;B134</f>
        <v>1750.02</v>
      </c>
      <c r="E134" s="777" t="s">
        <v>571</v>
      </c>
      <c r="F134" s="778">
        <v>0</v>
      </c>
      <c r="G134" s="860">
        <v>0</v>
      </c>
      <c r="H134" s="780">
        <v>0</v>
      </c>
      <c r="I134" s="780">
        <v>0</v>
      </c>
      <c r="J134" s="781">
        <v>0</v>
      </c>
      <c r="K134" s="782">
        <v>0</v>
      </c>
      <c r="L134" s="783">
        <v>0</v>
      </c>
      <c r="M134" s="784">
        <v>0</v>
      </c>
      <c r="N134" s="785">
        <v>0</v>
      </c>
      <c r="O134" s="786">
        <v>0</v>
      </c>
      <c r="P134" s="787">
        <v>0</v>
      </c>
      <c r="Q134" s="861">
        <v>0</v>
      </c>
      <c r="R134" s="778">
        <v>0</v>
      </c>
      <c r="S134" s="780">
        <f t="shared" si="13"/>
        <v>0</v>
      </c>
      <c r="T134" s="754"/>
      <c r="U134" s="789"/>
      <c r="V134" s="789"/>
      <c r="W134" s="789"/>
      <c r="X134" s="789"/>
      <c r="Y134" s="767"/>
      <c r="Z134" s="767"/>
    </row>
    <row r="135" spans="1:26">
      <c r="A135" s="774" t="s">
        <v>511</v>
      </c>
      <c r="B135" s="774" t="s">
        <v>572</v>
      </c>
      <c r="C135" s="775">
        <v>126</v>
      </c>
      <c r="D135" s="776" t="str">
        <f>A135&amp;"."&amp;B135</f>
        <v>1659.[21]</v>
      </c>
      <c r="E135" s="777" t="s">
        <v>517</v>
      </c>
      <c r="F135" s="778">
        <v>0</v>
      </c>
      <c r="G135" s="860">
        <v>0</v>
      </c>
      <c r="H135" s="780">
        <v>0</v>
      </c>
      <c r="I135" s="780">
        <v>0</v>
      </c>
      <c r="J135" s="781">
        <v>0</v>
      </c>
      <c r="K135" s="782">
        <v>0</v>
      </c>
      <c r="L135" s="783">
        <v>0</v>
      </c>
      <c r="M135" s="784">
        <v>0</v>
      </c>
      <c r="N135" s="785">
        <v>0</v>
      </c>
      <c r="O135" s="786">
        <v>0</v>
      </c>
      <c r="P135" s="787">
        <v>0</v>
      </c>
      <c r="Q135" s="861">
        <v>0</v>
      </c>
      <c r="R135" s="778">
        <v>0</v>
      </c>
      <c r="S135" s="780">
        <f t="shared" si="13"/>
        <v>0</v>
      </c>
      <c r="T135" s="754"/>
      <c r="U135" s="789"/>
      <c r="V135" s="789"/>
      <c r="W135" s="789"/>
      <c r="X135" s="789"/>
      <c r="Y135" s="767"/>
      <c r="Z135" s="767"/>
    </row>
    <row r="136" spans="1:26">
      <c r="A136" s="774" t="s">
        <v>573</v>
      </c>
      <c r="B136" s="774" t="s">
        <v>410</v>
      </c>
      <c r="C136" s="775">
        <v>127</v>
      </c>
      <c r="D136" s="872" t="str">
        <f>+A136</f>
        <v>1823</v>
      </c>
      <c r="E136" s="777" t="s">
        <v>574</v>
      </c>
      <c r="F136" s="778">
        <v>51471119.32</v>
      </c>
      <c r="G136" s="860">
        <v>51474103.770000003</v>
      </c>
      <c r="H136" s="780">
        <v>51477105.710000001</v>
      </c>
      <c r="I136" s="780">
        <v>52358916.280000001</v>
      </c>
      <c r="J136" s="781">
        <v>52361745.270000003</v>
      </c>
      <c r="K136" s="782">
        <v>52364591.909999996</v>
      </c>
      <c r="L136" s="783">
        <v>52367591.340000004</v>
      </c>
      <c r="M136" s="784">
        <v>52400689.82</v>
      </c>
      <c r="N136" s="785">
        <v>52517843.890000001</v>
      </c>
      <c r="O136" s="786">
        <v>52859086.200000003</v>
      </c>
      <c r="P136" s="787">
        <v>53863817.210000001</v>
      </c>
      <c r="Q136" s="861">
        <v>52299664.549999997</v>
      </c>
      <c r="R136" s="778">
        <v>49627340.659999996</v>
      </c>
      <c r="S136" s="780">
        <f t="shared" si="13"/>
        <v>52241198.828333326</v>
      </c>
      <c r="T136" s="754"/>
      <c r="U136" s="789"/>
      <c r="V136" s="789"/>
      <c r="W136" s="789"/>
      <c r="X136" s="790">
        <f>S136</f>
        <v>52241198.828333326</v>
      </c>
      <c r="Y136" s="767"/>
      <c r="Z136" s="767"/>
    </row>
    <row r="137" spans="1:26">
      <c r="A137" s="774" t="s">
        <v>575</v>
      </c>
      <c r="B137" s="774" t="s">
        <v>410</v>
      </c>
      <c r="C137" s="775">
        <v>128</v>
      </c>
      <c r="D137" s="872" t="str">
        <f>+A137</f>
        <v>1840</v>
      </c>
      <c r="E137" s="777" t="s">
        <v>576</v>
      </c>
      <c r="F137" s="778">
        <v>-67632.320000000007</v>
      </c>
      <c r="G137" s="860">
        <v>-113186.96</v>
      </c>
      <c r="H137" s="780">
        <v>-63619.71</v>
      </c>
      <c r="I137" s="780">
        <v>-145417.21</v>
      </c>
      <c r="J137" s="781">
        <v>-161351.10999999999</v>
      </c>
      <c r="K137" s="782">
        <v>-127223.8</v>
      </c>
      <c r="L137" s="783">
        <v>-111028.91</v>
      </c>
      <c r="M137" s="784">
        <v>-91144.65</v>
      </c>
      <c r="N137" s="785">
        <v>-131459.70000000001</v>
      </c>
      <c r="O137" s="786">
        <v>-150701.76999999999</v>
      </c>
      <c r="P137" s="787">
        <v>-159252.68</v>
      </c>
      <c r="Q137" s="861">
        <v>-109616.47</v>
      </c>
      <c r="R137" s="778">
        <v>-64198.02</v>
      </c>
      <c r="S137" s="780">
        <f t="shared" si="13"/>
        <v>-119159.84499999999</v>
      </c>
      <c r="T137" s="754"/>
      <c r="U137" s="789"/>
      <c r="V137" s="789"/>
      <c r="W137" s="789"/>
      <c r="X137" s="790">
        <f>S137</f>
        <v>-119159.84499999999</v>
      </c>
      <c r="Y137" s="767"/>
      <c r="Z137" s="767"/>
    </row>
    <row r="138" spans="1:26">
      <c r="A138" s="774" t="s">
        <v>577</v>
      </c>
      <c r="B138" s="774" t="s">
        <v>410</v>
      </c>
      <c r="C138" s="775">
        <v>129</v>
      </c>
      <c r="D138" s="776" t="s">
        <v>578</v>
      </c>
      <c r="E138" s="777" t="s">
        <v>579</v>
      </c>
      <c r="F138" s="778">
        <v>10483.599999999904</v>
      </c>
      <c r="G138" s="860">
        <v>-18042.14999999998</v>
      </c>
      <c r="H138" s="780">
        <v>-35788.390000000007</v>
      </c>
      <c r="I138" s="780">
        <v>-81566.23000000001</v>
      </c>
      <c r="J138" s="781">
        <v>-75237.210000000021</v>
      </c>
      <c r="K138" s="782">
        <v>-87120.2</v>
      </c>
      <c r="L138" s="783">
        <v>-142541.12</v>
      </c>
      <c r="M138" s="784">
        <v>-155721.53</v>
      </c>
      <c r="N138" s="785">
        <v>-128242.37999999998</v>
      </c>
      <c r="O138" s="786">
        <v>-104739.90000000002</v>
      </c>
      <c r="P138" s="787">
        <v>-68900.88</v>
      </c>
      <c r="Q138" s="861">
        <v>-15703.479999999996</v>
      </c>
      <c r="R138" s="778">
        <v>168813.16999999998</v>
      </c>
      <c r="S138" s="780">
        <f t="shared" si="13"/>
        <v>-68662.923750000002</v>
      </c>
      <c r="T138" s="754"/>
      <c r="U138" s="789"/>
      <c r="V138" s="789"/>
      <c r="W138" s="789"/>
      <c r="X138" s="790">
        <f>S138</f>
        <v>-68662.923750000002</v>
      </c>
      <c r="Y138" s="767"/>
      <c r="Z138" s="767"/>
    </row>
    <row r="139" spans="1:26">
      <c r="A139" s="774" t="s">
        <v>518</v>
      </c>
      <c r="B139" s="774" t="s">
        <v>580</v>
      </c>
      <c r="C139" s="775">
        <v>130</v>
      </c>
      <c r="D139" s="776" t="str">
        <f t="shared" ref="D139:D145" si="22">A139&amp;"."&amp;B139</f>
        <v>1860.205*</v>
      </c>
      <c r="E139" s="777" t="s">
        <v>581</v>
      </c>
      <c r="F139" s="778">
        <v>0</v>
      </c>
      <c r="G139" s="860">
        <v>0</v>
      </c>
      <c r="H139" s="780">
        <v>0</v>
      </c>
      <c r="I139" s="780">
        <v>0</v>
      </c>
      <c r="J139" s="781">
        <v>0</v>
      </c>
      <c r="K139" s="782">
        <v>0</v>
      </c>
      <c r="L139" s="783">
        <v>0</v>
      </c>
      <c r="M139" s="784">
        <v>0</v>
      </c>
      <c r="N139" s="785">
        <v>0</v>
      </c>
      <c r="O139" s="786">
        <v>0</v>
      </c>
      <c r="P139" s="787">
        <v>0</v>
      </c>
      <c r="Q139" s="861">
        <v>0</v>
      </c>
      <c r="R139" s="778">
        <v>0</v>
      </c>
      <c r="S139" s="780">
        <f t="shared" si="13"/>
        <v>0</v>
      </c>
      <c r="T139" s="754"/>
      <c r="U139" s="789"/>
      <c r="V139" s="789"/>
      <c r="W139" s="789"/>
      <c r="X139" s="789"/>
      <c r="Y139" s="767"/>
      <c r="Z139" s="767"/>
    </row>
    <row r="140" spans="1:26">
      <c r="A140" s="774" t="s">
        <v>518</v>
      </c>
      <c r="B140" s="774" t="s">
        <v>582</v>
      </c>
      <c r="C140" s="775">
        <v>131</v>
      </c>
      <c r="D140" s="776" t="str">
        <f t="shared" si="22"/>
        <v>1860.201*</v>
      </c>
      <c r="E140" s="777" t="s">
        <v>583</v>
      </c>
      <c r="F140" s="778">
        <v>0</v>
      </c>
      <c r="G140" s="860">
        <v>0</v>
      </c>
      <c r="H140" s="780">
        <v>0</v>
      </c>
      <c r="I140" s="780">
        <v>0</v>
      </c>
      <c r="J140" s="781">
        <v>0</v>
      </c>
      <c r="K140" s="782">
        <v>0</v>
      </c>
      <c r="L140" s="783">
        <v>0</v>
      </c>
      <c r="M140" s="784">
        <v>0</v>
      </c>
      <c r="N140" s="785">
        <v>0</v>
      </c>
      <c r="O140" s="786">
        <v>0</v>
      </c>
      <c r="P140" s="787">
        <v>0</v>
      </c>
      <c r="Q140" s="861">
        <v>0</v>
      </c>
      <c r="R140" s="778">
        <v>0</v>
      </c>
      <c r="S140" s="780">
        <f t="shared" ref="S140:S203" si="23">((F140+R140)+((G140+H140+I140+J140+K140+L140+M140+N140+O140+P140+Q140)*2))/24</f>
        <v>0</v>
      </c>
      <c r="T140" s="754"/>
      <c r="U140" s="789"/>
      <c r="V140" s="789"/>
      <c r="W140" s="789"/>
      <c r="X140" s="789"/>
      <c r="Y140" s="767"/>
      <c r="Z140" s="767"/>
    </row>
    <row r="141" spans="1:26">
      <c r="A141" s="774" t="s">
        <v>518</v>
      </c>
      <c r="B141" s="774" t="s">
        <v>584</v>
      </c>
      <c r="C141" s="775">
        <v>132</v>
      </c>
      <c r="D141" s="776" t="str">
        <f t="shared" si="22"/>
        <v>1860.202*</v>
      </c>
      <c r="E141" s="777" t="s">
        <v>585</v>
      </c>
      <c r="F141" s="778">
        <v>998935.74</v>
      </c>
      <c r="G141" s="860">
        <v>985897.7</v>
      </c>
      <c r="H141" s="780">
        <v>970609.92</v>
      </c>
      <c r="I141" s="780">
        <v>954524.1</v>
      </c>
      <c r="J141" s="781">
        <v>938438.28</v>
      </c>
      <c r="K141" s="782">
        <v>962286.22</v>
      </c>
      <c r="L141" s="783">
        <v>953634.98</v>
      </c>
      <c r="M141" s="784">
        <v>945067.25</v>
      </c>
      <c r="N141" s="785">
        <v>936499.52</v>
      </c>
      <c r="O141" s="786">
        <v>927931.79</v>
      </c>
      <c r="P141" s="787">
        <v>944933.42</v>
      </c>
      <c r="Q141" s="861">
        <v>938997.83</v>
      </c>
      <c r="R141" s="778">
        <v>1321815.02</v>
      </c>
      <c r="S141" s="780">
        <f t="shared" si="23"/>
        <v>968266.36583333311</v>
      </c>
      <c r="T141" s="754"/>
      <c r="U141" s="789"/>
      <c r="V141" s="789"/>
      <c r="W141" s="789"/>
      <c r="X141" s="790">
        <f>S141</f>
        <v>968266.36583333311</v>
      </c>
      <c r="Y141" s="767"/>
      <c r="Z141" s="767"/>
    </row>
    <row r="142" spans="1:26">
      <c r="A142" s="750" t="s">
        <v>518</v>
      </c>
      <c r="B142" s="750" t="s">
        <v>586</v>
      </c>
      <c r="C142" s="775">
        <v>133</v>
      </c>
      <c r="D142" s="752" t="str">
        <f t="shared" si="22"/>
        <v>1860.20206</v>
      </c>
      <c r="E142" s="777" t="s">
        <v>587</v>
      </c>
      <c r="F142" s="778">
        <v>0</v>
      </c>
      <c r="G142" s="860">
        <v>0</v>
      </c>
      <c r="H142" s="780">
        <v>0</v>
      </c>
      <c r="I142" s="780">
        <v>0</v>
      </c>
      <c r="J142" s="781">
        <v>0</v>
      </c>
      <c r="K142" s="782">
        <v>0</v>
      </c>
      <c r="L142" s="783">
        <v>0</v>
      </c>
      <c r="M142" s="784">
        <v>0</v>
      </c>
      <c r="N142" s="785">
        <v>0</v>
      </c>
      <c r="O142" s="786">
        <v>0</v>
      </c>
      <c r="P142" s="787">
        <v>0</v>
      </c>
      <c r="Q142" s="861">
        <v>0</v>
      </c>
      <c r="R142" s="778">
        <v>0</v>
      </c>
      <c r="S142" s="780">
        <f t="shared" si="23"/>
        <v>0</v>
      </c>
      <c r="T142" s="754"/>
      <c r="U142" s="789"/>
      <c r="V142" s="789"/>
      <c r="W142" s="789"/>
      <c r="X142" s="789"/>
      <c r="Y142" s="767"/>
      <c r="Z142" s="767"/>
    </row>
    <row r="143" spans="1:26">
      <c r="A143" s="750" t="s">
        <v>518</v>
      </c>
      <c r="B143" s="750" t="s">
        <v>588</v>
      </c>
      <c r="C143" s="775">
        <v>134</v>
      </c>
      <c r="D143" s="752" t="str">
        <f t="shared" si="22"/>
        <v>1860.[20426,20427]</v>
      </c>
      <c r="E143" s="777" t="s">
        <v>589</v>
      </c>
      <c r="F143" s="778">
        <v>0</v>
      </c>
      <c r="G143" s="860">
        <v>0</v>
      </c>
      <c r="H143" s="780">
        <v>0</v>
      </c>
      <c r="I143" s="780">
        <v>0</v>
      </c>
      <c r="J143" s="781">
        <v>0</v>
      </c>
      <c r="K143" s="782">
        <v>0</v>
      </c>
      <c r="L143" s="783">
        <v>0</v>
      </c>
      <c r="M143" s="784">
        <v>0</v>
      </c>
      <c r="N143" s="785">
        <v>0</v>
      </c>
      <c r="O143" s="786">
        <v>0</v>
      </c>
      <c r="P143" s="787">
        <v>0</v>
      </c>
      <c r="Q143" s="861">
        <v>0</v>
      </c>
      <c r="R143" s="778">
        <v>0</v>
      </c>
      <c r="S143" s="780">
        <f t="shared" si="23"/>
        <v>0</v>
      </c>
      <c r="T143" s="754"/>
      <c r="U143" s="789"/>
      <c r="V143" s="789"/>
      <c r="W143" s="789"/>
      <c r="X143" s="789"/>
      <c r="Y143" s="767"/>
      <c r="Z143" s="767"/>
    </row>
    <row r="144" spans="1:26">
      <c r="A144" s="750" t="s">
        <v>518</v>
      </c>
      <c r="B144" s="750" t="s">
        <v>590</v>
      </c>
      <c r="C144" s="775">
        <v>135</v>
      </c>
      <c r="D144" s="752" t="str">
        <f t="shared" si="22"/>
        <v>1860.[204*,/20424,/20425,/20426,/20427]</v>
      </c>
      <c r="E144" s="777" t="s">
        <v>591</v>
      </c>
      <c r="F144" s="778">
        <v>18201108.41</v>
      </c>
      <c r="G144" s="860">
        <v>18252514.34</v>
      </c>
      <c r="H144" s="780">
        <v>18285672.82</v>
      </c>
      <c r="I144" s="780">
        <v>18303837.34</v>
      </c>
      <c r="J144" s="781">
        <v>18324504.629999999</v>
      </c>
      <c r="K144" s="782">
        <v>18311625.559999999</v>
      </c>
      <c r="L144" s="783">
        <v>18019991.59</v>
      </c>
      <c r="M144" s="784">
        <v>17914168.600000001</v>
      </c>
      <c r="N144" s="785">
        <v>17920822.18</v>
      </c>
      <c r="O144" s="786">
        <v>17986542.59</v>
      </c>
      <c r="P144" s="787">
        <v>18015428.170000002</v>
      </c>
      <c r="Q144" s="861">
        <v>19788910.890000001</v>
      </c>
      <c r="R144" s="778">
        <v>20139439.84</v>
      </c>
      <c r="S144" s="780">
        <f t="shared" si="23"/>
        <v>18357857.736249998</v>
      </c>
      <c r="T144" s="754"/>
      <c r="U144" s="789"/>
      <c r="V144" s="789"/>
      <c r="W144" s="873">
        <v>1911203.44</v>
      </c>
      <c r="X144" s="790">
        <f>S144-W144</f>
        <v>16446654.296249999</v>
      </c>
      <c r="Y144" s="767"/>
      <c r="Z144" s="767"/>
    </row>
    <row r="145" spans="1:26">
      <c r="A145" s="750" t="s">
        <v>592</v>
      </c>
      <c r="B145" s="750" t="s">
        <v>593</v>
      </c>
      <c r="C145" s="775">
        <v>136</v>
      </c>
      <c r="D145" s="752" t="str">
        <f t="shared" si="22"/>
        <v>1862.204*</v>
      </c>
      <c r="E145" s="777" t="s">
        <v>594</v>
      </c>
      <c r="F145" s="778">
        <v>4116785.62</v>
      </c>
      <c r="G145" s="860">
        <v>3830666.35</v>
      </c>
      <c r="H145" s="780">
        <v>3987930.69</v>
      </c>
      <c r="I145" s="780">
        <v>4114032.66</v>
      </c>
      <c r="J145" s="781">
        <v>4606809.47</v>
      </c>
      <c r="K145" s="782">
        <v>4557614.63</v>
      </c>
      <c r="L145" s="783">
        <v>4519160.07</v>
      </c>
      <c r="M145" s="784">
        <v>4851295.3099999996</v>
      </c>
      <c r="N145" s="785">
        <v>4921418.24</v>
      </c>
      <c r="O145" s="786">
        <v>5041102.8899999997</v>
      </c>
      <c r="P145" s="787">
        <v>5041177.71</v>
      </c>
      <c r="Q145" s="861">
        <v>7129938.8700000001</v>
      </c>
      <c r="R145" s="778">
        <v>4013684.71</v>
      </c>
      <c r="S145" s="780">
        <f t="shared" si="23"/>
        <v>4722198.5045833327</v>
      </c>
      <c r="T145" s="754"/>
      <c r="U145" s="789"/>
      <c r="V145" s="789"/>
      <c r="W145" s="790">
        <f>S145</f>
        <v>4722198.5045833327</v>
      </c>
      <c r="X145" s="789"/>
      <c r="Y145" s="767"/>
      <c r="Z145" s="767"/>
    </row>
    <row r="146" spans="1:26">
      <c r="A146" s="750" t="s">
        <v>595</v>
      </c>
      <c r="B146" s="750" t="s">
        <v>410</v>
      </c>
      <c r="C146" s="775">
        <v>137</v>
      </c>
      <c r="D146" s="752" t="str">
        <f>+A146</f>
        <v>1866</v>
      </c>
      <c r="E146" s="786" t="s">
        <v>596</v>
      </c>
      <c r="F146" s="804">
        <v>3597416</v>
      </c>
      <c r="G146" s="804">
        <v>3597416</v>
      </c>
      <c r="H146" s="804">
        <v>3597416</v>
      </c>
      <c r="I146" s="804">
        <v>3555871</v>
      </c>
      <c r="J146" s="804">
        <v>3555871</v>
      </c>
      <c r="K146" s="804">
        <v>3555871</v>
      </c>
      <c r="L146" s="804">
        <v>3555871</v>
      </c>
      <c r="M146" s="804">
        <v>3555871</v>
      </c>
      <c r="N146" s="804">
        <v>3555871</v>
      </c>
      <c r="O146" s="806">
        <v>3555871</v>
      </c>
      <c r="P146" s="804">
        <v>3555871</v>
      </c>
      <c r="Q146" s="804">
        <v>3555871</v>
      </c>
      <c r="R146" s="804">
        <v>3555871</v>
      </c>
      <c r="S146" s="780">
        <f t="shared" si="23"/>
        <v>3564526.2083333335</v>
      </c>
      <c r="T146" s="754"/>
      <c r="U146" s="789"/>
      <c r="V146" s="789"/>
      <c r="W146" s="790">
        <f>S146</f>
        <v>3564526.2083333335</v>
      </c>
      <c r="X146" s="790"/>
      <c r="Y146" s="767"/>
      <c r="Z146" s="767"/>
    </row>
    <row r="147" spans="1:26">
      <c r="A147" s="774"/>
      <c r="B147" s="774"/>
      <c r="C147" s="775">
        <v>138</v>
      </c>
      <c r="D147" s="776"/>
      <c r="E147" s="777" t="s">
        <v>597</v>
      </c>
      <c r="F147" s="802">
        <f>SUM(F134:F146)</f>
        <v>78328216.370000005</v>
      </c>
      <c r="G147" s="802">
        <f t="shared" ref="G147:S147" si="24">SUM(G134:G146)</f>
        <v>78009369.049999997</v>
      </c>
      <c r="H147" s="802">
        <f t="shared" si="24"/>
        <v>78219327.039999992</v>
      </c>
      <c r="I147" s="802">
        <f t="shared" si="24"/>
        <v>79060197.939999998</v>
      </c>
      <c r="J147" s="802">
        <f t="shared" si="24"/>
        <v>79550780.329999998</v>
      </c>
      <c r="K147" s="802">
        <f t="shared" si="24"/>
        <v>79537645.319999993</v>
      </c>
      <c r="L147" s="802">
        <f t="shared" si="24"/>
        <v>79162678.950000018</v>
      </c>
      <c r="M147" s="802">
        <f t="shared" si="24"/>
        <v>79420225.800000012</v>
      </c>
      <c r="N147" s="802">
        <f t="shared" si="24"/>
        <v>79592752.749999985</v>
      </c>
      <c r="O147" s="802">
        <f t="shared" si="24"/>
        <v>80115092.799999997</v>
      </c>
      <c r="P147" s="802">
        <f t="shared" si="24"/>
        <v>81193073.950000003</v>
      </c>
      <c r="Q147" s="802">
        <f t="shared" si="24"/>
        <v>83588063.189999998</v>
      </c>
      <c r="R147" s="802">
        <f t="shared" si="24"/>
        <v>78762766.379999995</v>
      </c>
      <c r="S147" s="802">
        <f t="shared" si="24"/>
        <v>79666224.874583319</v>
      </c>
      <c r="T147" s="754"/>
      <c r="U147" s="789"/>
      <c r="V147" s="789"/>
      <c r="W147" s="789"/>
      <c r="X147" s="789"/>
      <c r="Y147" s="767"/>
      <c r="Z147" s="767"/>
    </row>
    <row r="148" spans="1:26">
      <c r="A148" s="774"/>
      <c r="B148" s="774"/>
      <c r="C148" s="775">
        <v>139</v>
      </c>
      <c r="D148" s="776"/>
      <c r="E148" s="832"/>
      <c r="F148" s="778"/>
      <c r="G148" s="860"/>
      <c r="H148" s="780"/>
      <c r="I148" s="780"/>
      <c r="J148" s="781"/>
      <c r="K148" s="782"/>
      <c r="L148" s="783"/>
      <c r="M148" s="784"/>
      <c r="N148" s="785"/>
      <c r="O148" s="786"/>
      <c r="P148" s="787"/>
      <c r="Q148" s="861"/>
      <c r="R148" s="778"/>
      <c r="S148" s="780">
        <f t="shared" si="23"/>
        <v>0</v>
      </c>
      <c r="T148" s="754"/>
      <c r="U148" s="789"/>
      <c r="V148" s="789"/>
      <c r="W148" s="789"/>
      <c r="X148" s="789"/>
      <c r="Y148" s="767"/>
      <c r="Z148" s="767"/>
    </row>
    <row r="149" spans="1:26">
      <c r="A149" s="774" t="s">
        <v>598</v>
      </c>
      <c r="B149" s="774" t="s">
        <v>410</v>
      </c>
      <c r="C149" s="775">
        <v>140</v>
      </c>
      <c r="D149" s="776"/>
      <c r="E149" s="777" t="s">
        <v>599</v>
      </c>
      <c r="F149" s="778">
        <v>156305207.13</v>
      </c>
      <c r="G149" s="860">
        <v>24421868.41</v>
      </c>
      <c r="H149" s="780">
        <v>41171423.25</v>
      </c>
      <c r="I149" s="780">
        <v>56483768.100000001</v>
      </c>
      <c r="J149" s="781">
        <v>64753779.909999996</v>
      </c>
      <c r="K149" s="782">
        <v>70295784.159999996</v>
      </c>
      <c r="L149" s="783">
        <v>75264580.459999993</v>
      </c>
      <c r="M149" s="784">
        <v>79770220.25</v>
      </c>
      <c r="N149" s="785">
        <v>83874065.469999999</v>
      </c>
      <c r="O149" s="786">
        <v>88861448.659999996</v>
      </c>
      <c r="P149" s="787">
        <v>98160199.450000003</v>
      </c>
      <c r="Q149" s="861">
        <v>110210704.31</v>
      </c>
      <c r="R149" s="778">
        <v>135117509.71000001</v>
      </c>
      <c r="S149" s="780">
        <f t="shared" si="23"/>
        <v>78248266.737500012</v>
      </c>
      <c r="T149" s="754"/>
      <c r="U149" s="789"/>
      <c r="V149" s="789"/>
      <c r="W149" s="789"/>
      <c r="X149" s="789"/>
      <c r="Y149" s="767"/>
      <c r="Z149" s="767"/>
    </row>
    <row r="150" spans="1:26">
      <c r="A150" s="774" t="s">
        <v>600</v>
      </c>
      <c r="B150" s="774" t="s">
        <v>410</v>
      </c>
      <c r="C150" s="775">
        <v>141</v>
      </c>
      <c r="D150" s="776"/>
      <c r="E150" s="777" t="s">
        <v>601</v>
      </c>
      <c r="F150" s="778">
        <v>46817597.850000001</v>
      </c>
      <c r="G150" s="860">
        <v>4329047.46</v>
      </c>
      <c r="H150" s="780">
        <v>8144824.2199999997</v>
      </c>
      <c r="I150" s="780">
        <v>11913582.199999999</v>
      </c>
      <c r="J150" s="781">
        <v>15629660.82</v>
      </c>
      <c r="K150" s="782">
        <v>19641103.890000001</v>
      </c>
      <c r="L150" s="783">
        <v>23808301.02</v>
      </c>
      <c r="M150" s="784">
        <v>27425881.100000001</v>
      </c>
      <c r="N150" s="785">
        <v>31996474.899999999</v>
      </c>
      <c r="O150" s="786">
        <v>36090125.700000003</v>
      </c>
      <c r="P150" s="787">
        <v>40028030.579999998</v>
      </c>
      <c r="Q150" s="861">
        <v>44017177.710000001</v>
      </c>
      <c r="R150" s="778">
        <v>48703743.799999997</v>
      </c>
      <c r="S150" s="780">
        <f t="shared" si="23"/>
        <v>25898740.035416666</v>
      </c>
      <c r="T150" s="754"/>
      <c r="U150" s="789"/>
      <c r="V150" s="789"/>
      <c r="W150" s="789"/>
      <c r="X150" s="789"/>
      <c r="Y150" s="767"/>
      <c r="Z150" s="767"/>
    </row>
    <row r="151" spans="1:26">
      <c r="A151" s="750" t="s">
        <v>602</v>
      </c>
      <c r="B151" s="750" t="s">
        <v>603</v>
      </c>
      <c r="C151" s="775">
        <v>142</v>
      </c>
      <c r="D151" s="752"/>
      <c r="E151" s="777" t="s">
        <v>604</v>
      </c>
      <c r="F151" s="778">
        <v>0</v>
      </c>
      <c r="G151" s="860">
        <v>315.98</v>
      </c>
      <c r="H151" s="780">
        <v>315.98</v>
      </c>
      <c r="I151" s="780">
        <v>315.98</v>
      </c>
      <c r="J151" s="781">
        <v>315.98</v>
      </c>
      <c r="K151" s="782">
        <v>315.98</v>
      </c>
      <c r="L151" s="783">
        <v>315.98</v>
      </c>
      <c r="M151" s="784">
        <v>315.98</v>
      </c>
      <c r="N151" s="785">
        <v>315.98</v>
      </c>
      <c r="O151" s="786">
        <v>315.98</v>
      </c>
      <c r="P151" s="787">
        <v>315.98</v>
      </c>
      <c r="Q151" s="861">
        <v>315.98</v>
      </c>
      <c r="R151" s="778">
        <v>315.98</v>
      </c>
      <c r="S151" s="780">
        <f t="shared" si="23"/>
        <v>302.81416666666672</v>
      </c>
      <c r="T151" s="754"/>
      <c r="U151" s="789"/>
      <c r="V151" s="789"/>
      <c r="W151" s="789"/>
      <c r="X151" s="789"/>
      <c r="Y151" s="767"/>
      <c r="Z151" s="767"/>
    </row>
    <row r="152" spans="1:26">
      <c r="A152" s="750" t="s">
        <v>605</v>
      </c>
      <c r="B152" s="750" t="s">
        <v>410</v>
      </c>
      <c r="C152" s="775">
        <v>143</v>
      </c>
      <c r="D152" s="752"/>
      <c r="E152" s="777" t="s">
        <v>606</v>
      </c>
      <c r="F152" s="778">
        <v>5473309.9500000002</v>
      </c>
      <c r="G152" s="860">
        <v>429269.29</v>
      </c>
      <c r="H152" s="780">
        <v>844912.97</v>
      </c>
      <c r="I152" s="780">
        <v>1337555.07</v>
      </c>
      <c r="J152" s="781">
        <v>1801041.39</v>
      </c>
      <c r="K152" s="782">
        <v>2272948.0699999998</v>
      </c>
      <c r="L152" s="783">
        <v>2748701.28</v>
      </c>
      <c r="M152" s="784">
        <v>3219897.06</v>
      </c>
      <c r="N152" s="785">
        <v>3771772.86</v>
      </c>
      <c r="O152" s="786">
        <v>4251828.58</v>
      </c>
      <c r="P152" s="787">
        <v>4693376.74</v>
      </c>
      <c r="Q152" s="861">
        <v>5170135.07</v>
      </c>
      <c r="R152" s="778">
        <v>5729641.6100000003</v>
      </c>
      <c r="S152" s="780">
        <f t="shared" si="23"/>
        <v>3011909.5133333337</v>
      </c>
      <c r="T152" s="754"/>
      <c r="U152" s="789"/>
      <c r="V152" s="789"/>
      <c r="W152" s="789"/>
      <c r="X152" s="789"/>
      <c r="Y152" s="767"/>
      <c r="Z152" s="767"/>
    </row>
    <row r="153" spans="1:26">
      <c r="A153" s="750"/>
      <c r="B153" s="750"/>
      <c r="C153" s="775">
        <v>144</v>
      </c>
      <c r="D153" s="752"/>
      <c r="E153" s="777" t="s">
        <v>607</v>
      </c>
      <c r="F153" s="802">
        <f>SUM(F149:F152)</f>
        <v>208596114.92999998</v>
      </c>
      <c r="G153" s="802">
        <f t="shared" ref="G153:S153" si="25">SUM(G149:G152)</f>
        <v>29180501.140000001</v>
      </c>
      <c r="H153" s="802">
        <f t="shared" si="25"/>
        <v>50161476.419999994</v>
      </c>
      <c r="I153" s="802">
        <f t="shared" si="25"/>
        <v>69735221.349999994</v>
      </c>
      <c r="J153" s="802">
        <f t="shared" si="25"/>
        <v>82184798.099999994</v>
      </c>
      <c r="K153" s="802">
        <f t="shared" si="25"/>
        <v>92210152.099999994</v>
      </c>
      <c r="L153" s="802">
        <f t="shared" si="25"/>
        <v>101821898.73999999</v>
      </c>
      <c r="M153" s="802">
        <f t="shared" si="25"/>
        <v>110416314.39</v>
      </c>
      <c r="N153" s="802">
        <f t="shared" si="25"/>
        <v>119642629.21000001</v>
      </c>
      <c r="O153" s="802">
        <f t="shared" si="25"/>
        <v>129203718.92</v>
      </c>
      <c r="P153" s="802">
        <f t="shared" si="25"/>
        <v>142881922.75</v>
      </c>
      <c r="Q153" s="802">
        <f t="shared" si="25"/>
        <v>159398333.06999999</v>
      </c>
      <c r="R153" s="802">
        <f t="shared" si="25"/>
        <v>189551211.09999999</v>
      </c>
      <c r="S153" s="802">
        <f t="shared" si="25"/>
        <v>107159219.10041668</v>
      </c>
      <c r="T153" s="754"/>
      <c r="U153" s="790">
        <f>S153</f>
        <v>107159219.10041668</v>
      </c>
      <c r="V153" s="789"/>
      <c r="W153" s="789"/>
      <c r="X153" s="790"/>
      <c r="Y153" s="767"/>
      <c r="Z153" s="767"/>
    </row>
    <row r="154" spans="1:26">
      <c r="A154" s="750"/>
      <c r="B154" s="750"/>
      <c r="C154" s="775">
        <v>145</v>
      </c>
      <c r="D154" s="752"/>
      <c r="E154" s="832"/>
      <c r="F154" s="778"/>
      <c r="G154" s="860"/>
      <c r="H154" s="780"/>
      <c r="I154" s="780"/>
      <c r="J154" s="781"/>
      <c r="K154" s="782"/>
      <c r="L154" s="783"/>
      <c r="M154" s="784"/>
      <c r="N154" s="785"/>
      <c r="O154" s="786"/>
      <c r="P154" s="787"/>
      <c r="Q154" s="861"/>
      <c r="R154" s="778"/>
      <c r="S154" s="780">
        <f t="shared" si="23"/>
        <v>0</v>
      </c>
      <c r="T154" s="754"/>
      <c r="U154" s="789"/>
      <c r="V154" s="789"/>
      <c r="W154" s="789"/>
      <c r="X154" s="789"/>
      <c r="Y154" s="767"/>
      <c r="Z154" s="767"/>
    </row>
    <row r="155" spans="1:26">
      <c r="A155" s="750" t="s">
        <v>608</v>
      </c>
      <c r="B155" s="750" t="s">
        <v>410</v>
      </c>
      <c r="C155" s="775">
        <v>146</v>
      </c>
      <c r="D155" s="752" t="str">
        <f>+A155</f>
        <v>4073</v>
      </c>
      <c r="E155" s="777" t="s">
        <v>609</v>
      </c>
      <c r="F155" s="778">
        <v>0</v>
      </c>
      <c r="G155" s="860">
        <v>0</v>
      </c>
      <c r="H155" s="780">
        <v>0</v>
      </c>
      <c r="I155" s="780">
        <v>0</v>
      </c>
      <c r="J155" s="781">
        <v>0</v>
      </c>
      <c r="K155" s="782">
        <v>0</v>
      </c>
      <c r="L155" s="783">
        <v>0</v>
      </c>
      <c r="M155" s="784">
        <v>0</v>
      </c>
      <c r="N155" s="785">
        <v>0</v>
      </c>
      <c r="O155" s="786">
        <v>0</v>
      </c>
      <c r="P155" s="787">
        <v>0</v>
      </c>
      <c r="Q155" s="861">
        <v>0</v>
      </c>
      <c r="R155" s="778">
        <v>0</v>
      </c>
      <c r="S155" s="780">
        <f t="shared" si="23"/>
        <v>0</v>
      </c>
      <c r="T155" s="754"/>
      <c r="U155" s="789"/>
      <c r="V155" s="789"/>
      <c r="W155" s="789"/>
      <c r="X155" s="789"/>
      <c r="Y155" s="767"/>
      <c r="Z155" s="767"/>
    </row>
    <row r="156" spans="1:26">
      <c r="A156" s="750"/>
      <c r="B156" s="750"/>
      <c r="C156" s="775">
        <v>147</v>
      </c>
      <c r="D156" s="752"/>
      <c r="E156" s="832"/>
      <c r="F156" s="778"/>
      <c r="G156" s="860"/>
      <c r="H156" s="780"/>
      <c r="I156" s="780"/>
      <c r="J156" s="781"/>
      <c r="K156" s="782"/>
      <c r="L156" s="783"/>
      <c r="M156" s="784"/>
      <c r="N156" s="785"/>
      <c r="O156" s="786"/>
      <c r="P156" s="787"/>
      <c r="Q156" s="861"/>
      <c r="R156" s="778"/>
      <c r="S156" s="780">
        <f t="shared" si="23"/>
        <v>0</v>
      </c>
      <c r="T156" s="754"/>
      <c r="U156" s="789"/>
      <c r="V156" s="789"/>
      <c r="W156" s="789"/>
      <c r="X156" s="789"/>
      <c r="Y156" s="767"/>
      <c r="Z156" s="767"/>
    </row>
    <row r="157" spans="1:26">
      <c r="A157" s="774" t="s">
        <v>610</v>
      </c>
      <c r="B157" s="774" t="s">
        <v>410</v>
      </c>
      <c r="C157" s="775">
        <v>148</v>
      </c>
      <c r="D157" s="776" t="str">
        <f>+A157</f>
        <v>4081</v>
      </c>
      <c r="E157" s="777" t="s">
        <v>611</v>
      </c>
      <c r="F157" s="778">
        <v>24749541.870000001</v>
      </c>
      <c r="G157" s="860">
        <v>3836972.66</v>
      </c>
      <c r="H157" s="780">
        <v>6751554.4400000004</v>
      </c>
      <c r="I157" s="780">
        <v>9432019.3200000003</v>
      </c>
      <c r="J157" s="781">
        <v>11257476.91</v>
      </c>
      <c r="K157" s="782">
        <v>12596899.210000001</v>
      </c>
      <c r="L157" s="783">
        <v>13829823.17</v>
      </c>
      <c r="M157" s="784">
        <v>14936881.880000001</v>
      </c>
      <c r="N157" s="785">
        <v>15914791.720000001</v>
      </c>
      <c r="O157" s="786">
        <v>17067350.68</v>
      </c>
      <c r="P157" s="787">
        <v>18557185.190000001</v>
      </c>
      <c r="Q157" s="861">
        <v>20462300.530000001</v>
      </c>
      <c r="R157" s="778">
        <v>23821833.370000001</v>
      </c>
      <c r="S157" s="780">
        <f t="shared" si="23"/>
        <v>14077411.944166668</v>
      </c>
      <c r="T157" s="754"/>
      <c r="U157" s="789"/>
      <c r="V157" s="789"/>
      <c r="W157" s="789"/>
      <c r="X157" s="789"/>
      <c r="Y157" s="767"/>
      <c r="Z157" s="767"/>
    </row>
    <row r="158" spans="1:26">
      <c r="A158" s="774" t="s">
        <v>612</v>
      </c>
      <c r="B158" s="774" t="s">
        <v>410</v>
      </c>
      <c r="C158" s="775">
        <v>149</v>
      </c>
      <c r="D158" s="776" t="s">
        <v>613</v>
      </c>
      <c r="E158" s="777" t="s">
        <v>614</v>
      </c>
      <c r="F158" s="778">
        <v>2089762.22</v>
      </c>
      <c r="G158" s="860">
        <v>211533.78</v>
      </c>
      <c r="H158" s="780">
        <v>420032.08</v>
      </c>
      <c r="I158" s="780">
        <v>640876.53</v>
      </c>
      <c r="J158" s="781">
        <v>843451.4</v>
      </c>
      <c r="K158" s="782">
        <v>1017339.53</v>
      </c>
      <c r="L158" s="783">
        <v>1186862.9099999999</v>
      </c>
      <c r="M158" s="784">
        <v>1239648.44</v>
      </c>
      <c r="N158" s="785">
        <v>1429082.66</v>
      </c>
      <c r="O158" s="786">
        <v>1601150.82</v>
      </c>
      <c r="P158" s="787">
        <v>1756791.44</v>
      </c>
      <c r="Q158" s="861">
        <v>1915268.6</v>
      </c>
      <c r="R158" s="778">
        <v>2104822.19</v>
      </c>
      <c r="S158" s="780">
        <f t="shared" si="23"/>
        <v>1196610.86625</v>
      </c>
      <c r="T158" s="754"/>
      <c r="U158" s="789"/>
      <c r="V158" s="789"/>
      <c r="W158" s="789"/>
      <c r="X158" s="789"/>
      <c r="Y158" s="767"/>
      <c r="Z158" s="767"/>
    </row>
    <row r="159" spans="1:26">
      <c r="A159" s="774"/>
      <c r="B159" s="774"/>
      <c r="C159" s="775">
        <v>150</v>
      </c>
      <c r="D159" s="776"/>
      <c r="E159" s="832" t="s">
        <v>615</v>
      </c>
      <c r="F159" s="802">
        <f>+F157+F158</f>
        <v>26839304.09</v>
      </c>
      <c r="G159" s="802">
        <f t="shared" ref="G159:S159" si="26">+G157+G158</f>
        <v>4048506.44</v>
      </c>
      <c r="H159" s="802">
        <f t="shared" si="26"/>
        <v>7171586.5200000005</v>
      </c>
      <c r="I159" s="802">
        <f t="shared" si="26"/>
        <v>10072895.85</v>
      </c>
      <c r="J159" s="802">
        <f t="shared" si="26"/>
        <v>12100928.310000001</v>
      </c>
      <c r="K159" s="802">
        <f t="shared" si="26"/>
        <v>13614238.74</v>
      </c>
      <c r="L159" s="802">
        <f t="shared" si="26"/>
        <v>15016686.08</v>
      </c>
      <c r="M159" s="802">
        <f t="shared" si="26"/>
        <v>16176530.32</v>
      </c>
      <c r="N159" s="802">
        <f t="shared" si="26"/>
        <v>17343874.379999999</v>
      </c>
      <c r="O159" s="802">
        <f t="shared" si="26"/>
        <v>18668501.5</v>
      </c>
      <c r="P159" s="802">
        <f t="shared" si="26"/>
        <v>20313976.630000003</v>
      </c>
      <c r="Q159" s="802">
        <f t="shared" si="26"/>
        <v>22377569.130000003</v>
      </c>
      <c r="R159" s="802">
        <f t="shared" si="26"/>
        <v>25926655.560000002</v>
      </c>
      <c r="S159" s="802">
        <f t="shared" si="26"/>
        <v>15274022.810416669</v>
      </c>
      <c r="T159" s="754"/>
      <c r="U159" s="790">
        <f>S159</f>
        <v>15274022.810416669</v>
      </c>
      <c r="V159" s="789"/>
      <c r="W159" s="789"/>
      <c r="X159" s="790"/>
      <c r="Y159" s="767"/>
      <c r="Z159" s="767"/>
    </row>
    <row r="160" spans="1:26">
      <c r="A160" s="774"/>
      <c r="B160" s="774"/>
      <c r="C160" s="775">
        <v>151</v>
      </c>
      <c r="D160" s="776"/>
      <c r="E160" s="832"/>
      <c r="F160" s="778"/>
      <c r="G160" s="860"/>
      <c r="H160" s="780"/>
      <c r="I160" s="780"/>
      <c r="J160" s="781"/>
      <c r="K160" s="782"/>
      <c r="L160" s="783"/>
      <c r="M160" s="784"/>
      <c r="N160" s="785"/>
      <c r="O160" s="786"/>
      <c r="P160" s="787"/>
      <c r="Q160" s="861"/>
      <c r="R160" s="778"/>
      <c r="S160" s="780">
        <f t="shared" si="23"/>
        <v>0</v>
      </c>
      <c r="T160" s="754"/>
      <c r="U160" s="789"/>
      <c r="V160" s="789"/>
      <c r="W160" s="789"/>
      <c r="X160" s="789"/>
      <c r="Y160" s="767"/>
      <c r="Z160" s="767"/>
    </row>
    <row r="161" spans="1:26">
      <c r="A161" s="774" t="s">
        <v>616</v>
      </c>
      <c r="B161" s="774" t="s">
        <v>410</v>
      </c>
      <c r="C161" s="775">
        <v>152</v>
      </c>
      <c r="D161" s="776" t="str">
        <f>+A161</f>
        <v>4032</v>
      </c>
      <c r="E161" s="777" t="s">
        <v>617</v>
      </c>
      <c r="F161" s="778">
        <v>25145321.359999999</v>
      </c>
      <c r="G161" s="860">
        <v>1807641.44</v>
      </c>
      <c r="H161" s="780">
        <v>3662870.53</v>
      </c>
      <c r="I161" s="780">
        <v>5500503.2699999996</v>
      </c>
      <c r="J161" s="781">
        <v>7345620.5999999996</v>
      </c>
      <c r="K161" s="782">
        <v>9204261.5399999991</v>
      </c>
      <c r="L161" s="783">
        <v>11070351.52</v>
      </c>
      <c r="M161" s="784">
        <v>12942828.140000001</v>
      </c>
      <c r="N161" s="785">
        <v>14826797.029999999</v>
      </c>
      <c r="O161" s="786">
        <v>16728621.310000001</v>
      </c>
      <c r="P161" s="787">
        <v>18641977.399999999</v>
      </c>
      <c r="Q161" s="861">
        <v>20568906.449999999</v>
      </c>
      <c r="R161" s="778">
        <v>22501731.329999998</v>
      </c>
      <c r="S161" s="780">
        <f t="shared" si="23"/>
        <v>12176992.13125</v>
      </c>
      <c r="T161" s="754"/>
      <c r="U161" s="789"/>
      <c r="V161" s="789"/>
      <c r="W161" s="789"/>
      <c r="X161" s="789"/>
      <c r="Y161" s="767"/>
      <c r="Z161" s="767"/>
    </row>
    <row r="162" spans="1:26">
      <c r="A162" s="774" t="s">
        <v>618</v>
      </c>
      <c r="B162" s="774" t="s">
        <v>410</v>
      </c>
      <c r="C162" s="775">
        <v>153</v>
      </c>
      <c r="D162" s="776" t="str">
        <f>+A162</f>
        <v>4042</v>
      </c>
      <c r="E162" s="777" t="s">
        <v>619</v>
      </c>
      <c r="F162" s="778">
        <v>2538010.06</v>
      </c>
      <c r="G162" s="860">
        <v>243401.61</v>
      </c>
      <c r="H162" s="780">
        <v>489696.84</v>
      </c>
      <c r="I162" s="780">
        <v>699331.25</v>
      </c>
      <c r="J162" s="781">
        <v>936229.3</v>
      </c>
      <c r="K162" s="782">
        <v>1172861.54</v>
      </c>
      <c r="L162" s="783">
        <v>1409534.14</v>
      </c>
      <c r="M162" s="784">
        <v>1630631.32</v>
      </c>
      <c r="N162" s="785">
        <v>1851728.5</v>
      </c>
      <c r="O162" s="786">
        <v>2072825.68</v>
      </c>
      <c r="P162" s="787">
        <v>2294485.88</v>
      </c>
      <c r="Q162" s="861">
        <v>2515583.06</v>
      </c>
      <c r="R162" s="778">
        <v>2736728</v>
      </c>
      <c r="S162" s="780">
        <f t="shared" si="23"/>
        <v>1496139.8458333332</v>
      </c>
      <c r="T162" s="754"/>
      <c r="U162" s="789"/>
      <c r="V162" s="789"/>
      <c r="W162" s="789"/>
      <c r="X162" s="789"/>
      <c r="Y162" s="767"/>
      <c r="Z162" s="767"/>
    </row>
    <row r="163" spans="1:26">
      <c r="A163" s="774" t="s">
        <v>620</v>
      </c>
      <c r="B163" s="774" t="s">
        <v>410</v>
      </c>
      <c r="C163" s="775">
        <v>154</v>
      </c>
      <c r="D163" s="776" t="str">
        <f>+A163</f>
        <v>4062</v>
      </c>
      <c r="E163" s="777" t="s">
        <v>621</v>
      </c>
      <c r="F163" s="778">
        <v>0</v>
      </c>
      <c r="G163" s="860">
        <v>0</v>
      </c>
      <c r="H163" s="780">
        <v>0</v>
      </c>
      <c r="I163" s="780">
        <v>0</v>
      </c>
      <c r="J163" s="781">
        <v>0</v>
      </c>
      <c r="K163" s="782">
        <v>0</v>
      </c>
      <c r="L163" s="783">
        <v>0</v>
      </c>
      <c r="M163" s="784">
        <v>0</v>
      </c>
      <c r="N163" s="785">
        <v>0</v>
      </c>
      <c r="O163" s="786">
        <v>0</v>
      </c>
      <c r="P163" s="787">
        <v>0</v>
      </c>
      <c r="Q163" s="861">
        <v>0</v>
      </c>
      <c r="R163" s="778">
        <v>0</v>
      </c>
      <c r="S163" s="780">
        <f t="shared" si="23"/>
        <v>0</v>
      </c>
      <c r="T163" s="754"/>
      <c r="U163" s="789"/>
      <c r="V163" s="789"/>
      <c r="W163" s="789"/>
      <c r="X163" s="789"/>
      <c r="Y163" s="767"/>
      <c r="Z163" s="767"/>
    </row>
    <row r="164" spans="1:26">
      <c r="A164" s="774"/>
      <c r="B164" s="774"/>
      <c r="C164" s="775">
        <v>155</v>
      </c>
      <c r="D164" s="776"/>
      <c r="E164" s="777" t="s">
        <v>622</v>
      </c>
      <c r="F164" s="802">
        <f>SUM(F161:F163)</f>
        <v>27683331.419999998</v>
      </c>
      <c r="G164" s="802">
        <f t="shared" ref="G164:S164" si="27">SUM(G161:G163)</f>
        <v>2051043.0499999998</v>
      </c>
      <c r="H164" s="802">
        <f t="shared" si="27"/>
        <v>4152567.3699999996</v>
      </c>
      <c r="I164" s="802">
        <f t="shared" si="27"/>
        <v>6199834.5199999996</v>
      </c>
      <c r="J164" s="802">
        <f t="shared" si="27"/>
        <v>8281849.8999999994</v>
      </c>
      <c r="K164" s="802">
        <f t="shared" si="27"/>
        <v>10377123.079999998</v>
      </c>
      <c r="L164" s="802">
        <f t="shared" si="27"/>
        <v>12479885.66</v>
      </c>
      <c r="M164" s="802">
        <f t="shared" si="27"/>
        <v>14573459.460000001</v>
      </c>
      <c r="N164" s="802">
        <f t="shared" si="27"/>
        <v>16678525.529999999</v>
      </c>
      <c r="O164" s="802">
        <f t="shared" si="27"/>
        <v>18801446.990000002</v>
      </c>
      <c r="P164" s="802">
        <f t="shared" si="27"/>
        <v>20936463.279999997</v>
      </c>
      <c r="Q164" s="802">
        <f t="shared" si="27"/>
        <v>23084489.509999998</v>
      </c>
      <c r="R164" s="802">
        <f t="shared" si="27"/>
        <v>25238459.329999998</v>
      </c>
      <c r="S164" s="802">
        <f t="shared" si="27"/>
        <v>13673131.977083333</v>
      </c>
      <c r="T164" s="754"/>
      <c r="U164" s="790">
        <f>S164</f>
        <v>13673131.977083333</v>
      </c>
      <c r="V164" s="789"/>
      <c r="W164" s="789"/>
      <c r="X164" s="790"/>
      <c r="Y164" s="767"/>
      <c r="Z164" s="767"/>
    </row>
    <row r="165" spans="1:26">
      <c r="A165" s="774"/>
      <c r="B165" s="774"/>
      <c r="C165" s="775">
        <v>156</v>
      </c>
      <c r="D165" s="776"/>
      <c r="E165" s="832"/>
      <c r="F165" s="778"/>
      <c r="G165" s="860"/>
      <c r="H165" s="780"/>
      <c r="I165" s="780"/>
      <c r="J165" s="781"/>
      <c r="K165" s="782"/>
      <c r="L165" s="783"/>
      <c r="M165" s="784"/>
      <c r="N165" s="785"/>
      <c r="O165" s="786"/>
      <c r="P165" s="787"/>
      <c r="Q165" s="861"/>
      <c r="R165" s="778"/>
      <c r="S165" s="780">
        <f t="shared" si="23"/>
        <v>0</v>
      </c>
      <c r="T165" s="754"/>
      <c r="U165" s="789"/>
      <c r="V165" s="789"/>
      <c r="W165" s="789"/>
      <c r="X165" s="789"/>
      <c r="Y165" s="767"/>
      <c r="Z165" s="767"/>
    </row>
    <row r="166" spans="1:26">
      <c r="A166" s="774" t="s">
        <v>623</v>
      </c>
      <c r="B166" s="774" t="s">
        <v>410</v>
      </c>
      <c r="C166" s="775">
        <v>157</v>
      </c>
      <c r="D166" s="776" t="str">
        <f>+A166</f>
        <v>4271</v>
      </c>
      <c r="E166" s="777" t="s">
        <v>624</v>
      </c>
      <c r="F166" s="778">
        <v>0</v>
      </c>
      <c r="G166" s="860">
        <v>0</v>
      </c>
      <c r="H166" s="780">
        <v>0</v>
      </c>
      <c r="I166" s="780">
        <v>0</v>
      </c>
      <c r="J166" s="781">
        <v>0</v>
      </c>
      <c r="K166" s="782">
        <v>0</v>
      </c>
      <c r="L166" s="783">
        <v>0</v>
      </c>
      <c r="M166" s="784">
        <v>0</v>
      </c>
      <c r="N166" s="785">
        <v>0</v>
      </c>
      <c r="O166" s="786">
        <v>0</v>
      </c>
      <c r="P166" s="787">
        <v>0</v>
      </c>
      <c r="Q166" s="861">
        <v>0</v>
      </c>
      <c r="R166" s="778">
        <v>0</v>
      </c>
      <c r="S166" s="780">
        <f t="shared" si="23"/>
        <v>0</v>
      </c>
      <c r="T166" s="754"/>
      <c r="U166" s="789"/>
      <c r="V166" s="789"/>
      <c r="W166" s="789"/>
      <c r="X166" s="789"/>
      <c r="Y166" s="767"/>
      <c r="Z166" s="767"/>
    </row>
    <row r="167" spans="1:26">
      <c r="A167" s="774" t="s">
        <v>625</v>
      </c>
      <c r="B167" s="774" t="s">
        <v>410</v>
      </c>
      <c r="C167" s="775">
        <v>158</v>
      </c>
      <c r="D167" s="776" t="str">
        <f>+A167</f>
        <v>4279</v>
      </c>
      <c r="E167" s="777" t="s">
        <v>626</v>
      </c>
      <c r="F167" s="778">
        <v>11047666.279999999</v>
      </c>
      <c r="G167" s="860">
        <v>929093.54</v>
      </c>
      <c r="H167" s="780">
        <v>1857968.35</v>
      </c>
      <c r="I167" s="780">
        <v>2786843.12</v>
      </c>
      <c r="J167" s="781">
        <v>3715717.91</v>
      </c>
      <c r="K167" s="782">
        <v>4644373.96</v>
      </c>
      <c r="L167" s="783">
        <v>5573030.0099999998</v>
      </c>
      <c r="M167" s="784">
        <v>6501686.0499999998</v>
      </c>
      <c r="N167" s="785">
        <v>7430263.3399999999</v>
      </c>
      <c r="O167" s="786">
        <v>8358840.6399999997</v>
      </c>
      <c r="P167" s="787">
        <v>9287417.9199999999</v>
      </c>
      <c r="Q167" s="861">
        <v>10215995.220000001</v>
      </c>
      <c r="R167" s="778">
        <v>11144572.52</v>
      </c>
      <c r="S167" s="780">
        <f t="shared" si="23"/>
        <v>6033112.455000001</v>
      </c>
      <c r="T167" s="754"/>
      <c r="U167" s="789"/>
      <c r="V167" s="789"/>
      <c r="W167" s="789"/>
      <c r="X167" s="789"/>
      <c r="Y167" s="767"/>
      <c r="Z167" s="767"/>
    </row>
    <row r="168" spans="1:26">
      <c r="A168" s="774" t="s">
        <v>625</v>
      </c>
      <c r="B168" s="774" t="s">
        <v>627</v>
      </c>
      <c r="C168" s="775">
        <v>159</v>
      </c>
      <c r="D168" s="776" t="str">
        <f>A168&amp;"."&amp;B168</f>
        <v>4279.1</v>
      </c>
      <c r="E168" s="803" t="s">
        <v>628</v>
      </c>
      <c r="F168" s="778">
        <v>0</v>
      </c>
      <c r="G168" s="860">
        <v>0</v>
      </c>
      <c r="H168" s="780">
        <v>0</v>
      </c>
      <c r="I168" s="780">
        <v>0</v>
      </c>
      <c r="J168" s="781">
        <v>0</v>
      </c>
      <c r="K168" s="782">
        <v>0</v>
      </c>
      <c r="L168" s="783">
        <v>0</v>
      </c>
      <c r="M168" s="784">
        <v>0</v>
      </c>
      <c r="N168" s="785">
        <v>0</v>
      </c>
      <c r="O168" s="786">
        <v>0</v>
      </c>
      <c r="P168" s="787">
        <v>0</v>
      </c>
      <c r="Q168" s="861">
        <v>0</v>
      </c>
      <c r="R168" s="778">
        <v>0</v>
      </c>
      <c r="S168" s="780">
        <f t="shared" si="23"/>
        <v>0</v>
      </c>
      <c r="T168" s="754"/>
      <c r="U168" s="789"/>
      <c r="V168" s="789"/>
      <c r="W168" s="789"/>
      <c r="X168" s="789"/>
      <c r="Y168" s="767"/>
      <c r="Z168" s="767"/>
    </row>
    <row r="169" spans="1:26">
      <c r="A169" s="774" t="s">
        <v>629</v>
      </c>
      <c r="B169" s="774" t="s">
        <v>630</v>
      </c>
      <c r="C169" s="775">
        <v>160</v>
      </c>
      <c r="D169" s="776" t="str">
        <f>+A169</f>
        <v>4310</v>
      </c>
      <c r="E169" s="777" t="s">
        <v>326</v>
      </c>
      <c r="F169" s="778">
        <v>227969.41</v>
      </c>
      <c r="G169" s="860">
        <v>30677.119999999999</v>
      </c>
      <c r="H169" s="780">
        <v>81587.850000000006</v>
      </c>
      <c r="I169" s="780">
        <v>149632.70000000001</v>
      </c>
      <c r="J169" s="781">
        <v>228625.65</v>
      </c>
      <c r="K169" s="782">
        <v>311878.78999999998</v>
      </c>
      <c r="L169" s="783">
        <v>391659.7</v>
      </c>
      <c r="M169" s="784">
        <v>436010.29</v>
      </c>
      <c r="N169" s="785">
        <v>501177.14</v>
      </c>
      <c r="O169" s="786">
        <v>556392.51</v>
      </c>
      <c r="P169" s="787">
        <v>607614.67000000004</v>
      </c>
      <c r="Q169" s="861">
        <v>631236.1</v>
      </c>
      <c r="R169" s="778">
        <v>653866.05000000005</v>
      </c>
      <c r="S169" s="780">
        <f t="shared" si="23"/>
        <v>363950.85416666669</v>
      </c>
      <c r="T169" s="754"/>
      <c r="U169" s="789"/>
      <c r="V169" s="789"/>
      <c r="W169" s="789"/>
      <c r="X169" s="789"/>
      <c r="Y169" s="767"/>
      <c r="Z169" s="767"/>
    </row>
    <row r="170" spans="1:26">
      <c r="A170" s="774" t="s">
        <v>629</v>
      </c>
      <c r="B170" s="774" t="s">
        <v>631</v>
      </c>
      <c r="C170" s="775">
        <v>161</v>
      </c>
      <c r="D170" s="874" t="s">
        <v>632</v>
      </c>
      <c r="E170" s="777" t="s">
        <v>633</v>
      </c>
      <c r="F170" s="778">
        <v>27310</v>
      </c>
      <c r="G170" s="860">
        <v>0</v>
      </c>
      <c r="H170" s="780">
        <v>0</v>
      </c>
      <c r="I170" s="780">
        <v>0</v>
      </c>
      <c r="J170" s="781">
        <v>0</v>
      </c>
      <c r="K170" s="782">
        <v>0</v>
      </c>
      <c r="L170" s="783">
        <v>0</v>
      </c>
      <c r="M170" s="784">
        <v>0</v>
      </c>
      <c r="N170" s="785">
        <v>0</v>
      </c>
      <c r="O170" s="786">
        <v>0</v>
      </c>
      <c r="P170" s="787">
        <v>0</v>
      </c>
      <c r="Q170" s="861">
        <v>0</v>
      </c>
      <c r="R170" s="778">
        <v>0</v>
      </c>
      <c r="S170" s="780">
        <f t="shared" si="23"/>
        <v>1137.9166666666667</v>
      </c>
      <c r="T170" s="754"/>
      <c r="U170" s="789"/>
      <c r="V170" s="789"/>
      <c r="W170" s="789"/>
      <c r="X170" s="789"/>
      <c r="Y170" s="767"/>
      <c r="Z170" s="767"/>
    </row>
    <row r="171" spans="1:26">
      <c r="A171" s="774" t="s">
        <v>634</v>
      </c>
      <c r="B171" s="774" t="s">
        <v>410</v>
      </c>
      <c r="C171" s="775">
        <v>162</v>
      </c>
      <c r="D171" s="776" t="str">
        <f>+A171</f>
        <v>4280</v>
      </c>
      <c r="E171" s="777" t="s">
        <v>635</v>
      </c>
      <c r="F171" s="778">
        <v>172248.52</v>
      </c>
      <c r="G171" s="860">
        <v>14351.32</v>
      </c>
      <c r="H171" s="780">
        <v>28702.639999999999</v>
      </c>
      <c r="I171" s="780">
        <v>42872.84</v>
      </c>
      <c r="J171" s="781">
        <v>57212.84</v>
      </c>
      <c r="K171" s="782">
        <v>71552.84</v>
      </c>
      <c r="L171" s="783">
        <v>85892.84</v>
      </c>
      <c r="M171" s="784">
        <v>100232.84</v>
      </c>
      <c r="N171" s="785">
        <v>114572.84</v>
      </c>
      <c r="O171" s="786">
        <v>128912.84</v>
      </c>
      <c r="P171" s="787">
        <v>143252.84</v>
      </c>
      <c r="Q171" s="861">
        <v>157592.84</v>
      </c>
      <c r="R171" s="778">
        <v>171932.84</v>
      </c>
      <c r="S171" s="780">
        <f t="shared" si="23"/>
        <v>93103.349999999977</v>
      </c>
      <c r="T171" s="754"/>
      <c r="U171" s="789"/>
      <c r="V171" s="789"/>
      <c r="W171" s="789"/>
      <c r="X171" s="789"/>
      <c r="Y171" s="767"/>
      <c r="Z171" s="767"/>
    </row>
    <row r="172" spans="1:26">
      <c r="A172" s="774" t="s">
        <v>636</v>
      </c>
      <c r="B172" s="774" t="s">
        <v>410</v>
      </c>
      <c r="C172" s="775">
        <v>163</v>
      </c>
      <c r="D172" s="776" t="str">
        <f>+A172</f>
        <v>4281</v>
      </c>
      <c r="E172" s="777" t="s">
        <v>637</v>
      </c>
      <c r="F172" s="778">
        <v>40970.639999999999</v>
      </c>
      <c r="G172" s="860">
        <v>3414.22</v>
      </c>
      <c r="H172" s="780">
        <v>6828.44</v>
      </c>
      <c r="I172" s="780">
        <v>10242.66</v>
      </c>
      <c r="J172" s="781">
        <v>13656.88</v>
      </c>
      <c r="K172" s="782">
        <v>17071.099999999999</v>
      </c>
      <c r="L172" s="783">
        <v>20485.32</v>
      </c>
      <c r="M172" s="784">
        <v>23899.54</v>
      </c>
      <c r="N172" s="785">
        <v>27313.759999999998</v>
      </c>
      <c r="O172" s="786">
        <v>30727.98</v>
      </c>
      <c r="P172" s="787">
        <v>34142.199999999997</v>
      </c>
      <c r="Q172" s="861">
        <v>37556.42</v>
      </c>
      <c r="R172" s="778">
        <v>40970.639999999999</v>
      </c>
      <c r="S172" s="780">
        <f t="shared" si="23"/>
        <v>22192.429999999997</v>
      </c>
      <c r="T172" s="754"/>
      <c r="U172" s="789"/>
      <c r="V172" s="789"/>
      <c r="W172" s="789"/>
      <c r="X172" s="789"/>
      <c r="Y172" s="767"/>
      <c r="Z172" s="767"/>
    </row>
    <row r="173" spans="1:26">
      <c r="A173" s="774"/>
      <c r="B173" s="774"/>
      <c r="C173" s="775">
        <v>164</v>
      </c>
      <c r="D173" s="776"/>
      <c r="E173" s="777" t="s">
        <v>638</v>
      </c>
      <c r="F173" s="802">
        <f>SUM(F166:F172)</f>
        <v>11516164.85</v>
      </c>
      <c r="G173" s="802">
        <f t="shared" ref="G173:S173" si="28">SUM(G166:G172)</f>
        <v>977536.2</v>
      </c>
      <c r="H173" s="802">
        <f t="shared" si="28"/>
        <v>1975087.28</v>
      </c>
      <c r="I173" s="802">
        <f t="shared" si="28"/>
        <v>2989591.3200000003</v>
      </c>
      <c r="J173" s="802">
        <f t="shared" si="28"/>
        <v>4015213.28</v>
      </c>
      <c r="K173" s="802">
        <f t="shared" si="28"/>
        <v>5044876.6899999995</v>
      </c>
      <c r="L173" s="802">
        <f t="shared" si="28"/>
        <v>6071067.8700000001</v>
      </c>
      <c r="M173" s="802">
        <f t="shared" si="28"/>
        <v>7061828.7199999997</v>
      </c>
      <c r="N173" s="802">
        <f t="shared" si="28"/>
        <v>8073327.0799999991</v>
      </c>
      <c r="O173" s="802">
        <f t="shared" si="28"/>
        <v>9074873.9700000007</v>
      </c>
      <c r="P173" s="802">
        <f t="shared" si="28"/>
        <v>10072427.629999999</v>
      </c>
      <c r="Q173" s="802">
        <f t="shared" si="28"/>
        <v>11042380.58</v>
      </c>
      <c r="R173" s="802">
        <f t="shared" si="28"/>
        <v>12011342.050000001</v>
      </c>
      <c r="S173" s="802">
        <f t="shared" si="28"/>
        <v>6513497.0058333343</v>
      </c>
      <c r="T173" s="754"/>
      <c r="U173" s="790">
        <f>S173</f>
        <v>6513497.0058333343</v>
      </c>
      <c r="V173" s="789"/>
      <c r="W173" s="789"/>
      <c r="X173" s="790"/>
      <c r="Y173" s="767"/>
      <c r="Z173" s="767"/>
    </row>
    <row r="174" spans="1:26">
      <c r="A174" s="774"/>
      <c r="B174" s="774"/>
      <c r="C174" s="775">
        <v>165</v>
      </c>
      <c r="D174" s="776"/>
      <c r="E174" s="777"/>
      <c r="F174" s="778"/>
      <c r="G174" s="860"/>
      <c r="H174" s="780"/>
      <c r="I174" s="780"/>
      <c r="J174" s="781"/>
      <c r="K174" s="782"/>
      <c r="L174" s="783"/>
      <c r="M174" s="784"/>
      <c r="N174" s="785"/>
      <c r="O174" s="786"/>
      <c r="P174" s="787"/>
      <c r="Q174" s="861"/>
      <c r="R174" s="778"/>
      <c r="S174" s="780">
        <f t="shared" si="23"/>
        <v>0</v>
      </c>
      <c r="T174" s="754"/>
      <c r="U174" s="789"/>
      <c r="V174" s="789"/>
      <c r="W174" s="789"/>
      <c r="X174" s="789"/>
      <c r="Y174" s="767"/>
      <c r="Z174" s="767"/>
    </row>
    <row r="175" spans="1:26">
      <c r="A175" s="774" t="s">
        <v>639</v>
      </c>
      <c r="B175" s="774" t="s">
        <v>410</v>
      </c>
      <c r="C175" s="775">
        <v>166</v>
      </c>
      <c r="D175" s="776" t="str">
        <f t="shared" ref="D175:D181" si="29">+A175</f>
        <v>4091</v>
      </c>
      <c r="E175" s="777" t="s">
        <v>640</v>
      </c>
      <c r="F175" s="778">
        <v>3112194.93</v>
      </c>
      <c r="G175" s="860">
        <v>2557266.35</v>
      </c>
      <c r="H175" s="780">
        <v>4076844.5</v>
      </c>
      <c r="I175" s="780">
        <v>5601669.1900000004</v>
      </c>
      <c r="J175" s="781">
        <v>5723490.9400000004</v>
      </c>
      <c r="K175" s="782">
        <v>5087405.2699999996</v>
      </c>
      <c r="L175" s="783">
        <v>3936066.91</v>
      </c>
      <c r="M175" s="784">
        <v>3299654.61</v>
      </c>
      <c r="N175" s="785">
        <v>2254452.36</v>
      </c>
      <c r="O175" s="786">
        <v>342403.22</v>
      </c>
      <c r="P175" s="787">
        <v>694977.99</v>
      </c>
      <c r="Q175" s="861">
        <v>767944.27</v>
      </c>
      <c r="R175" s="778">
        <v>4577015.2699999996</v>
      </c>
      <c r="S175" s="780">
        <f t="shared" si="23"/>
        <v>3182231.7258333336</v>
      </c>
      <c r="T175" s="754"/>
      <c r="U175" s="789"/>
      <c r="V175" s="789"/>
      <c r="W175" s="789"/>
      <c r="X175" s="789"/>
      <c r="Y175" s="767"/>
      <c r="Z175" s="767"/>
    </row>
    <row r="176" spans="1:26">
      <c r="A176" s="774" t="s">
        <v>641</v>
      </c>
      <c r="B176" s="774" t="s">
        <v>410</v>
      </c>
      <c r="C176" s="775">
        <v>167</v>
      </c>
      <c r="D176" s="776" t="str">
        <f t="shared" si="29"/>
        <v>4092</v>
      </c>
      <c r="E176" s="777" t="s">
        <v>642</v>
      </c>
      <c r="F176" s="778">
        <v>2861307.83</v>
      </c>
      <c r="G176" s="860">
        <v>1791.34</v>
      </c>
      <c r="H176" s="780">
        <v>-4072.77</v>
      </c>
      <c r="I176" s="780">
        <v>6168.62</v>
      </c>
      <c r="J176" s="781">
        <v>12619.45</v>
      </c>
      <c r="K176" s="782">
        <v>29679.09</v>
      </c>
      <c r="L176" s="783">
        <v>46194.23</v>
      </c>
      <c r="M176" s="784">
        <v>58088.959999999999</v>
      </c>
      <c r="N176" s="785">
        <v>124414.75</v>
      </c>
      <c r="O176" s="786">
        <v>-3959.8000000000202</v>
      </c>
      <c r="P176" s="787">
        <v>-158977.68</v>
      </c>
      <c r="Q176" s="861">
        <v>-68477.759999999995</v>
      </c>
      <c r="R176" s="778">
        <v>-202120.14</v>
      </c>
      <c r="S176" s="780">
        <f t="shared" si="23"/>
        <v>114421.85625</v>
      </c>
      <c r="T176" s="754"/>
      <c r="U176" s="789"/>
      <c r="V176" s="789"/>
      <c r="W176" s="789"/>
      <c r="X176" s="789"/>
      <c r="Y176" s="767"/>
      <c r="Z176" s="767"/>
    </row>
    <row r="177" spans="1:26">
      <c r="A177" s="774" t="s">
        <v>643</v>
      </c>
      <c r="B177" s="774" t="s">
        <v>410</v>
      </c>
      <c r="C177" s="775">
        <v>168</v>
      </c>
      <c r="D177" s="776" t="str">
        <f t="shared" si="29"/>
        <v>4101</v>
      </c>
      <c r="E177" s="777" t="s">
        <v>644</v>
      </c>
      <c r="F177" s="778">
        <v>41338.980000000003</v>
      </c>
      <c r="G177" s="860">
        <v>-43647.16</v>
      </c>
      <c r="H177" s="780">
        <v>-87294.41</v>
      </c>
      <c r="I177" s="780">
        <v>-479450.32</v>
      </c>
      <c r="J177" s="781">
        <v>-635749.15</v>
      </c>
      <c r="K177" s="782">
        <v>-792047.99</v>
      </c>
      <c r="L177" s="783">
        <v>-547043.65</v>
      </c>
      <c r="M177" s="784">
        <v>-636507.4</v>
      </c>
      <c r="N177" s="785">
        <v>-725971.16</v>
      </c>
      <c r="O177" s="786">
        <v>452676.07</v>
      </c>
      <c r="P177" s="787">
        <v>330098.7</v>
      </c>
      <c r="Q177" s="861">
        <v>2214308.3199999998</v>
      </c>
      <c r="R177" s="778">
        <v>1569439.44</v>
      </c>
      <c r="S177" s="780">
        <f t="shared" si="23"/>
        <v>-12103.245000000034</v>
      </c>
      <c r="T177" s="754"/>
      <c r="U177" s="789"/>
      <c r="V177" s="789"/>
      <c r="W177" s="789"/>
      <c r="X177" s="789"/>
      <c r="Y177" s="767"/>
      <c r="Z177" s="767"/>
    </row>
    <row r="178" spans="1:26">
      <c r="A178" s="774" t="s">
        <v>645</v>
      </c>
      <c r="B178" s="774" t="s">
        <v>410</v>
      </c>
      <c r="C178" s="775">
        <v>169</v>
      </c>
      <c r="D178" s="875" t="str">
        <f t="shared" si="29"/>
        <v>4102</v>
      </c>
      <c r="E178" s="777" t="s">
        <v>646</v>
      </c>
      <c r="F178" s="778">
        <v>0</v>
      </c>
      <c r="G178" s="860">
        <v>0</v>
      </c>
      <c r="H178" s="780">
        <v>0</v>
      </c>
      <c r="I178" s="780">
        <v>0</v>
      </c>
      <c r="J178" s="781">
        <v>0</v>
      </c>
      <c r="K178" s="782">
        <v>0</v>
      </c>
      <c r="L178" s="783">
        <v>0</v>
      </c>
      <c r="M178" s="784">
        <v>0</v>
      </c>
      <c r="N178" s="785">
        <v>0</v>
      </c>
      <c r="O178" s="786">
        <v>0</v>
      </c>
      <c r="P178" s="787">
        <v>0</v>
      </c>
      <c r="Q178" s="861">
        <v>0</v>
      </c>
      <c r="R178" s="778">
        <v>0</v>
      </c>
      <c r="S178" s="780">
        <f t="shared" si="23"/>
        <v>0</v>
      </c>
      <c r="T178" s="754"/>
      <c r="U178" s="789"/>
      <c r="V178" s="789"/>
      <c r="W178" s="789"/>
      <c r="X178" s="789"/>
      <c r="Y178" s="767"/>
      <c r="Z178" s="767"/>
    </row>
    <row r="179" spans="1:26">
      <c r="A179" s="774" t="s">
        <v>647</v>
      </c>
      <c r="B179" s="774" t="s">
        <v>410</v>
      </c>
      <c r="C179" s="775">
        <v>170</v>
      </c>
      <c r="D179" s="876" t="str">
        <f t="shared" si="29"/>
        <v>4111</v>
      </c>
      <c r="E179" s="777" t="s">
        <v>648</v>
      </c>
      <c r="F179" s="778">
        <v>0</v>
      </c>
      <c r="G179" s="860">
        <v>0</v>
      </c>
      <c r="H179" s="780">
        <v>0</v>
      </c>
      <c r="I179" s="780">
        <v>0</v>
      </c>
      <c r="J179" s="781">
        <v>0</v>
      </c>
      <c r="K179" s="782">
        <v>0</v>
      </c>
      <c r="L179" s="783">
        <v>0</v>
      </c>
      <c r="M179" s="784">
        <v>0</v>
      </c>
      <c r="N179" s="785">
        <v>0</v>
      </c>
      <c r="O179" s="786">
        <v>0</v>
      </c>
      <c r="P179" s="787">
        <v>0</v>
      </c>
      <c r="Q179" s="861">
        <v>0</v>
      </c>
      <c r="R179" s="778">
        <v>0</v>
      </c>
      <c r="S179" s="780">
        <f t="shared" si="23"/>
        <v>0</v>
      </c>
      <c r="T179" s="754"/>
      <c r="U179" s="789"/>
      <c r="V179" s="789"/>
      <c r="W179" s="789"/>
      <c r="X179" s="789"/>
      <c r="Y179" s="767"/>
      <c r="Z179" s="767"/>
    </row>
    <row r="180" spans="1:26">
      <c r="A180" s="774" t="s">
        <v>649</v>
      </c>
      <c r="B180" s="774" t="s">
        <v>410</v>
      </c>
      <c r="C180" s="775">
        <v>171</v>
      </c>
      <c r="D180" s="875" t="str">
        <f t="shared" si="29"/>
        <v>4112</v>
      </c>
      <c r="E180" s="777" t="s">
        <v>650</v>
      </c>
      <c r="F180" s="778">
        <v>0</v>
      </c>
      <c r="G180" s="860">
        <v>0</v>
      </c>
      <c r="H180" s="780">
        <v>0</v>
      </c>
      <c r="I180" s="780">
        <v>0</v>
      </c>
      <c r="J180" s="781">
        <v>0</v>
      </c>
      <c r="K180" s="782">
        <v>0</v>
      </c>
      <c r="L180" s="783">
        <v>0</v>
      </c>
      <c r="M180" s="784">
        <v>0</v>
      </c>
      <c r="N180" s="785">
        <v>0</v>
      </c>
      <c r="O180" s="786">
        <v>0</v>
      </c>
      <c r="P180" s="787">
        <v>0</v>
      </c>
      <c r="Q180" s="861">
        <v>0</v>
      </c>
      <c r="R180" s="778">
        <v>0</v>
      </c>
      <c r="S180" s="780">
        <f t="shared" si="23"/>
        <v>0</v>
      </c>
      <c r="T180" s="754"/>
      <c r="U180" s="789"/>
      <c r="V180" s="789"/>
      <c r="W180" s="789"/>
      <c r="X180" s="789"/>
      <c r="Y180" s="767"/>
      <c r="Z180" s="767"/>
    </row>
    <row r="181" spans="1:26">
      <c r="A181" s="774" t="s">
        <v>651</v>
      </c>
      <c r="B181" s="774" t="s">
        <v>410</v>
      </c>
      <c r="C181" s="775">
        <v>172</v>
      </c>
      <c r="D181" s="776" t="str">
        <f t="shared" si="29"/>
        <v>[4200,4114]</v>
      </c>
      <c r="E181" s="777" t="s">
        <v>652</v>
      </c>
      <c r="F181" s="778">
        <v>-52577</v>
      </c>
      <c r="G181" s="860">
        <v>-4126.08</v>
      </c>
      <c r="H181" s="780">
        <v>-8252.17</v>
      </c>
      <c r="I181" s="780">
        <v>-12378.25</v>
      </c>
      <c r="J181" s="781">
        <v>-16504.330000000002</v>
      </c>
      <c r="K181" s="782">
        <v>-20630.419999999998</v>
      </c>
      <c r="L181" s="783">
        <v>-24404</v>
      </c>
      <c r="M181" s="784">
        <v>-28471.33</v>
      </c>
      <c r="N181" s="785">
        <v>-32538.67</v>
      </c>
      <c r="O181" s="786">
        <v>-36606</v>
      </c>
      <c r="P181" s="787">
        <v>-40673.33</v>
      </c>
      <c r="Q181" s="861">
        <v>-44766.67</v>
      </c>
      <c r="R181" s="778">
        <v>-48834</v>
      </c>
      <c r="S181" s="780">
        <f t="shared" si="23"/>
        <v>-26671.395833333332</v>
      </c>
      <c r="T181" s="754"/>
      <c r="U181" s="789"/>
      <c r="V181" s="789"/>
      <c r="W181" s="789"/>
      <c r="X181" s="789"/>
      <c r="Y181" s="767"/>
      <c r="Z181" s="767"/>
    </row>
    <row r="182" spans="1:26">
      <c r="A182" s="774"/>
      <c r="B182" s="774"/>
      <c r="C182" s="775">
        <v>173</v>
      </c>
      <c r="D182" s="776"/>
      <c r="E182" s="777" t="s">
        <v>653</v>
      </c>
      <c r="F182" s="802">
        <f>SUM(F175:F181)</f>
        <v>5962264.7400000002</v>
      </c>
      <c r="G182" s="802">
        <f t="shared" ref="G182:S182" si="30">SUM(G175:G181)</f>
        <v>2511284.4499999997</v>
      </c>
      <c r="H182" s="802">
        <f t="shared" si="30"/>
        <v>3977225.15</v>
      </c>
      <c r="I182" s="802">
        <f t="shared" si="30"/>
        <v>5116009.24</v>
      </c>
      <c r="J182" s="802">
        <f t="shared" si="30"/>
        <v>5083856.91</v>
      </c>
      <c r="K182" s="802">
        <f t="shared" si="30"/>
        <v>4304405.9499999993</v>
      </c>
      <c r="L182" s="802">
        <f t="shared" si="30"/>
        <v>3410813.49</v>
      </c>
      <c r="M182" s="802">
        <f t="shared" si="30"/>
        <v>2692764.84</v>
      </c>
      <c r="N182" s="802">
        <f t="shared" si="30"/>
        <v>1620357.2799999998</v>
      </c>
      <c r="O182" s="802">
        <f t="shared" si="30"/>
        <v>754513.49</v>
      </c>
      <c r="P182" s="802">
        <f t="shared" si="30"/>
        <v>825425.68</v>
      </c>
      <c r="Q182" s="802">
        <f t="shared" si="30"/>
        <v>2869008.16</v>
      </c>
      <c r="R182" s="802">
        <f t="shared" si="30"/>
        <v>5895500.5700000003</v>
      </c>
      <c r="S182" s="802">
        <f t="shared" si="30"/>
        <v>3257878.9412500001</v>
      </c>
      <c r="T182" s="754"/>
      <c r="U182" s="790">
        <f>S182</f>
        <v>3257878.9412500001</v>
      </c>
      <c r="V182" s="789"/>
      <c r="W182" s="789"/>
      <c r="X182" s="790"/>
      <c r="Y182" s="767"/>
      <c r="Z182" s="767"/>
    </row>
    <row r="183" spans="1:26">
      <c r="A183" s="774"/>
      <c r="B183" s="774"/>
      <c r="C183" s="775">
        <v>174</v>
      </c>
      <c r="D183" s="776"/>
      <c r="E183" s="777"/>
      <c r="F183" s="778"/>
      <c r="G183" s="860"/>
      <c r="H183" s="780"/>
      <c r="I183" s="780"/>
      <c r="J183" s="781"/>
      <c r="K183" s="782"/>
      <c r="L183" s="783"/>
      <c r="M183" s="784"/>
      <c r="N183" s="785"/>
      <c r="O183" s="786"/>
      <c r="P183" s="787"/>
      <c r="Q183" s="861"/>
      <c r="R183" s="778"/>
      <c r="S183" s="780">
        <f t="shared" si="23"/>
        <v>0</v>
      </c>
      <c r="T183" s="754"/>
      <c r="U183" s="789"/>
      <c r="V183" s="789"/>
      <c r="W183" s="789"/>
      <c r="X183" s="789"/>
      <c r="Y183" s="767"/>
      <c r="Z183" s="767"/>
    </row>
    <row r="184" spans="1:26">
      <c r="A184" s="774"/>
      <c r="B184" s="774"/>
      <c r="C184" s="775">
        <v>175</v>
      </c>
      <c r="D184" s="776"/>
      <c r="E184" s="777"/>
      <c r="F184" s="778"/>
      <c r="G184" s="860"/>
      <c r="H184" s="780"/>
      <c r="I184" s="780"/>
      <c r="J184" s="781"/>
      <c r="K184" s="782"/>
      <c r="L184" s="783"/>
      <c r="M184" s="784"/>
      <c r="N184" s="785"/>
      <c r="O184" s="786"/>
      <c r="P184" s="787"/>
      <c r="Q184" s="861"/>
      <c r="R184" s="778"/>
      <c r="S184" s="780">
        <f t="shared" si="23"/>
        <v>0</v>
      </c>
      <c r="T184" s="754"/>
      <c r="U184" s="789"/>
      <c r="V184" s="789"/>
      <c r="W184" s="789"/>
      <c r="X184" s="789"/>
      <c r="Y184" s="767"/>
      <c r="Z184" s="767"/>
    </row>
    <row r="185" spans="1:26">
      <c r="A185" s="774" t="s">
        <v>654</v>
      </c>
      <c r="B185" s="774" t="s">
        <v>410</v>
      </c>
      <c r="C185" s="775">
        <v>176</v>
      </c>
      <c r="D185" s="877" t="s">
        <v>654</v>
      </c>
      <c r="E185" s="777" t="s">
        <v>655</v>
      </c>
      <c r="F185" s="778">
        <v>0</v>
      </c>
      <c r="G185" s="860">
        <v>0</v>
      </c>
      <c r="H185" s="780">
        <v>0</v>
      </c>
      <c r="I185" s="780">
        <v>0</v>
      </c>
      <c r="J185" s="781">
        <v>0</v>
      </c>
      <c r="K185" s="782">
        <v>0</v>
      </c>
      <c r="L185" s="783">
        <v>0</v>
      </c>
      <c r="M185" s="784">
        <v>0</v>
      </c>
      <c r="N185" s="785">
        <v>0</v>
      </c>
      <c r="O185" s="786">
        <v>0</v>
      </c>
      <c r="P185" s="787">
        <v>0</v>
      </c>
      <c r="Q185" s="861">
        <v>0</v>
      </c>
      <c r="R185" s="778">
        <v>0</v>
      </c>
      <c r="S185" s="780">
        <f t="shared" si="23"/>
        <v>0</v>
      </c>
      <c r="T185" s="754"/>
      <c r="U185" s="789"/>
      <c r="V185" s="789"/>
      <c r="W185" s="789"/>
      <c r="X185" s="789"/>
      <c r="Y185" s="767"/>
      <c r="Z185" s="767"/>
    </row>
    <row r="186" spans="1:26">
      <c r="A186" s="774" t="s">
        <v>656</v>
      </c>
      <c r="B186" s="774" t="s">
        <v>410</v>
      </c>
      <c r="C186" s="775">
        <v>177</v>
      </c>
      <c r="D186" s="877" t="s">
        <v>656</v>
      </c>
      <c r="E186" s="777" t="s">
        <v>361</v>
      </c>
      <c r="F186" s="778">
        <v>0</v>
      </c>
      <c r="G186" s="860">
        <v>0</v>
      </c>
      <c r="H186" s="780">
        <v>0</v>
      </c>
      <c r="I186" s="780">
        <v>0</v>
      </c>
      <c r="J186" s="781">
        <v>0</v>
      </c>
      <c r="K186" s="782">
        <v>0</v>
      </c>
      <c r="L186" s="783">
        <v>0</v>
      </c>
      <c r="M186" s="784">
        <v>0</v>
      </c>
      <c r="N186" s="785">
        <v>0</v>
      </c>
      <c r="O186" s="786">
        <v>0</v>
      </c>
      <c r="P186" s="787">
        <v>0</v>
      </c>
      <c r="Q186" s="861">
        <v>0</v>
      </c>
      <c r="R186" s="778">
        <v>0</v>
      </c>
      <c r="S186" s="780">
        <f t="shared" si="23"/>
        <v>0</v>
      </c>
      <c r="T186" s="754"/>
      <c r="U186" s="789"/>
      <c r="V186" s="789"/>
      <c r="W186" s="789"/>
      <c r="X186" s="789"/>
      <c r="Y186" s="767"/>
      <c r="Z186" s="767"/>
    </row>
    <row r="187" spans="1:26">
      <c r="A187" s="774" t="s">
        <v>657</v>
      </c>
      <c r="B187" s="774" t="s">
        <v>410</v>
      </c>
      <c r="C187" s="775">
        <v>178</v>
      </c>
      <c r="D187" s="874" t="s">
        <v>658</v>
      </c>
      <c r="E187" s="777" t="s">
        <v>363</v>
      </c>
      <c r="F187" s="778">
        <v>263833.14</v>
      </c>
      <c r="G187" s="860">
        <v>14753.75</v>
      </c>
      <c r="H187" s="780">
        <v>43293.75</v>
      </c>
      <c r="I187" s="780">
        <v>60860.21</v>
      </c>
      <c r="J187" s="781">
        <v>74110.210000000006</v>
      </c>
      <c r="K187" s="782">
        <v>78050.210000000006</v>
      </c>
      <c r="L187" s="783">
        <v>82558.600000000006</v>
      </c>
      <c r="M187" s="784">
        <v>107911.98</v>
      </c>
      <c r="N187" s="785">
        <v>136956.31</v>
      </c>
      <c r="O187" s="855">
        <v>195295.73</v>
      </c>
      <c r="P187" s="787">
        <v>214414.6</v>
      </c>
      <c r="Q187" s="861">
        <v>224245.8</v>
      </c>
      <c r="R187" s="778">
        <v>232468.15</v>
      </c>
      <c r="S187" s="780">
        <f t="shared" si="23"/>
        <v>123383.48291666666</v>
      </c>
      <c r="T187" s="758"/>
      <c r="U187" s="789"/>
      <c r="V187" s="789"/>
      <c r="W187" s="789"/>
      <c r="X187" s="789"/>
      <c r="Y187" s="767"/>
      <c r="Z187" s="767"/>
    </row>
    <row r="188" spans="1:26">
      <c r="A188" s="774" t="s">
        <v>659</v>
      </c>
      <c r="B188" s="856" t="s">
        <v>410</v>
      </c>
      <c r="C188" s="775">
        <v>179</v>
      </c>
      <c r="D188" s="874" t="s">
        <v>660</v>
      </c>
      <c r="E188" s="777" t="s">
        <v>367</v>
      </c>
      <c r="F188" s="778">
        <v>275000</v>
      </c>
      <c r="G188" s="860">
        <v>0</v>
      </c>
      <c r="H188" s="780">
        <v>0</v>
      </c>
      <c r="I188" s="780">
        <v>39.04</v>
      </c>
      <c r="J188" s="781">
        <v>1138.45</v>
      </c>
      <c r="K188" s="782">
        <v>1138.45</v>
      </c>
      <c r="L188" s="783">
        <v>1138.45</v>
      </c>
      <c r="M188" s="784">
        <v>1183.79</v>
      </c>
      <c r="N188" s="785">
        <v>1183.79</v>
      </c>
      <c r="O188" s="786">
        <v>251183.79</v>
      </c>
      <c r="P188" s="787">
        <v>1001183.79</v>
      </c>
      <c r="Q188" s="861">
        <v>1001183.79</v>
      </c>
      <c r="R188" s="778">
        <v>1001183.79</v>
      </c>
      <c r="S188" s="780">
        <f t="shared" si="23"/>
        <v>241455.43625</v>
      </c>
      <c r="T188" s="754"/>
      <c r="U188" s="789"/>
      <c r="V188" s="789"/>
      <c r="W188" s="789"/>
      <c r="X188" s="789"/>
      <c r="Y188" s="767"/>
      <c r="Z188" s="767"/>
    </row>
    <row r="189" spans="1:26">
      <c r="A189" s="774" t="s">
        <v>410</v>
      </c>
      <c r="B189" s="774" t="s">
        <v>661</v>
      </c>
      <c r="C189" s="775">
        <v>180</v>
      </c>
      <c r="D189" s="874" t="s">
        <v>661</v>
      </c>
      <c r="E189" s="777" t="s">
        <v>662</v>
      </c>
      <c r="F189" s="778">
        <v>140881.34</v>
      </c>
      <c r="G189" s="860">
        <v>10696.89</v>
      </c>
      <c r="H189" s="780">
        <v>22607.64</v>
      </c>
      <c r="I189" s="780">
        <v>36018.39</v>
      </c>
      <c r="J189" s="781">
        <v>45929.14</v>
      </c>
      <c r="K189" s="782">
        <v>50839.89</v>
      </c>
      <c r="L189" s="783">
        <v>62856.41</v>
      </c>
      <c r="M189" s="784">
        <v>74025.3</v>
      </c>
      <c r="N189" s="785">
        <v>83998.75</v>
      </c>
      <c r="O189" s="855">
        <v>94998.41</v>
      </c>
      <c r="P189" s="787">
        <v>101488.85</v>
      </c>
      <c r="Q189" s="861">
        <v>112743.55</v>
      </c>
      <c r="R189" s="778">
        <v>128203.67</v>
      </c>
      <c r="S189" s="780">
        <f t="shared" si="23"/>
        <v>69228.810416666674</v>
      </c>
      <c r="T189" s="754"/>
      <c r="U189" s="789"/>
      <c r="V189" s="789"/>
      <c r="W189" s="789"/>
      <c r="X189" s="789"/>
      <c r="Y189" s="767"/>
      <c r="Z189" s="767"/>
    </row>
    <row r="190" spans="1:26">
      <c r="A190" s="774" t="s">
        <v>663</v>
      </c>
      <c r="B190" s="774" t="s">
        <v>410</v>
      </c>
      <c r="C190" s="775">
        <v>181</v>
      </c>
      <c r="D190" s="874" t="s">
        <v>664</v>
      </c>
      <c r="E190" s="777" t="s">
        <v>371</v>
      </c>
      <c r="F190" s="778">
        <v>213923.08</v>
      </c>
      <c r="G190" s="860">
        <v>0</v>
      </c>
      <c r="H190" s="780">
        <v>0</v>
      </c>
      <c r="I190" s="780">
        <v>631.73</v>
      </c>
      <c r="J190" s="781">
        <v>631.73</v>
      </c>
      <c r="K190" s="782">
        <v>631.73</v>
      </c>
      <c r="L190" s="783">
        <v>631.73</v>
      </c>
      <c r="M190" s="784">
        <v>816.73</v>
      </c>
      <c r="N190" s="785">
        <v>1126.73</v>
      </c>
      <c r="O190" s="855">
        <v>1126.73</v>
      </c>
      <c r="P190" s="787">
        <v>1126.73</v>
      </c>
      <c r="Q190" s="861">
        <v>1436.73</v>
      </c>
      <c r="R190" s="778">
        <v>1436.73</v>
      </c>
      <c r="S190" s="780">
        <f t="shared" si="23"/>
        <v>9653.3729166666672</v>
      </c>
      <c r="T190" s="754"/>
      <c r="U190" s="789"/>
      <c r="V190" s="789"/>
      <c r="W190" s="789"/>
      <c r="X190" s="789"/>
      <c r="Y190" s="767"/>
      <c r="Z190" s="767"/>
    </row>
    <row r="191" spans="1:26">
      <c r="A191" s="774" t="s">
        <v>665</v>
      </c>
      <c r="B191" s="774" t="s">
        <v>410</v>
      </c>
      <c r="C191" s="775">
        <v>182</v>
      </c>
      <c r="D191" s="874" t="s">
        <v>666</v>
      </c>
      <c r="E191" s="777" t="s">
        <v>667</v>
      </c>
      <c r="F191" s="778">
        <v>0</v>
      </c>
      <c r="G191" s="860">
        <v>0</v>
      </c>
      <c r="H191" s="780">
        <v>0</v>
      </c>
      <c r="I191" s="780">
        <v>0</v>
      </c>
      <c r="J191" s="781">
        <v>0</v>
      </c>
      <c r="K191" s="782">
        <v>0</v>
      </c>
      <c r="L191" s="783">
        <v>0</v>
      </c>
      <c r="M191" s="784">
        <v>0</v>
      </c>
      <c r="N191" s="785">
        <v>0</v>
      </c>
      <c r="O191" s="786">
        <v>0</v>
      </c>
      <c r="P191" s="787">
        <v>0</v>
      </c>
      <c r="Q191" s="861">
        <v>0</v>
      </c>
      <c r="R191" s="778">
        <v>0</v>
      </c>
      <c r="S191" s="780">
        <f t="shared" si="23"/>
        <v>0</v>
      </c>
      <c r="T191" s="754"/>
      <c r="U191" s="789"/>
      <c r="V191" s="789"/>
      <c r="W191" s="789"/>
      <c r="X191" s="789"/>
      <c r="Y191" s="767"/>
      <c r="Z191" s="767"/>
    </row>
    <row r="192" spans="1:26">
      <c r="A192" s="750" t="s">
        <v>668</v>
      </c>
      <c r="B192" s="750" t="s">
        <v>666</v>
      </c>
      <c r="C192" s="775">
        <v>183</v>
      </c>
      <c r="D192" s="752" t="str">
        <f>A192&amp;"."&amp;B192</f>
        <v>6011.4171</v>
      </c>
      <c r="E192" s="878" t="s">
        <v>669</v>
      </c>
      <c r="F192" s="778">
        <v>0</v>
      </c>
      <c r="G192" s="860">
        <v>0</v>
      </c>
      <c r="H192" s="780">
        <v>0</v>
      </c>
      <c r="I192" s="780">
        <v>0</v>
      </c>
      <c r="J192" s="781">
        <v>0</v>
      </c>
      <c r="K192" s="782">
        <v>0</v>
      </c>
      <c r="L192" s="783">
        <v>0</v>
      </c>
      <c r="M192" s="784">
        <v>0</v>
      </c>
      <c r="N192" s="785">
        <v>0</v>
      </c>
      <c r="O192" s="786">
        <v>0</v>
      </c>
      <c r="P192" s="787">
        <v>0</v>
      </c>
      <c r="Q192" s="861">
        <v>0</v>
      </c>
      <c r="R192" s="778">
        <v>0</v>
      </c>
      <c r="S192" s="780">
        <f t="shared" si="23"/>
        <v>0</v>
      </c>
      <c r="T192" s="754"/>
      <c r="U192" s="789"/>
      <c r="V192" s="789"/>
      <c r="W192" s="789"/>
      <c r="X192" s="789"/>
      <c r="Y192" s="767"/>
      <c r="Z192" s="767"/>
    </row>
    <row r="193" spans="1:26">
      <c r="A193" s="774" t="s">
        <v>670</v>
      </c>
      <c r="B193" s="774" t="s">
        <v>410</v>
      </c>
      <c r="C193" s="775">
        <v>184</v>
      </c>
      <c r="D193" s="776" t="str">
        <f>+A193</f>
        <v>4082</v>
      </c>
      <c r="E193" s="777" t="s">
        <v>671</v>
      </c>
      <c r="F193" s="778">
        <v>2940.1</v>
      </c>
      <c r="G193" s="860">
        <v>0</v>
      </c>
      <c r="H193" s="780">
        <v>0</v>
      </c>
      <c r="I193" s="780">
        <v>0</v>
      </c>
      <c r="J193" s="781">
        <v>1582.18</v>
      </c>
      <c r="K193" s="782">
        <v>1582.18</v>
      </c>
      <c r="L193" s="783">
        <v>1582.18</v>
      </c>
      <c r="M193" s="784">
        <v>1582.18</v>
      </c>
      <c r="N193" s="785">
        <v>3164.36</v>
      </c>
      <c r="O193" s="786">
        <v>3164.36</v>
      </c>
      <c r="P193" s="787">
        <v>3164.36</v>
      </c>
      <c r="Q193" s="861">
        <v>3164.36</v>
      </c>
      <c r="R193" s="778">
        <v>3164.36</v>
      </c>
      <c r="S193" s="780">
        <f t="shared" si="23"/>
        <v>1836.5325</v>
      </c>
      <c r="T193" s="754"/>
      <c r="U193" s="789"/>
      <c r="V193" s="789"/>
      <c r="W193" s="789"/>
      <c r="X193" s="789"/>
      <c r="Y193" s="767"/>
      <c r="Z193" s="767"/>
    </row>
    <row r="194" spans="1:26">
      <c r="A194" s="774"/>
      <c r="B194" s="774"/>
      <c r="C194" s="775">
        <v>185</v>
      </c>
      <c r="D194" s="776"/>
      <c r="E194" s="777" t="s">
        <v>672</v>
      </c>
      <c r="F194" s="802">
        <f>SUM(F185:F193)</f>
        <v>896577.65999999992</v>
      </c>
      <c r="G194" s="802">
        <f t="shared" ref="G194:S194" si="31">SUM(G185:G193)</f>
        <v>25450.639999999999</v>
      </c>
      <c r="H194" s="802">
        <f t="shared" si="31"/>
        <v>65901.39</v>
      </c>
      <c r="I194" s="802">
        <f t="shared" si="31"/>
        <v>97549.37</v>
      </c>
      <c r="J194" s="802">
        <f t="shared" si="31"/>
        <v>123391.70999999999</v>
      </c>
      <c r="K194" s="802">
        <f t="shared" si="31"/>
        <v>132242.46</v>
      </c>
      <c r="L194" s="802">
        <f t="shared" si="31"/>
        <v>148767.37000000002</v>
      </c>
      <c r="M194" s="802">
        <f t="shared" si="31"/>
        <v>185519.98</v>
      </c>
      <c r="N194" s="802">
        <f t="shared" si="31"/>
        <v>226429.94</v>
      </c>
      <c r="O194" s="802">
        <f t="shared" si="31"/>
        <v>545769.02</v>
      </c>
      <c r="P194" s="802">
        <f t="shared" si="31"/>
        <v>1321378.3300000003</v>
      </c>
      <c r="Q194" s="802">
        <f t="shared" si="31"/>
        <v>1342774.2300000002</v>
      </c>
      <c r="R194" s="802">
        <f t="shared" si="31"/>
        <v>1366456.7</v>
      </c>
      <c r="S194" s="802">
        <f t="shared" si="31"/>
        <v>445557.63500000001</v>
      </c>
      <c r="T194" s="754"/>
      <c r="U194" s="790">
        <f>S194</f>
        <v>445557.63500000001</v>
      </c>
      <c r="V194" s="789"/>
      <c r="W194" s="789"/>
      <c r="X194" s="790"/>
      <c r="Y194" s="767"/>
      <c r="Z194" s="767"/>
    </row>
    <row r="195" spans="1:26">
      <c r="A195" s="774"/>
      <c r="B195" s="774"/>
      <c r="C195" s="775">
        <v>186</v>
      </c>
      <c r="D195" s="776"/>
      <c r="E195" s="777"/>
      <c r="F195" s="778"/>
      <c r="G195" s="860"/>
      <c r="H195" s="780"/>
      <c r="I195" s="780"/>
      <c r="J195" s="781"/>
      <c r="K195" s="782"/>
      <c r="L195" s="783"/>
      <c r="M195" s="784"/>
      <c r="N195" s="785"/>
      <c r="O195" s="786"/>
      <c r="P195" s="787"/>
      <c r="Q195" s="861"/>
      <c r="R195" s="778"/>
      <c r="S195" s="780">
        <f t="shared" si="23"/>
        <v>0</v>
      </c>
      <c r="T195" s="754"/>
      <c r="U195" s="789"/>
      <c r="V195" s="789"/>
      <c r="W195" s="789"/>
      <c r="X195" s="789"/>
      <c r="Y195" s="767"/>
      <c r="Z195" s="767"/>
    </row>
    <row r="196" spans="1:26">
      <c r="A196" s="774" t="s">
        <v>673</v>
      </c>
      <c r="B196" s="774" t="s">
        <v>410</v>
      </c>
      <c r="C196" s="775">
        <v>187</v>
      </c>
      <c r="D196" s="776" t="str">
        <f>+A196</f>
        <v>4380</v>
      </c>
      <c r="E196" s="777" t="s">
        <v>674</v>
      </c>
      <c r="F196" s="778">
        <v>16640000</v>
      </c>
      <c r="G196" s="860">
        <v>0</v>
      </c>
      <c r="H196" s="780">
        <v>4160000</v>
      </c>
      <c r="I196" s="780">
        <v>4160000</v>
      </c>
      <c r="J196" s="781">
        <v>4160000</v>
      </c>
      <c r="K196" s="782">
        <v>8320000</v>
      </c>
      <c r="L196" s="783">
        <v>8320000</v>
      </c>
      <c r="M196" s="784">
        <v>8320000</v>
      </c>
      <c r="N196" s="785">
        <v>12480000</v>
      </c>
      <c r="O196" s="786">
        <v>12480000</v>
      </c>
      <c r="P196" s="787">
        <v>12480000</v>
      </c>
      <c r="Q196" s="861">
        <v>16640000</v>
      </c>
      <c r="R196" s="778">
        <v>16640000</v>
      </c>
      <c r="S196" s="780">
        <f t="shared" si="23"/>
        <v>9013333.333333334</v>
      </c>
      <c r="T196" s="754"/>
      <c r="U196" s="789"/>
      <c r="V196" s="789"/>
      <c r="W196" s="789"/>
      <c r="X196" s="789"/>
      <c r="Y196" s="767"/>
      <c r="Z196" s="767"/>
    </row>
    <row r="197" spans="1:26">
      <c r="A197" s="774"/>
      <c r="B197" s="774"/>
      <c r="C197" s="775">
        <v>188</v>
      </c>
      <c r="D197" s="879"/>
      <c r="E197" s="777" t="s">
        <v>675</v>
      </c>
      <c r="F197" s="802">
        <f>+F196</f>
        <v>16640000</v>
      </c>
      <c r="G197" s="802">
        <f t="shared" ref="G197:S197" si="32">+G196</f>
        <v>0</v>
      </c>
      <c r="H197" s="802">
        <f t="shared" si="32"/>
        <v>4160000</v>
      </c>
      <c r="I197" s="802">
        <f t="shared" si="32"/>
        <v>4160000</v>
      </c>
      <c r="J197" s="802">
        <f t="shared" si="32"/>
        <v>4160000</v>
      </c>
      <c r="K197" s="802">
        <f t="shared" si="32"/>
        <v>8320000</v>
      </c>
      <c r="L197" s="802">
        <f t="shared" si="32"/>
        <v>8320000</v>
      </c>
      <c r="M197" s="802">
        <f t="shared" si="32"/>
        <v>8320000</v>
      </c>
      <c r="N197" s="802">
        <f t="shared" si="32"/>
        <v>12480000</v>
      </c>
      <c r="O197" s="802">
        <f t="shared" si="32"/>
        <v>12480000</v>
      </c>
      <c r="P197" s="802">
        <f t="shared" si="32"/>
        <v>12480000</v>
      </c>
      <c r="Q197" s="802">
        <f t="shared" si="32"/>
        <v>16640000</v>
      </c>
      <c r="R197" s="802">
        <f t="shared" si="32"/>
        <v>16640000</v>
      </c>
      <c r="S197" s="802">
        <f t="shared" si="32"/>
        <v>9013333.333333334</v>
      </c>
      <c r="T197" s="754"/>
      <c r="U197" s="790">
        <f>S197</f>
        <v>9013333.333333334</v>
      </c>
      <c r="V197" s="789"/>
      <c r="W197" s="789"/>
      <c r="X197" s="790"/>
      <c r="Y197" s="767"/>
      <c r="Z197" s="767"/>
    </row>
    <row r="198" spans="1:26">
      <c r="A198" s="774"/>
      <c r="B198" s="774"/>
      <c r="C198" s="775">
        <v>189</v>
      </c>
      <c r="D198" s="776"/>
      <c r="E198" s="777"/>
      <c r="F198" s="791"/>
      <c r="G198" s="863"/>
      <c r="H198" s="793"/>
      <c r="I198" s="793"/>
      <c r="J198" s="794"/>
      <c r="K198" s="795"/>
      <c r="L198" s="796"/>
      <c r="M198" s="797"/>
      <c r="N198" s="798"/>
      <c r="O198" s="799"/>
      <c r="P198" s="800"/>
      <c r="Q198" s="864"/>
      <c r="R198" s="791"/>
      <c r="S198" s="780">
        <f t="shared" si="23"/>
        <v>0</v>
      </c>
      <c r="T198" s="754"/>
      <c r="U198" s="789"/>
      <c r="V198" s="789"/>
      <c r="W198" s="789"/>
      <c r="X198" s="789"/>
      <c r="Y198" s="767"/>
      <c r="Z198" s="767"/>
    </row>
    <row r="199" spans="1:26" ht="16.5" thickBot="1">
      <c r="A199" s="774"/>
      <c r="B199" s="774"/>
      <c r="C199" s="775">
        <v>190</v>
      </c>
      <c r="D199" s="776"/>
      <c r="E199" s="777" t="s">
        <v>676</v>
      </c>
      <c r="F199" s="880">
        <f>+F197+F194+F182+F173+F164+F159+F155+F153+F147+F132+F124+F109+F107+F106+F104+F100+F90+F81+F49+F39+F33+F29+F45</f>
        <v>957808188.95999992</v>
      </c>
      <c r="G199" s="880">
        <f t="shared" ref="G199:S199" si="33">+G197+G194+G182+G173+G164+G159+G155+G153+G147+G132+G124+G109+G107+G106+G104+G100+G90+G81+G49+G39+G33+G29+G45</f>
        <v>702758578.59000003</v>
      </c>
      <c r="H199" s="880">
        <f t="shared" si="33"/>
        <v>735000254.91000009</v>
      </c>
      <c r="I199" s="880">
        <f t="shared" si="33"/>
        <v>765442960.05999994</v>
      </c>
      <c r="J199" s="880">
        <f t="shared" si="33"/>
        <v>772363559.80999994</v>
      </c>
      <c r="K199" s="880">
        <f t="shared" si="33"/>
        <v>787640044.00999975</v>
      </c>
      <c r="L199" s="880">
        <f t="shared" si="33"/>
        <v>797992253.00999999</v>
      </c>
      <c r="M199" s="880">
        <f t="shared" si="33"/>
        <v>804112169.54999995</v>
      </c>
      <c r="N199" s="880">
        <f t="shared" si="33"/>
        <v>813852966.13999999</v>
      </c>
      <c r="O199" s="880">
        <f t="shared" si="33"/>
        <v>825107690.84000003</v>
      </c>
      <c r="P199" s="880">
        <f t="shared" si="33"/>
        <v>852872870.34000003</v>
      </c>
      <c r="Q199" s="880">
        <f t="shared" si="33"/>
        <v>886611525.82000017</v>
      </c>
      <c r="R199" s="880">
        <f t="shared" si="33"/>
        <v>945811407.76999998</v>
      </c>
      <c r="S199" s="880">
        <f t="shared" si="33"/>
        <v>807963722.62041652</v>
      </c>
      <c r="T199" s="754"/>
      <c r="U199" s="789"/>
      <c r="V199" s="789"/>
      <c r="W199" s="789"/>
      <c r="X199" s="789"/>
      <c r="Y199" s="767"/>
      <c r="Z199" s="767"/>
    </row>
    <row r="200" spans="1:26" ht="16.5" thickTop="1">
      <c r="A200" s="774"/>
      <c r="B200" s="774"/>
      <c r="C200" s="775">
        <v>191</v>
      </c>
      <c r="D200" s="776"/>
      <c r="E200" s="777"/>
      <c r="F200" s="778"/>
      <c r="G200" s="860"/>
      <c r="H200" s="780"/>
      <c r="I200" s="780"/>
      <c r="J200" s="781"/>
      <c r="K200" s="782"/>
      <c r="L200" s="783"/>
      <c r="M200" s="784"/>
      <c r="N200" s="785"/>
      <c r="O200" s="786"/>
      <c r="P200" s="787"/>
      <c r="Q200" s="861"/>
      <c r="R200" s="778"/>
      <c r="S200" s="780">
        <f t="shared" si="23"/>
        <v>0</v>
      </c>
      <c r="T200" s="754"/>
      <c r="U200" s="789"/>
      <c r="V200" s="789"/>
      <c r="W200" s="789"/>
      <c r="X200" s="789"/>
      <c r="Y200" s="767"/>
      <c r="Z200" s="767"/>
    </row>
    <row r="201" spans="1:26">
      <c r="A201" s="774"/>
      <c r="B201" s="774"/>
      <c r="C201" s="775">
        <v>192</v>
      </c>
      <c r="D201" s="776"/>
      <c r="E201" s="777"/>
      <c r="F201" s="778"/>
      <c r="G201" s="860"/>
      <c r="H201" s="780"/>
      <c r="I201" s="780"/>
      <c r="J201" s="781"/>
      <c r="K201" s="782"/>
      <c r="L201" s="783"/>
      <c r="M201" s="784"/>
      <c r="N201" s="785"/>
      <c r="O201" s="786"/>
      <c r="P201" s="787"/>
      <c r="Q201" s="861"/>
      <c r="R201" s="778"/>
      <c r="S201" s="780">
        <f t="shared" si="23"/>
        <v>0</v>
      </c>
      <c r="T201" s="754"/>
      <c r="U201" s="789"/>
      <c r="V201" s="789"/>
      <c r="W201" s="789"/>
      <c r="X201" s="789"/>
      <c r="Y201" s="767"/>
      <c r="Z201" s="767"/>
    </row>
    <row r="202" spans="1:26">
      <c r="A202" s="774" t="s">
        <v>677</v>
      </c>
      <c r="B202" s="774" t="s">
        <v>410</v>
      </c>
      <c r="C202" s="775">
        <v>193</v>
      </c>
      <c r="D202" s="774" t="str">
        <f>+A202</f>
        <v>2010</v>
      </c>
      <c r="E202" s="832" t="s">
        <v>678</v>
      </c>
      <c r="F202" s="778">
        <v>-1000</v>
      </c>
      <c r="G202" s="860">
        <v>-1000</v>
      </c>
      <c r="H202" s="780">
        <v>-1000</v>
      </c>
      <c r="I202" s="780">
        <v>-1000</v>
      </c>
      <c r="J202" s="781">
        <v>-1000</v>
      </c>
      <c r="K202" s="782">
        <v>-1000</v>
      </c>
      <c r="L202" s="783">
        <v>-1000</v>
      </c>
      <c r="M202" s="784">
        <v>-1000</v>
      </c>
      <c r="N202" s="785">
        <v>-1000</v>
      </c>
      <c r="O202" s="786">
        <v>-1000</v>
      </c>
      <c r="P202" s="787">
        <v>-1000</v>
      </c>
      <c r="Q202" s="861">
        <v>-1000</v>
      </c>
      <c r="R202" s="778">
        <v>-1000</v>
      </c>
      <c r="S202" s="780">
        <f t="shared" si="23"/>
        <v>-1000</v>
      </c>
      <c r="T202" s="754"/>
      <c r="U202" s="789"/>
      <c r="V202" s="789"/>
      <c r="W202" s="789"/>
      <c r="X202" s="789"/>
      <c r="Y202" s="767"/>
      <c r="Z202" s="767"/>
    </row>
    <row r="203" spans="1:26">
      <c r="A203" s="774" t="s">
        <v>679</v>
      </c>
      <c r="B203" s="774" t="s">
        <v>627</v>
      </c>
      <c r="C203" s="775">
        <v>194</v>
      </c>
      <c r="D203" s="776" t="str">
        <f>A203&amp;"."&amp;B203</f>
        <v>2160.1</v>
      </c>
      <c r="E203" s="832" t="s">
        <v>680</v>
      </c>
      <c r="F203" s="778">
        <v>-44676389.859999999</v>
      </c>
      <c r="G203" s="860">
        <v>-40209183.609999999</v>
      </c>
      <c r="H203" s="780">
        <v>-40209183.609999999</v>
      </c>
      <c r="I203" s="780">
        <v>-40209183.609999999</v>
      </c>
      <c r="J203" s="781">
        <v>-40205542.240000002</v>
      </c>
      <c r="K203" s="782">
        <v>-40205542.240000002</v>
      </c>
      <c r="L203" s="783">
        <v>-40205542.240000002</v>
      </c>
      <c r="M203" s="784">
        <v>-40205542.240000002</v>
      </c>
      <c r="N203" s="785">
        <v>-40205542.240000002</v>
      </c>
      <c r="O203" s="786">
        <v>-40205542.240000002</v>
      </c>
      <c r="P203" s="787">
        <v>-40205542.240000002</v>
      </c>
      <c r="Q203" s="861">
        <v>-40205542.240000002</v>
      </c>
      <c r="R203" s="778">
        <v>-40205542.240000002</v>
      </c>
      <c r="S203" s="780">
        <f t="shared" si="23"/>
        <v>-40392737.900000006</v>
      </c>
      <c r="T203" s="754"/>
      <c r="U203" s="789"/>
      <c r="V203" s="757"/>
      <c r="W203" s="757"/>
      <c r="X203" s="757"/>
      <c r="Y203" s="767"/>
      <c r="Z203" s="767"/>
    </row>
    <row r="204" spans="1:26">
      <c r="A204" s="774" t="s">
        <v>679</v>
      </c>
      <c r="B204" s="774" t="s">
        <v>681</v>
      </c>
      <c r="C204" s="775">
        <v>195</v>
      </c>
      <c r="D204" s="776" t="str">
        <f>A204&amp;"."&amp;B204</f>
        <v>2160.2</v>
      </c>
      <c r="E204" s="832" t="s">
        <v>682</v>
      </c>
      <c r="F204" s="778">
        <v>3641.37</v>
      </c>
      <c r="G204" s="860">
        <v>3641.37</v>
      </c>
      <c r="H204" s="780">
        <v>3641.37</v>
      </c>
      <c r="I204" s="780">
        <v>3641.37</v>
      </c>
      <c r="J204" s="781">
        <v>0</v>
      </c>
      <c r="K204" s="782">
        <v>0</v>
      </c>
      <c r="L204" s="783">
        <v>0</v>
      </c>
      <c r="M204" s="784">
        <v>0</v>
      </c>
      <c r="N204" s="785">
        <v>0</v>
      </c>
      <c r="O204" s="786">
        <v>0</v>
      </c>
      <c r="P204" s="787">
        <v>0</v>
      </c>
      <c r="Q204" s="861">
        <v>0</v>
      </c>
      <c r="R204" s="778">
        <v>0</v>
      </c>
      <c r="S204" s="780">
        <f t="shared" ref="S204:S267" si="34">((F204+R204)+((G204+H204+I204+J204+K204+L204+M204+N204+O204+P204+Q204)*2))/24</f>
        <v>1062.0662500000001</v>
      </c>
      <c r="T204" s="754"/>
      <c r="U204" s="789"/>
      <c r="V204" s="757"/>
      <c r="W204" s="757"/>
      <c r="X204" s="757"/>
      <c r="Y204" s="767"/>
      <c r="Z204" s="767"/>
    </row>
    <row r="205" spans="1:26">
      <c r="A205" s="774" t="s">
        <v>679</v>
      </c>
      <c r="B205" s="774" t="s">
        <v>683</v>
      </c>
      <c r="C205" s="775">
        <v>196</v>
      </c>
      <c r="D205" s="776" t="str">
        <f>A205&amp;"."&amp;B205</f>
        <v>2160.3</v>
      </c>
      <c r="E205" s="832" t="s">
        <v>684</v>
      </c>
      <c r="F205" s="778">
        <v>7513</v>
      </c>
      <c r="G205" s="860">
        <v>2245</v>
      </c>
      <c r="H205" s="780">
        <v>4490</v>
      </c>
      <c r="I205" s="780">
        <v>6170</v>
      </c>
      <c r="J205" s="781">
        <v>7850</v>
      </c>
      <c r="K205" s="782">
        <v>9530</v>
      </c>
      <c r="L205" s="783">
        <v>11210</v>
      </c>
      <c r="M205" s="784">
        <v>12828</v>
      </c>
      <c r="N205" s="785">
        <v>14446</v>
      </c>
      <c r="O205" s="786">
        <v>16064</v>
      </c>
      <c r="P205" s="787">
        <v>17682</v>
      </c>
      <c r="Q205" s="861">
        <v>19300</v>
      </c>
      <c r="R205" s="778">
        <v>15598</v>
      </c>
      <c r="S205" s="780">
        <f t="shared" si="34"/>
        <v>11114.208333333334</v>
      </c>
      <c r="T205" s="754"/>
      <c r="U205" s="789"/>
      <c r="V205" s="757"/>
      <c r="W205" s="757"/>
      <c r="X205" s="757"/>
      <c r="Y205" s="767"/>
      <c r="Z205" s="767"/>
    </row>
    <row r="206" spans="1:26">
      <c r="A206" s="774" t="s">
        <v>685</v>
      </c>
      <c r="B206" s="774" t="s">
        <v>627</v>
      </c>
      <c r="C206" s="775">
        <v>197</v>
      </c>
      <c r="D206" s="776" t="str">
        <f>A206&amp;"."&amp;B206</f>
        <v>2161.1</v>
      </c>
      <c r="E206" s="832" t="s">
        <v>686</v>
      </c>
      <c r="F206" s="778">
        <v>2000629.64</v>
      </c>
      <c r="G206" s="860">
        <v>2000629.64</v>
      </c>
      <c r="H206" s="780">
        <v>2000629.64</v>
      </c>
      <c r="I206" s="780">
        <v>2000629.64</v>
      </c>
      <c r="J206" s="781">
        <v>2000629.64</v>
      </c>
      <c r="K206" s="782">
        <v>2000629.64</v>
      </c>
      <c r="L206" s="783">
        <v>2000629.64</v>
      </c>
      <c r="M206" s="784">
        <v>2000629.64</v>
      </c>
      <c r="N206" s="785">
        <v>2000629.64</v>
      </c>
      <c r="O206" s="786">
        <v>2000629.64</v>
      </c>
      <c r="P206" s="787">
        <v>2000629.64</v>
      </c>
      <c r="Q206" s="861">
        <v>2000629.64</v>
      </c>
      <c r="R206" s="778">
        <v>2000629.64</v>
      </c>
      <c r="S206" s="780">
        <f t="shared" si="34"/>
        <v>2000629.6400000004</v>
      </c>
      <c r="T206" s="754"/>
      <c r="U206" s="789"/>
      <c r="V206" s="757"/>
      <c r="W206" s="757"/>
      <c r="X206" s="757"/>
      <c r="Y206" s="767"/>
      <c r="Z206" s="767"/>
    </row>
    <row r="207" spans="1:26">
      <c r="A207" s="774" t="s">
        <v>687</v>
      </c>
      <c r="B207" s="774" t="s">
        <v>410</v>
      </c>
      <c r="C207" s="775">
        <v>198</v>
      </c>
      <c r="D207" s="776" t="str">
        <f>+A207</f>
        <v>2071</v>
      </c>
      <c r="E207" s="832" t="s">
        <v>688</v>
      </c>
      <c r="F207" s="778">
        <v>-152703952.19</v>
      </c>
      <c r="G207" s="860">
        <v>-152703952.19</v>
      </c>
      <c r="H207" s="780">
        <v>-152703952.19</v>
      </c>
      <c r="I207" s="780">
        <v>-152698667.75</v>
      </c>
      <c r="J207" s="781">
        <v>-152698667.75</v>
      </c>
      <c r="K207" s="782">
        <v>-152698667.75</v>
      </c>
      <c r="L207" s="783">
        <v>-152698667.75</v>
      </c>
      <c r="M207" s="784">
        <v>-152698667.75</v>
      </c>
      <c r="N207" s="785">
        <v>-152698667.75</v>
      </c>
      <c r="O207" s="786">
        <v>-152698667.75</v>
      </c>
      <c r="P207" s="787">
        <v>-160698667.75</v>
      </c>
      <c r="Q207" s="861">
        <v>-160698667.75</v>
      </c>
      <c r="R207" s="778">
        <v>-160698667.75</v>
      </c>
      <c r="S207" s="780">
        <f t="shared" si="34"/>
        <v>-154366435.34166667</v>
      </c>
      <c r="T207" s="754"/>
      <c r="U207" s="789"/>
      <c r="V207" s="757"/>
      <c r="W207" s="757"/>
      <c r="X207" s="757"/>
      <c r="Y207" s="767"/>
      <c r="Z207" s="767"/>
    </row>
    <row r="208" spans="1:26">
      <c r="A208" s="774" t="s">
        <v>689</v>
      </c>
      <c r="B208" s="774" t="s">
        <v>410</v>
      </c>
      <c r="C208" s="775">
        <v>199</v>
      </c>
      <c r="D208" s="774" t="str">
        <f>+A208</f>
        <v>2100</v>
      </c>
      <c r="E208" s="832" t="s">
        <v>690</v>
      </c>
      <c r="F208" s="778">
        <v>0</v>
      </c>
      <c r="G208" s="860">
        <v>0</v>
      </c>
      <c r="H208" s="780">
        <v>0</v>
      </c>
      <c r="I208" s="780">
        <v>0</v>
      </c>
      <c r="J208" s="781">
        <v>0</v>
      </c>
      <c r="K208" s="782">
        <v>0</v>
      </c>
      <c r="L208" s="783">
        <v>0</v>
      </c>
      <c r="M208" s="784">
        <v>0</v>
      </c>
      <c r="N208" s="785">
        <v>0</v>
      </c>
      <c r="O208" s="786">
        <v>0</v>
      </c>
      <c r="P208" s="787">
        <v>0</v>
      </c>
      <c r="Q208" s="861">
        <v>0</v>
      </c>
      <c r="R208" s="778">
        <v>0</v>
      </c>
      <c r="S208" s="780">
        <f t="shared" si="34"/>
        <v>0</v>
      </c>
      <c r="T208" s="754"/>
      <c r="U208" s="789"/>
      <c r="V208" s="757"/>
      <c r="W208" s="757"/>
      <c r="X208" s="757"/>
      <c r="Y208" s="767"/>
      <c r="Z208" s="767"/>
    </row>
    <row r="209" spans="1:26">
      <c r="A209" s="774" t="s">
        <v>691</v>
      </c>
      <c r="B209" s="774" t="s">
        <v>410</v>
      </c>
      <c r="C209" s="775">
        <v>200</v>
      </c>
      <c r="D209" s="774" t="str">
        <f>+A209</f>
        <v>2110</v>
      </c>
      <c r="E209" s="832" t="s">
        <v>692</v>
      </c>
      <c r="F209" s="778">
        <v>0</v>
      </c>
      <c r="G209" s="860">
        <v>0</v>
      </c>
      <c r="H209" s="780">
        <v>0</v>
      </c>
      <c r="I209" s="780">
        <v>0</v>
      </c>
      <c r="J209" s="781">
        <v>0</v>
      </c>
      <c r="K209" s="782">
        <v>0</v>
      </c>
      <c r="L209" s="783">
        <v>0</v>
      </c>
      <c r="M209" s="784">
        <v>0</v>
      </c>
      <c r="N209" s="785">
        <v>0</v>
      </c>
      <c r="O209" s="786">
        <v>0</v>
      </c>
      <c r="P209" s="787">
        <v>0</v>
      </c>
      <c r="Q209" s="861">
        <v>0</v>
      </c>
      <c r="R209" s="778">
        <v>0</v>
      </c>
      <c r="S209" s="780">
        <f t="shared" si="34"/>
        <v>0</v>
      </c>
      <c r="T209" s="754"/>
      <c r="U209" s="789"/>
      <c r="V209" s="757"/>
      <c r="W209" s="757"/>
      <c r="X209" s="757"/>
      <c r="Y209" s="767"/>
      <c r="Z209" s="767"/>
    </row>
    <row r="210" spans="1:26">
      <c r="A210" s="774" t="s">
        <v>693</v>
      </c>
      <c r="B210" s="774" t="s">
        <v>410</v>
      </c>
      <c r="C210" s="775">
        <v>201</v>
      </c>
      <c r="D210" s="776" t="str">
        <f>+A210</f>
        <v>2190</v>
      </c>
      <c r="E210" s="832" t="s">
        <v>694</v>
      </c>
      <c r="F210" s="778">
        <v>0</v>
      </c>
      <c r="G210" s="860">
        <v>0</v>
      </c>
      <c r="H210" s="780">
        <v>0</v>
      </c>
      <c r="I210" s="780">
        <v>0</v>
      </c>
      <c r="J210" s="781">
        <v>0</v>
      </c>
      <c r="K210" s="782">
        <v>0</v>
      </c>
      <c r="L210" s="783">
        <v>0</v>
      </c>
      <c r="M210" s="784">
        <v>0</v>
      </c>
      <c r="N210" s="785">
        <v>0</v>
      </c>
      <c r="O210" s="786">
        <v>0</v>
      </c>
      <c r="P210" s="787">
        <v>0</v>
      </c>
      <c r="Q210" s="861">
        <v>0</v>
      </c>
      <c r="R210" s="778">
        <v>0</v>
      </c>
      <c r="S210" s="780">
        <f t="shared" si="34"/>
        <v>0</v>
      </c>
      <c r="T210" s="754"/>
      <c r="U210" s="789"/>
      <c r="V210" s="757"/>
      <c r="W210" s="757"/>
      <c r="X210" s="757"/>
      <c r="Y210" s="767"/>
      <c r="Z210" s="767"/>
    </row>
    <row r="211" spans="1:26">
      <c r="A211" s="774" t="s">
        <v>695</v>
      </c>
      <c r="B211" s="774" t="s">
        <v>410</v>
      </c>
      <c r="C211" s="775">
        <v>202</v>
      </c>
      <c r="D211" s="776" t="str">
        <f>+A211</f>
        <v>2141</v>
      </c>
      <c r="E211" s="832" t="s">
        <v>696</v>
      </c>
      <c r="F211" s="778">
        <v>0</v>
      </c>
      <c r="G211" s="860">
        <v>0</v>
      </c>
      <c r="H211" s="780">
        <v>0</v>
      </c>
      <c r="I211" s="780">
        <v>0</v>
      </c>
      <c r="J211" s="781">
        <v>0</v>
      </c>
      <c r="K211" s="782">
        <v>0</v>
      </c>
      <c r="L211" s="783">
        <v>0</v>
      </c>
      <c r="M211" s="784">
        <v>0</v>
      </c>
      <c r="N211" s="785">
        <v>0</v>
      </c>
      <c r="O211" s="786">
        <v>0</v>
      </c>
      <c r="P211" s="787">
        <v>0</v>
      </c>
      <c r="Q211" s="861">
        <v>0</v>
      </c>
      <c r="R211" s="778">
        <v>0</v>
      </c>
      <c r="S211" s="780">
        <f t="shared" si="34"/>
        <v>0</v>
      </c>
      <c r="T211" s="754"/>
      <c r="U211" s="789"/>
      <c r="V211" s="757"/>
      <c r="W211" s="757"/>
      <c r="X211" s="757"/>
      <c r="Y211" s="767"/>
      <c r="Z211" s="767"/>
    </row>
    <row r="212" spans="1:26">
      <c r="A212" s="774"/>
      <c r="B212" s="774"/>
      <c r="C212" s="775">
        <v>203</v>
      </c>
      <c r="D212" s="776"/>
      <c r="E212" s="832"/>
      <c r="F212" s="778"/>
      <c r="G212" s="860"/>
      <c r="H212" s="780"/>
      <c r="I212" s="780"/>
      <c r="J212" s="781"/>
      <c r="K212" s="782"/>
      <c r="L212" s="783"/>
      <c r="M212" s="784"/>
      <c r="N212" s="785"/>
      <c r="O212" s="786"/>
      <c r="P212" s="787"/>
      <c r="Q212" s="861"/>
      <c r="R212" s="778"/>
      <c r="S212" s="780">
        <f t="shared" si="34"/>
        <v>0</v>
      </c>
      <c r="T212" s="754"/>
      <c r="U212" s="789"/>
      <c r="V212" s="757"/>
      <c r="W212" s="757"/>
      <c r="X212" s="757"/>
      <c r="Y212" s="767"/>
      <c r="Z212" s="767"/>
    </row>
    <row r="213" spans="1:26">
      <c r="A213" s="774"/>
      <c r="B213" s="774"/>
      <c r="C213" s="775">
        <v>204</v>
      </c>
      <c r="D213" s="776"/>
      <c r="E213" s="832" t="s">
        <v>697</v>
      </c>
      <c r="F213" s="802">
        <f>SUM(F202:F211)</f>
        <v>-195369558.03999999</v>
      </c>
      <c r="G213" s="802">
        <f t="shared" ref="G213:S213" si="35">SUM(G202:G211)</f>
        <v>-190907619.78999999</v>
      </c>
      <c r="H213" s="802">
        <f t="shared" si="35"/>
        <v>-190905374.78999999</v>
      </c>
      <c r="I213" s="802">
        <f t="shared" si="35"/>
        <v>-190898410.34999999</v>
      </c>
      <c r="J213" s="802">
        <f t="shared" si="35"/>
        <v>-190896730.34999999</v>
      </c>
      <c r="K213" s="802">
        <f t="shared" si="35"/>
        <v>-190895050.34999999</v>
      </c>
      <c r="L213" s="802">
        <f t="shared" si="35"/>
        <v>-190893370.34999999</v>
      </c>
      <c r="M213" s="802">
        <f t="shared" si="35"/>
        <v>-190891752.34999999</v>
      </c>
      <c r="N213" s="802">
        <f t="shared" si="35"/>
        <v>-190890134.34999999</v>
      </c>
      <c r="O213" s="802">
        <f t="shared" si="35"/>
        <v>-190888516.34999999</v>
      </c>
      <c r="P213" s="802">
        <f t="shared" si="35"/>
        <v>-198886898.34999999</v>
      </c>
      <c r="Q213" s="802">
        <f t="shared" si="35"/>
        <v>-198885280.34999999</v>
      </c>
      <c r="R213" s="802">
        <f t="shared" si="35"/>
        <v>-198888982.34999999</v>
      </c>
      <c r="S213" s="802">
        <f t="shared" si="35"/>
        <v>-192747367.32708335</v>
      </c>
      <c r="T213" s="754"/>
      <c r="U213" s="790">
        <f>S213</f>
        <v>-192747367.32708335</v>
      </c>
      <c r="V213" s="757"/>
      <c r="W213" s="757"/>
      <c r="X213" s="757"/>
      <c r="Y213" s="767"/>
      <c r="Z213" s="767"/>
    </row>
    <row r="214" spans="1:26">
      <c r="A214" s="774"/>
      <c r="B214" s="774"/>
      <c r="C214" s="775">
        <v>205</v>
      </c>
      <c r="D214" s="776"/>
      <c r="E214" s="832"/>
      <c r="F214" s="807"/>
      <c r="G214" s="871"/>
      <c r="H214" s="809"/>
      <c r="I214" s="809"/>
      <c r="J214" s="810"/>
      <c r="K214" s="811"/>
      <c r="L214" s="812"/>
      <c r="M214" s="813"/>
      <c r="N214" s="814"/>
      <c r="O214" s="815"/>
      <c r="P214" s="816"/>
      <c r="Q214" s="866"/>
      <c r="R214" s="807"/>
      <c r="S214" s="780">
        <f t="shared" si="34"/>
        <v>0</v>
      </c>
      <c r="T214" s="754"/>
      <c r="U214" s="789"/>
      <c r="V214" s="757"/>
      <c r="W214" s="757"/>
      <c r="X214" s="757"/>
      <c r="Y214" s="767"/>
      <c r="Z214" s="767"/>
    </row>
    <row r="215" spans="1:26">
      <c r="A215" s="774" t="s">
        <v>698</v>
      </c>
      <c r="B215" s="774" t="s">
        <v>541</v>
      </c>
      <c r="C215" s="775">
        <v>206</v>
      </c>
      <c r="D215" s="776" t="str">
        <f t="shared" ref="D215:D233" si="36">A215&amp;"."&amp;B215</f>
        <v>2240.12</v>
      </c>
      <c r="E215" s="881" t="s">
        <v>699</v>
      </c>
      <c r="F215" s="778">
        <v>-20000000</v>
      </c>
      <c r="G215" s="860">
        <v>-20000000</v>
      </c>
      <c r="H215" s="780">
        <v>-20000000</v>
      </c>
      <c r="I215" s="780">
        <v>-20000000</v>
      </c>
      <c r="J215" s="781">
        <v>-20000000</v>
      </c>
      <c r="K215" s="782">
        <v>-20000000</v>
      </c>
      <c r="L215" s="783">
        <v>-20000000</v>
      </c>
      <c r="M215" s="784">
        <v>-20000000</v>
      </c>
      <c r="N215" s="785">
        <v>-20000000</v>
      </c>
      <c r="O215" s="786">
        <v>-20000000</v>
      </c>
      <c r="P215" s="787">
        <v>-20000000</v>
      </c>
      <c r="Q215" s="861">
        <v>-20000000</v>
      </c>
      <c r="R215" s="778">
        <v>-20000000</v>
      </c>
      <c r="S215" s="780">
        <f t="shared" si="34"/>
        <v>-20000000</v>
      </c>
      <c r="T215" s="754"/>
      <c r="U215" s="789"/>
      <c r="V215" s="757"/>
      <c r="W215" s="757"/>
      <c r="X215" s="757"/>
      <c r="Y215" s="767"/>
      <c r="Z215" s="767"/>
    </row>
    <row r="216" spans="1:26">
      <c r="A216" s="774" t="s">
        <v>698</v>
      </c>
      <c r="B216" s="774" t="s">
        <v>543</v>
      </c>
      <c r="C216" s="775">
        <v>207</v>
      </c>
      <c r="D216" s="776" t="str">
        <f t="shared" si="36"/>
        <v>2240.13</v>
      </c>
      <c r="E216" s="881" t="s">
        <v>700</v>
      </c>
      <c r="F216" s="778">
        <v>-15000000</v>
      </c>
      <c r="G216" s="860">
        <v>-15000000</v>
      </c>
      <c r="H216" s="780">
        <v>-15000000</v>
      </c>
      <c r="I216" s="780">
        <v>-15000000</v>
      </c>
      <c r="J216" s="781">
        <v>-15000000</v>
      </c>
      <c r="K216" s="782">
        <v>-15000000</v>
      </c>
      <c r="L216" s="783">
        <v>-15000000</v>
      </c>
      <c r="M216" s="784">
        <v>-15000000</v>
      </c>
      <c r="N216" s="785">
        <v>-15000000</v>
      </c>
      <c r="O216" s="786">
        <v>-15000000</v>
      </c>
      <c r="P216" s="787">
        <v>-15000000</v>
      </c>
      <c r="Q216" s="861">
        <v>-15000000</v>
      </c>
      <c r="R216" s="778">
        <v>-15000000</v>
      </c>
      <c r="S216" s="780">
        <f t="shared" si="34"/>
        <v>-15000000</v>
      </c>
      <c r="T216" s="754"/>
      <c r="U216" s="789"/>
      <c r="V216" s="757"/>
      <c r="W216" s="757"/>
      <c r="X216" s="757"/>
      <c r="Y216" s="767"/>
      <c r="Z216" s="767"/>
    </row>
    <row r="217" spans="1:26" ht="31.5">
      <c r="A217" s="774" t="s">
        <v>698</v>
      </c>
      <c r="B217" s="774" t="s">
        <v>545</v>
      </c>
      <c r="C217" s="775">
        <v>208</v>
      </c>
      <c r="D217" s="776" t="str">
        <f t="shared" si="36"/>
        <v>2240.17</v>
      </c>
      <c r="E217" s="881" t="s">
        <v>701</v>
      </c>
      <c r="F217" s="778">
        <v>-24589000</v>
      </c>
      <c r="G217" s="860">
        <v>-24589000</v>
      </c>
      <c r="H217" s="780">
        <v>-24539000</v>
      </c>
      <c r="I217" s="780">
        <v>-24539000</v>
      </c>
      <c r="J217" s="781">
        <v>-24539000</v>
      </c>
      <c r="K217" s="782">
        <v>-24489000</v>
      </c>
      <c r="L217" s="783">
        <v>-24489000</v>
      </c>
      <c r="M217" s="784">
        <v>-24489000</v>
      </c>
      <c r="N217" s="785">
        <v>-24471000</v>
      </c>
      <c r="O217" s="786">
        <v>-24471000</v>
      </c>
      <c r="P217" s="787">
        <v>-24471000</v>
      </c>
      <c r="Q217" s="861">
        <v>-24471000</v>
      </c>
      <c r="R217" s="778">
        <v>-24471000</v>
      </c>
      <c r="S217" s="780">
        <f t="shared" si="34"/>
        <v>-24507250</v>
      </c>
      <c r="T217" s="754"/>
      <c r="U217" s="789"/>
      <c r="V217" s="757"/>
      <c r="W217" s="757"/>
      <c r="X217" s="757"/>
      <c r="Y217" s="767"/>
      <c r="Z217" s="767"/>
    </row>
    <row r="218" spans="1:26">
      <c r="A218" s="774" t="s">
        <v>698</v>
      </c>
      <c r="B218" s="774" t="s">
        <v>547</v>
      </c>
      <c r="C218" s="775">
        <v>209</v>
      </c>
      <c r="D218" s="776" t="str">
        <f t="shared" si="36"/>
        <v>2240.18</v>
      </c>
      <c r="E218" s="881" t="s">
        <v>702</v>
      </c>
      <c r="F218" s="778">
        <v>-15000000</v>
      </c>
      <c r="G218" s="860">
        <v>-15000000</v>
      </c>
      <c r="H218" s="780">
        <v>-15000000</v>
      </c>
      <c r="I218" s="780">
        <v>-15000000</v>
      </c>
      <c r="J218" s="781">
        <v>-15000000</v>
      </c>
      <c r="K218" s="782">
        <v>-15000000</v>
      </c>
      <c r="L218" s="783">
        <v>-15000000</v>
      </c>
      <c r="M218" s="784">
        <v>-15000000</v>
      </c>
      <c r="N218" s="785">
        <v>-15000000</v>
      </c>
      <c r="O218" s="786">
        <v>-15000000</v>
      </c>
      <c r="P218" s="787">
        <v>-15000000</v>
      </c>
      <c r="Q218" s="861">
        <v>-15000000</v>
      </c>
      <c r="R218" s="778">
        <v>-15000000</v>
      </c>
      <c r="S218" s="780">
        <f t="shared" si="34"/>
        <v>-15000000</v>
      </c>
      <c r="T218" s="754"/>
      <c r="U218" s="789"/>
      <c r="V218" s="757"/>
      <c r="W218" s="757"/>
      <c r="X218" s="757"/>
      <c r="Y218" s="767"/>
      <c r="Z218" s="767"/>
    </row>
    <row r="219" spans="1:26">
      <c r="A219" s="774" t="s">
        <v>698</v>
      </c>
      <c r="B219" s="774" t="s">
        <v>549</v>
      </c>
      <c r="C219" s="775">
        <v>210</v>
      </c>
      <c r="D219" s="776" t="str">
        <f t="shared" si="36"/>
        <v>2240.19</v>
      </c>
      <c r="E219" s="881" t="s">
        <v>703</v>
      </c>
      <c r="F219" s="778">
        <v>-40000000</v>
      </c>
      <c r="G219" s="860">
        <v>-40000000</v>
      </c>
      <c r="H219" s="780">
        <v>-40000000</v>
      </c>
      <c r="I219" s="780">
        <v>-40000000</v>
      </c>
      <c r="J219" s="781">
        <v>-40000000</v>
      </c>
      <c r="K219" s="782">
        <v>-40000000</v>
      </c>
      <c r="L219" s="783">
        <v>-40000000</v>
      </c>
      <c r="M219" s="784">
        <v>-40000000</v>
      </c>
      <c r="N219" s="785">
        <v>-40000000</v>
      </c>
      <c r="O219" s="786">
        <v>-40000000</v>
      </c>
      <c r="P219" s="787">
        <v>-40000000</v>
      </c>
      <c r="Q219" s="861">
        <v>-40000000</v>
      </c>
      <c r="R219" s="778">
        <v>-40000000</v>
      </c>
      <c r="S219" s="780">
        <f t="shared" si="34"/>
        <v>-40000000</v>
      </c>
      <c r="T219" s="754"/>
      <c r="U219" s="789"/>
      <c r="V219" s="757"/>
      <c r="W219" s="757"/>
      <c r="X219" s="757"/>
      <c r="Y219" s="767"/>
      <c r="Z219" s="767"/>
    </row>
    <row r="220" spans="1:26">
      <c r="A220" s="774" t="s">
        <v>698</v>
      </c>
      <c r="B220" s="774" t="s">
        <v>551</v>
      </c>
      <c r="C220" s="775">
        <v>211</v>
      </c>
      <c r="D220" s="776" t="str">
        <f t="shared" si="36"/>
        <v>2240.20</v>
      </c>
      <c r="E220" s="882" t="s">
        <v>704</v>
      </c>
      <c r="F220" s="778">
        <v>-25000000</v>
      </c>
      <c r="G220" s="860">
        <v>-25000000</v>
      </c>
      <c r="H220" s="780">
        <v>-25000000</v>
      </c>
      <c r="I220" s="780">
        <v>-25000000</v>
      </c>
      <c r="J220" s="781">
        <v>-25000000</v>
      </c>
      <c r="K220" s="782">
        <v>-25000000</v>
      </c>
      <c r="L220" s="783">
        <v>-25000000</v>
      </c>
      <c r="M220" s="784">
        <v>-25000000</v>
      </c>
      <c r="N220" s="785">
        <v>-25000000</v>
      </c>
      <c r="O220" s="786">
        <v>-25000000</v>
      </c>
      <c r="P220" s="787">
        <v>-25000000</v>
      </c>
      <c r="Q220" s="861">
        <v>-25000000</v>
      </c>
      <c r="R220" s="778">
        <v>-25000000</v>
      </c>
      <c r="S220" s="780">
        <f t="shared" si="34"/>
        <v>-25000000</v>
      </c>
      <c r="T220" s="754"/>
      <c r="U220" s="789"/>
      <c r="V220" s="757"/>
      <c r="W220" s="757"/>
      <c r="X220" s="757"/>
      <c r="Y220" s="767"/>
      <c r="Z220" s="767"/>
    </row>
    <row r="221" spans="1:26">
      <c r="A221" s="774" t="s">
        <v>698</v>
      </c>
      <c r="B221" s="774" t="s">
        <v>553</v>
      </c>
      <c r="C221" s="775">
        <v>212</v>
      </c>
      <c r="D221" s="776" t="str">
        <f t="shared" si="36"/>
        <v>2240.21</v>
      </c>
      <c r="E221" s="882" t="s">
        <v>705</v>
      </c>
      <c r="F221" s="778">
        <v>-25000000</v>
      </c>
      <c r="G221" s="860">
        <v>-25000000</v>
      </c>
      <c r="H221" s="780">
        <v>-25000000</v>
      </c>
      <c r="I221" s="780">
        <v>-25000000</v>
      </c>
      <c r="J221" s="781">
        <v>-25000000</v>
      </c>
      <c r="K221" s="782">
        <v>-25000000</v>
      </c>
      <c r="L221" s="783">
        <v>-25000000</v>
      </c>
      <c r="M221" s="784">
        <v>-25000000</v>
      </c>
      <c r="N221" s="785">
        <v>-25000000</v>
      </c>
      <c r="O221" s="786">
        <v>-25000000</v>
      </c>
      <c r="P221" s="787">
        <v>-25000000</v>
      </c>
      <c r="Q221" s="861">
        <v>-25000000</v>
      </c>
      <c r="R221" s="778">
        <v>-25000000</v>
      </c>
      <c r="S221" s="780">
        <f t="shared" si="34"/>
        <v>-25000000</v>
      </c>
      <c r="T221" s="754"/>
      <c r="U221" s="789"/>
      <c r="V221" s="757"/>
      <c r="W221" s="757"/>
      <c r="X221" s="757"/>
      <c r="Y221" s="767"/>
      <c r="Z221" s="767"/>
    </row>
    <row r="222" spans="1:26">
      <c r="A222" s="774" t="s">
        <v>698</v>
      </c>
      <c r="B222" s="774" t="s">
        <v>556</v>
      </c>
      <c r="C222" s="775">
        <v>213</v>
      </c>
      <c r="D222" s="776" t="str">
        <f t="shared" si="36"/>
        <v>2240.23</v>
      </c>
      <c r="E222" s="882" t="s">
        <v>706</v>
      </c>
      <c r="F222" s="786">
        <v>-12500000</v>
      </c>
      <c r="G222" s="786">
        <v>-12500000</v>
      </c>
      <c r="H222" s="786">
        <v>-12500000</v>
      </c>
      <c r="I222" s="786">
        <v>-12500000</v>
      </c>
      <c r="J222" s="855">
        <v>-12500000</v>
      </c>
      <c r="K222" s="855">
        <v>-12500000</v>
      </c>
      <c r="L222" s="786">
        <v>-12500000</v>
      </c>
      <c r="M222" s="786">
        <v>-12500000</v>
      </c>
      <c r="N222" s="786">
        <v>-12500000</v>
      </c>
      <c r="O222" s="786">
        <v>-12500000</v>
      </c>
      <c r="P222" s="786">
        <v>-12500000</v>
      </c>
      <c r="Q222" s="786">
        <v>-12500000</v>
      </c>
      <c r="R222" s="786">
        <v>-12500000</v>
      </c>
      <c r="S222" s="780">
        <f t="shared" si="34"/>
        <v>-12500000</v>
      </c>
      <c r="T222" s="754"/>
      <c r="U222" s="789"/>
      <c r="V222" s="757"/>
      <c r="W222" s="757"/>
      <c r="X222" s="757"/>
      <c r="Y222" s="767"/>
      <c r="Z222" s="767"/>
    </row>
    <row r="223" spans="1:26">
      <c r="A223" s="774" t="s">
        <v>698</v>
      </c>
      <c r="B223" s="774" t="s">
        <v>558</v>
      </c>
      <c r="C223" s="775">
        <v>214</v>
      </c>
      <c r="D223" s="776" t="str">
        <f t="shared" si="36"/>
        <v>2240.24</v>
      </c>
      <c r="E223" s="882" t="s">
        <v>707</v>
      </c>
      <c r="F223" s="786">
        <v>-12500000</v>
      </c>
      <c r="G223" s="786">
        <v>-12500000</v>
      </c>
      <c r="H223" s="786">
        <v>-12500000</v>
      </c>
      <c r="I223" s="786">
        <v>-12500000</v>
      </c>
      <c r="J223" s="855">
        <v>-12500000</v>
      </c>
      <c r="K223" s="855">
        <v>-12500000</v>
      </c>
      <c r="L223" s="786">
        <v>-12500000</v>
      </c>
      <c r="M223" s="786">
        <v>-12500000</v>
      </c>
      <c r="N223" s="786">
        <v>-12500000</v>
      </c>
      <c r="O223" s="786">
        <v>-12500000</v>
      </c>
      <c r="P223" s="786">
        <v>-12500000</v>
      </c>
      <c r="Q223" s="786">
        <v>-12500000</v>
      </c>
      <c r="R223" s="786">
        <v>-12500000</v>
      </c>
      <c r="S223" s="780">
        <f t="shared" si="34"/>
        <v>-12500000</v>
      </c>
      <c r="T223" s="754"/>
      <c r="U223" s="789"/>
      <c r="V223" s="757"/>
      <c r="W223" s="757"/>
      <c r="X223" s="757"/>
      <c r="Y223" s="767"/>
      <c r="Z223" s="767"/>
    </row>
    <row r="224" spans="1:26">
      <c r="A224" s="774" t="s">
        <v>698</v>
      </c>
      <c r="B224" s="774" t="s">
        <v>560</v>
      </c>
      <c r="C224" s="775">
        <v>215</v>
      </c>
      <c r="D224" s="776" t="str">
        <f t="shared" si="36"/>
        <v>2240.25</v>
      </c>
      <c r="E224" s="882" t="s">
        <v>707</v>
      </c>
      <c r="F224" s="786">
        <v>-12500000</v>
      </c>
      <c r="G224" s="786">
        <v>-12500000</v>
      </c>
      <c r="H224" s="786">
        <v>-12500000</v>
      </c>
      <c r="I224" s="786">
        <v>-12500000</v>
      </c>
      <c r="J224" s="855">
        <v>-12500000</v>
      </c>
      <c r="K224" s="855">
        <v>-12500000</v>
      </c>
      <c r="L224" s="786">
        <v>-12500000</v>
      </c>
      <c r="M224" s="786">
        <v>-12500000</v>
      </c>
      <c r="N224" s="786">
        <v>-12500000</v>
      </c>
      <c r="O224" s="786">
        <v>-12500000</v>
      </c>
      <c r="P224" s="786">
        <v>-12500000</v>
      </c>
      <c r="Q224" s="786">
        <v>-12500000</v>
      </c>
      <c r="R224" s="786">
        <v>-12500000</v>
      </c>
      <c r="S224" s="780">
        <f t="shared" si="34"/>
        <v>-12500000</v>
      </c>
      <c r="T224" s="754"/>
      <c r="U224" s="789"/>
      <c r="V224" s="757"/>
      <c r="W224" s="757"/>
      <c r="X224" s="757"/>
      <c r="Y224" s="767"/>
      <c r="Z224" s="767"/>
    </row>
    <row r="225" spans="1:26">
      <c r="A225" s="774" t="s">
        <v>698</v>
      </c>
      <c r="B225" s="774" t="s">
        <v>561</v>
      </c>
      <c r="C225" s="775">
        <v>216</v>
      </c>
      <c r="D225" s="776" t="str">
        <f t="shared" si="36"/>
        <v>2240.26</v>
      </c>
      <c r="E225" s="882" t="s">
        <v>707</v>
      </c>
      <c r="F225" s="786">
        <v>-12500000</v>
      </c>
      <c r="G225" s="786">
        <v>-12500000</v>
      </c>
      <c r="H225" s="786">
        <v>-12500000</v>
      </c>
      <c r="I225" s="786">
        <v>-12500000</v>
      </c>
      <c r="J225" s="855">
        <v>-12500000</v>
      </c>
      <c r="K225" s="855">
        <v>-12500000</v>
      </c>
      <c r="L225" s="786">
        <v>-12500000</v>
      </c>
      <c r="M225" s="786">
        <v>-12500000</v>
      </c>
      <c r="N225" s="786">
        <v>-12500000</v>
      </c>
      <c r="O225" s="786">
        <v>-12500000</v>
      </c>
      <c r="P225" s="786">
        <v>-12500000</v>
      </c>
      <c r="Q225" s="786">
        <v>-12500000</v>
      </c>
      <c r="R225" s="786">
        <v>-12500000</v>
      </c>
      <c r="S225" s="780">
        <f t="shared" si="34"/>
        <v>-12500000</v>
      </c>
      <c r="T225" s="754"/>
      <c r="U225" s="789"/>
      <c r="V225" s="757"/>
      <c r="W225" s="757"/>
      <c r="X225" s="757"/>
      <c r="Y225" s="767"/>
      <c r="Z225" s="767"/>
    </row>
    <row r="226" spans="1:26">
      <c r="A226" s="774" t="s">
        <v>698</v>
      </c>
      <c r="B226" s="774" t="s">
        <v>1009</v>
      </c>
      <c r="C226" s="775">
        <v>217</v>
      </c>
      <c r="D226" s="776" t="str">
        <f t="shared" si="36"/>
        <v>2240.99</v>
      </c>
      <c r="E226" s="882" t="s">
        <v>1011</v>
      </c>
      <c r="F226" s="786"/>
      <c r="G226" s="786">
        <v>2104120.19</v>
      </c>
      <c r="H226" s="786">
        <v>2093227.2</v>
      </c>
      <c r="I226" s="786">
        <v>2077862.81</v>
      </c>
      <c r="J226" s="855">
        <v>2066981.14</v>
      </c>
      <c r="K226" s="855">
        <v>2056099.47</v>
      </c>
      <c r="L226" s="786">
        <v>2045217.8</v>
      </c>
      <c r="M226" s="786">
        <v>2034336.13</v>
      </c>
      <c r="N226" s="786">
        <v>2023454.46</v>
      </c>
      <c r="O226" s="786">
        <v>2012572.79</v>
      </c>
      <c r="P226" s="786">
        <v>2001691.12</v>
      </c>
      <c r="Q226" s="786">
        <v>1990809.45</v>
      </c>
      <c r="R226" s="786">
        <v>1979927.78</v>
      </c>
      <c r="S226" s="780">
        <f t="shared" si="34"/>
        <v>1958028.0374999999</v>
      </c>
      <c r="T226" s="754"/>
      <c r="U226" s="789"/>
      <c r="V226" s="757"/>
      <c r="W226" s="757"/>
      <c r="X226" s="757"/>
      <c r="Y226" s="767"/>
      <c r="Z226" s="767"/>
    </row>
    <row r="227" spans="1:26" ht="31.5">
      <c r="A227" s="774" t="s">
        <v>708</v>
      </c>
      <c r="B227" s="774" t="s">
        <v>504</v>
      </c>
      <c r="C227" s="775">
        <v>218</v>
      </c>
      <c r="D227" s="776" t="str">
        <f t="shared" si="36"/>
        <v>2241.02</v>
      </c>
      <c r="E227" s="883" t="s">
        <v>709</v>
      </c>
      <c r="F227" s="778">
        <v>0</v>
      </c>
      <c r="G227" s="860">
        <v>0</v>
      </c>
      <c r="H227" s="780">
        <v>0</v>
      </c>
      <c r="I227" s="780">
        <v>0</v>
      </c>
      <c r="J227" s="781">
        <v>0</v>
      </c>
      <c r="K227" s="782">
        <v>0</v>
      </c>
      <c r="L227" s="783">
        <v>0</v>
      </c>
      <c r="M227" s="784">
        <v>0</v>
      </c>
      <c r="N227" s="785">
        <v>0</v>
      </c>
      <c r="O227" s="786">
        <v>0</v>
      </c>
      <c r="P227" s="787">
        <v>0</v>
      </c>
      <c r="Q227" s="861">
        <v>0</v>
      </c>
      <c r="R227" s="778">
        <v>0</v>
      </c>
      <c r="S227" s="780">
        <f t="shared" si="34"/>
        <v>0</v>
      </c>
      <c r="T227" s="754"/>
      <c r="U227" s="789"/>
      <c r="V227" s="757"/>
      <c r="W227" s="757"/>
      <c r="X227" s="757"/>
      <c r="Y227" s="767"/>
      <c r="Z227" s="767"/>
    </row>
    <row r="228" spans="1:26" ht="31.5">
      <c r="A228" s="774" t="s">
        <v>708</v>
      </c>
      <c r="B228" s="774" t="s">
        <v>566</v>
      </c>
      <c r="C228" s="775">
        <v>219</v>
      </c>
      <c r="D228" s="776" t="str">
        <f t="shared" si="36"/>
        <v>2241.03</v>
      </c>
      <c r="E228" s="883" t="s">
        <v>710</v>
      </c>
      <c r="F228" s="778">
        <v>0</v>
      </c>
      <c r="G228" s="860">
        <v>0</v>
      </c>
      <c r="H228" s="780">
        <v>0</v>
      </c>
      <c r="I228" s="780">
        <v>0</v>
      </c>
      <c r="J228" s="781">
        <v>0</v>
      </c>
      <c r="K228" s="782">
        <v>0</v>
      </c>
      <c r="L228" s="783">
        <v>0</v>
      </c>
      <c r="M228" s="784">
        <v>0</v>
      </c>
      <c r="N228" s="785">
        <v>0</v>
      </c>
      <c r="O228" s="786">
        <v>0</v>
      </c>
      <c r="P228" s="787">
        <v>0</v>
      </c>
      <c r="Q228" s="861">
        <v>0</v>
      </c>
      <c r="R228" s="778">
        <v>0</v>
      </c>
      <c r="S228" s="780">
        <f t="shared" si="34"/>
        <v>0</v>
      </c>
      <c r="T228" s="754"/>
      <c r="U228" s="789"/>
      <c r="V228" s="757"/>
      <c r="W228" s="757"/>
      <c r="X228" s="757"/>
      <c r="Y228" s="767"/>
      <c r="Z228" s="767"/>
    </row>
    <row r="229" spans="1:26" ht="31.5">
      <c r="A229" s="774" t="s">
        <v>708</v>
      </c>
      <c r="B229" s="774" t="s">
        <v>568</v>
      </c>
      <c r="C229" s="775">
        <v>220</v>
      </c>
      <c r="D229" s="776" t="str">
        <f t="shared" si="36"/>
        <v>2241.04</v>
      </c>
      <c r="E229" s="883" t="s">
        <v>711</v>
      </c>
      <c r="F229" s="778">
        <v>0</v>
      </c>
      <c r="G229" s="860">
        <v>0</v>
      </c>
      <c r="H229" s="780">
        <v>0</v>
      </c>
      <c r="I229" s="780">
        <v>0</v>
      </c>
      <c r="J229" s="781">
        <v>0</v>
      </c>
      <c r="K229" s="782">
        <v>0</v>
      </c>
      <c r="L229" s="783">
        <v>0</v>
      </c>
      <c r="M229" s="784">
        <v>0</v>
      </c>
      <c r="N229" s="785">
        <v>0</v>
      </c>
      <c r="O229" s="786">
        <v>0</v>
      </c>
      <c r="P229" s="787">
        <v>0</v>
      </c>
      <c r="Q229" s="861">
        <v>0</v>
      </c>
      <c r="R229" s="778">
        <v>0</v>
      </c>
      <c r="S229" s="780">
        <f t="shared" si="34"/>
        <v>0</v>
      </c>
      <c r="T229" s="754"/>
      <c r="U229" s="789"/>
      <c r="V229" s="757"/>
      <c r="W229" s="757"/>
      <c r="X229" s="757"/>
      <c r="Y229" s="767"/>
      <c r="Z229" s="767"/>
    </row>
    <row r="230" spans="1:26" ht="31.5">
      <c r="A230" s="774" t="s">
        <v>708</v>
      </c>
      <c r="B230" s="774" t="s">
        <v>712</v>
      </c>
      <c r="C230" s="775">
        <v>221</v>
      </c>
      <c r="D230" s="776" t="str">
        <f t="shared" si="36"/>
        <v>2241.06</v>
      </c>
      <c r="E230" s="883" t="s">
        <v>713</v>
      </c>
      <c r="F230" s="778">
        <v>0</v>
      </c>
      <c r="G230" s="860">
        <v>0</v>
      </c>
      <c r="H230" s="780">
        <v>0</v>
      </c>
      <c r="I230" s="780">
        <v>0</v>
      </c>
      <c r="J230" s="781">
        <v>0</v>
      </c>
      <c r="K230" s="782">
        <v>0</v>
      </c>
      <c r="L230" s="783">
        <v>0</v>
      </c>
      <c r="M230" s="784">
        <v>0</v>
      </c>
      <c r="N230" s="785">
        <v>0</v>
      </c>
      <c r="O230" s="786">
        <v>0</v>
      </c>
      <c r="P230" s="787">
        <v>0</v>
      </c>
      <c r="Q230" s="861">
        <v>0</v>
      </c>
      <c r="R230" s="778">
        <v>0</v>
      </c>
      <c r="S230" s="780">
        <f t="shared" si="34"/>
        <v>0</v>
      </c>
      <c r="T230" s="754"/>
      <c r="U230" s="789"/>
      <c r="V230" s="757"/>
      <c r="W230" s="757"/>
      <c r="X230" s="757"/>
      <c r="Y230" s="767"/>
      <c r="Z230" s="767"/>
    </row>
    <row r="231" spans="1:26" ht="31.5">
      <c r="A231" s="774" t="s">
        <v>708</v>
      </c>
      <c r="B231" s="774" t="s">
        <v>714</v>
      </c>
      <c r="C231" s="775">
        <v>222</v>
      </c>
      <c r="D231" s="776" t="str">
        <f t="shared" si="36"/>
        <v>2241.07</v>
      </c>
      <c r="E231" s="883" t="s">
        <v>715</v>
      </c>
      <c r="F231" s="778">
        <v>0</v>
      </c>
      <c r="G231" s="860">
        <v>0</v>
      </c>
      <c r="H231" s="780">
        <v>0</v>
      </c>
      <c r="I231" s="780">
        <v>0</v>
      </c>
      <c r="J231" s="781">
        <v>0</v>
      </c>
      <c r="K231" s="782">
        <v>0</v>
      </c>
      <c r="L231" s="783">
        <v>0</v>
      </c>
      <c r="M231" s="784">
        <v>0</v>
      </c>
      <c r="N231" s="785">
        <v>0</v>
      </c>
      <c r="O231" s="786">
        <v>0</v>
      </c>
      <c r="P231" s="787">
        <v>0</v>
      </c>
      <c r="Q231" s="861">
        <v>0</v>
      </c>
      <c r="R231" s="778">
        <v>0</v>
      </c>
      <c r="S231" s="780">
        <f t="shared" si="34"/>
        <v>0</v>
      </c>
      <c r="T231" s="754"/>
      <c r="U231" s="789"/>
      <c r="V231" s="757"/>
      <c r="W231" s="757"/>
      <c r="X231" s="757"/>
      <c r="Y231" s="767"/>
      <c r="Z231" s="767"/>
    </row>
    <row r="232" spans="1:26" ht="31.5">
      <c r="A232" s="774" t="s">
        <v>708</v>
      </c>
      <c r="B232" s="774" t="s">
        <v>716</v>
      </c>
      <c r="C232" s="775">
        <v>223</v>
      </c>
      <c r="D232" s="776" t="str">
        <f t="shared" si="36"/>
        <v>2241.08</v>
      </c>
      <c r="E232" s="883" t="s">
        <v>717</v>
      </c>
      <c r="F232" s="778">
        <v>0</v>
      </c>
      <c r="G232" s="860">
        <v>0</v>
      </c>
      <c r="H232" s="780">
        <v>0</v>
      </c>
      <c r="I232" s="780">
        <v>0</v>
      </c>
      <c r="J232" s="781">
        <v>0</v>
      </c>
      <c r="K232" s="782">
        <v>0</v>
      </c>
      <c r="L232" s="783">
        <v>0</v>
      </c>
      <c r="M232" s="784">
        <v>0</v>
      </c>
      <c r="N232" s="785">
        <v>0</v>
      </c>
      <c r="O232" s="855">
        <v>0</v>
      </c>
      <c r="P232" s="787">
        <v>0</v>
      </c>
      <c r="Q232" s="861">
        <v>0</v>
      </c>
      <c r="R232" s="778">
        <v>0</v>
      </c>
      <c r="S232" s="780">
        <f t="shared" si="34"/>
        <v>0</v>
      </c>
      <c r="T232" s="754"/>
      <c r="U232" s="789"/>
      <c r="V232" s="757"/>
      <c r="W232" s="757"/>
      <c r="X232" s="757"/>
      <c r="Y232" s="767"/>
      <c r="Z232" s="767"/>
    </row>
    <row r="233" spans="1:26">
      <c r="A233" s="774" t="s">
        <v>718</v>
      </c>
      <c r="B233" s="774" t="s">
        <v>524</v>
      </c>
      <c r="C233" s="775">
        <v>224</v>
      </c>
      <c r="D233" s="776" t="str">
        <f t="shared" si="36"/>
        <v>2242.01</v>
      </c>
      <c r="E233" s="774" t="s">
        <v>719</v>
      </c>
      <c r="F233" s="786">
        <v>0</v>
      </c>
      <c r="G233" s="786">
        <v>0</v>
      </c>
      <c r="H233" s="786">
        <v>0</v>
      </c>
      <c r="I233" s="786">
        <v>0</v>
      </c>
      <c r="J233" s="855">
        <v>0</v>
      </c>
      <c r="K233" s="855">
        <v>0</v>
      </c>
      <c r="L233" s="786">
        <v>0</v>
      </c>
      <c r="M233" s="786">
        <v>0</v>
      </c>
      <c r="N233" s="786">
        <v>0</v>
      </c>
      <c r="O233" s="786">
        <v>0</v>
      </c>
      <c r="P233" s="786">
        <v>0</v>
      </c>
      <c r="Q233" s="786">
        <v>0</v>
      </c>
      <c r="R233" s="786">
        <v>0</v>
      </c>
      <c r="S233" s="780">
        <f t="shared" si="34"/>
        <v>0</v>
      </c>
      <c r="T233" s="754"/>
      <c r="U233" s="789"/>
      <c r="V233" s="757"/>
      <c r="W233" s="757"/>
      <c r="X233" s="757"/>
      <c r="Y233" s="767"/>
      <c r="Z233" s="767"/>
    </row>
    <row r="234" spans="1:26">
      <c r="A234" s="774"/>
      <c r="B234" s="774"/>
      <c r="C234" s="775">
        <v>225</v>
      </c>
      <c r="D234" s="776"/>
      <c r="E234" s="832" t="s">
        <v>720</v>
      </c>
      <c r="F234" s="802">
        <f>SUM(F215:F233)</f>
        <v>-214589000</v>
      </c>
      <c r="G234" s="802">
        <f t="shared" ref="G234:S234" si="37">SUM(G215:G233)</f>
        <v>-212484879.81</v>
      </c>
      <c r="H234" s="802">
        <f t="shared" si="37"/>
        <v>-212445772.80000001</v>
      </c>
      <c r="I234" s="802">
        <f t="shared" si="37"/>
        <v>-212461137.19</v>
      </c>
      <c r="J234" s="802">
        <f t="shared" si="37"/>
        <v>-212472018.86000001</v>
      </c>
      <c r="K234" s="802">
        <f t="shared" si="37"/>
        <v>-212432900.53</v>
      </c>
      <c r="L234" s="802">
        <f t="shared" si="37"/>
        <v>-212443782.19999999</v>
      </c>
      <c r="M234" s="802">
        <f t="shared" si="37"/>
        <v>-212454663.87</v>
      </c>
      <c r="N234" s="802">
        <f t="shared" si="37"/>
        <v>-212447545.53999999</v>
      </c>
      <c r="O234" s="802">
        <f t="shared" si="37"/>
        <v>-212458427.21000001</v>
      </c>
      <c r="P234" s="802">
        <f t="shared" si="37"/>
        <v>-212469308.88</v>
      </c>
      <c r="Q234" s="802">
        <f t="shared" si="37"/>
        <v>-212480190.55000001</v>
      </c>
      <c r="R234" s="802">
        <f t="shared" si="37"/>
        <v>-212491072.22</v>
      </c>
      <c r="S234" s="802">
        <f t="shared" si="37"/>
        <v>-212549221.96250001</v>
      </c>
      <c r="T234" s="754"/>
      <c r="U234" s="790">
        <f>S234</f>
        <v>-212549221.96250001</v>
      </c>
      <c r="V234" s="757"/>
      <c r="W234" s="757"/>
      <c r="X234" s="757"/>
      <c r="Y234" s="767"/>
      <c r="Z234" s="767"/>
    </row>
    <row r="235" spans="1:26">
      <c r="A235" s="774"/>
      <c r="B235" s="774"/>
      <c r="C235" s="775">
        <v>226</v>
      </c>
      <c r="D235" s="776"/>
      <c r="E235" s="832"/>
      <c r="F235" s="778"/>
      <c r="G235" s="860"/>
      <c r="H235" s="780"/>
      <c r="I235" s="780"/>
      <c r="J235" s="781"/>
      <c r="K235" s="782"/>
      <c r="L235" s="783"/>
      <c r="M235" s="784"/>
      <c r="N235" s="785"/>
      <c r="O235" s="786"/>
      <c r="P235" s="787"/>
      <c r="Q235" s="861"/>
      <c r="R235" s="778"/>
      <c r="S235" s="780">
        <f t="shared" si="34"/>
        <v>0</v>
      </c>
      <c r="T235" s="754"/>
      <c r="U235" s="789"/>
      <c r="V235" s="757"/>
      <c r="W235" s="757"/>
      <c r="X235" s="757"/>
      <c r="Y235" s="767"/>
      <c r="Z235" s="767"/>
    </row>
    <row r="236" spans="1:26">
      <c r="A236" s="774" t="s">
        <v>721</v>
      </c>
      <c r="B236" s="774" t="s">
        <v>410</v>
      </c>
      <c r="C236" s="775">
        <v>227</v>
      </c>
      <c r="D236" s="774" t="str">
        <f>+A236</f>
        <v>2310</v>
      </c>
      <c r="E236" s="832" t="s">
        <v>722</v>
      </c>
      <c r="F236" s="778">
        <v>0</v>
      </c>
      <c r="G236" s="860">
        <v>0</v>
      </c>
      <c r="H236" s="780">
        <v>0</v>
      </c>
      <c r="I236" s="780">
        <v>0</v>
      </c>
      <c r="J236" s="781">
        <v>0</v>
      </c>
      <c r="K236" s="782">
        <v>0</v>
      </c>
      <c r="L236" s="783">
        <v>0</v>
      </c>
      <c r="M236" s="784">
        <v>0</v>
      </c>
      <c r="N236" s="785">
        <v>0</v>
      </c>
      <c r="O236" s="786">
        <v>0</v>
      </c>
      <c r="P236" s="787">
        <v>0</v>
      </c>
      <c r="Q236" s="861">
        <v>0</v>
      </c>
      <c r="R236" s="778">
        <v>0</v>
      </c>
      <c r="S236" s="780">
        <f t="shared" si="34"/>
        <v>0</v>
      </c>
      <c r="T236" s="754"/>
      <c r="U236" s="790">
        <f>S236</f>
        <v>0</v>
      </c>
      <c r="V236" s="789"/>
      <c r="W236" s="789"/>
      <c r="X236" s="790"/>
      <c r="Y236" s="767"/>
      <c r="Z236" s="767"/>
    </row>
    <row r="237" spans="1:26">
      <c r="A237" s="774" t="s">
        <v>723</v>
      </c>
      <c r="B237" s="774" t="s">
        <v>724</v>
      </c>
      <c r="C237" s="775">
        <v>228</v>
      </c>
      <c r="D237" s="752" t="str">
        <f>A237&amp;"."&amp;B237</f>
        <v>2330.045</v>
      </c>
      <c r="E237" s="774" t="s">
        <v>725</v>
      </c>
      <c r="F237" s="778">
        <v>0</v>
      </c>
      <c r="G237" s="860">
        <v>0</v>
      </c>
      <c r="H237" s="780">
        <v>0</v>
      </c>
      <c r="I237" s="780">
        <v>0</v>
      </c>
      <c r="J237" s="781">
        <v>0</v>
      </c>
      <c r="K237" s="782">
        <v>0</v>
      </c>
      <c r="L237" s="783">
        <v>0</v>
      </c>
      <c r="M237" s="784">
        <v>0</v>
      </c>
      <c r="N237" s="785">
        <v>0</v>
      </c>
      <c r="O237" s="786">
        <v>0</v>
      </c>
      <c r="P237" s="787">
        <v>0</v>
      </c>
      <c r="Q237" s="861">
        <v>0</v>
      </c>
      <c r="R237" s="778">
        <v>0</v>
      </c>
      <c r="S237" s="780">
        <f t="shared" si="34"/>
        <v>0</v>
      </c>
      <c r="T237" s="754"/>
      <c r="U237" s="789"/>
      <c r="V237" s="789"/>
      <c r="W237" s="789"/>
      <c r="X237" s="789"/>
      <c r="Y237" s="767"/>
      <c r="Z237" s="767"/>
    </row>
    <row r="238" spans="1:26">
      <c r="A238" s="774"/>
      <c r="B238" s="774"/>
      <c r="C238" s="775">
        <v>229</v>
      </c>
      <c r="D238" s="776"/>
      <c r="E238" s="832"/>
      <c r="F238" s="778"/>
      <c r="G238" s="860"/>
      <c r="H238" s="780"/>
      <c r="I238" s="780"/>
      <c r="J238" s="781"/>
      <c r="K238" s="782"/>
      <c r="L238" s="783"/>
      <c r="M238" s="784"/>
      <c r="N238" s="785"/>
      <c r="O238" s="786"/>
      <c r="P238" s="787"/>
      <c r="Q238" s="861"/>
      <c r="R238" s="778"/>
      <c r="S238" s="780">
        <f t="shared" si="34"/>
        <v>0</v>
      </c>
      <c r="T238" s="754"/>
      <c r="U238" s="789"/>
      <c r="V238" s="789"/>
      <c r="W238" s="789"/>
      <c r="X238" s="789"/>
      <c r="Y238" s="767"/>
      <c r="Z238" s="767"/>
    </row>
    <row r="239" spans="1:26">
      <c r="A239" s="774" t="s">
        <v>726</v>
      </c>
      <c r="B239" s="774" t="s">
        <v>410</v>
      </c>
      <c r="C239" s="775">
        <v>230</v>
      </c>
      <c r="D239" s="774" t="str">
        <f>+A239</f>
        <v>2321</v>
      </c>
      <c r="E239" s="832" t="s">
        <v>727</v>
      </c>
      <c r="F239" s="778">
        <v>-2632243.14</v>
      </c>
      <c r="G239" s="860">
        <v>-932061.88</v>
      </c>
      <c r="H239" s="780">
        <v>-1268442.46</v>
      </c>
      <c r="I239" s="780">
        <v>-1261061.97</v>
      </c>
      <c r="J239" s="781">
        <v>-2118018.4300000002</v>
      </c>
      <c r="K239" s="782">
        <v>-2776132.13</v>
      </c>
      <c r="L239" s="783">
        <v>-1910577.14</v>
      </c>
      <c r="M239" s="784">
        <v>-1163398.6100000001</v>
      </c>
      <c r="N239" s="785">
        <v>-2492662.4</v>
      </c>
      <c r="O239" s="786">
        <v>-2252485.5099999998</v>
      </c>
      <c r="P239" s="787">
        <v>-1248713.28</v>
      </c>
      <c r="Q239" s="861">
        <v>-1464995.91</v>
      </c>
      <c r="R239" s="778">
        <v>-3872593.05</v>
      </c>
      <c r="S239" s="780">
        <f t="shared" si="34"/>
        <v>-1845080.6512499999</v>
      </c>
      <c r="T239" s="754"/>
      <c r="U239" s="789"/>
      <c r="V239" s="789"/>
      <c r="W239" s="789"/>
      <c r="X239" s="790">
        <f>S239</f>
        <v>-1845080.6512499999</v>
      </c>
      <c r="Y239" s="767"/>
      <c r="Z239" s="767"/>
    </row>
    <row r="240" spans="1:26">
      <c r="A240" s="750" t="s">
        <v>728</v>
      </c>
      <c r="B240" s="774" t="s">
        <v>1012</v>
      </c>
      <c r="C240" s="775">
        <v>231</v>
      </c>
      <c r="D240" s="774" t="s">
        <v>728</v>
      </c>
      <c r="E240" s="795" t="s">
        <v>1013</v>
      </c>
      <c r="F240" s="778">
        <v>0</v>
      </c>
      <c r="G240" s="860">
        <v>0</v>
      </c>
      <c r="H240" s="780">
        <v>0</v>
      </c>
      <c r="I240" s="780">
        <v>0</v>
      </c>
      <c r="J240" s="781">
        <v>0</v>
      </c>
      <c r="K240" s="782">
        <v>-7174.24</v>
      </c>
      <c r="L240" s="783">
        <v>-47647.49</v>
      </c>
      <c r="M240" s="784">
        <v>-13364.19</v>
      </c>
      <c r="N240" s="785">
        <v>-123251.5</v>
      </c>
      <c r="O240" s="786">
        <v>-116359</v>
      </c>
      <c r="P240" s="787">
        <v>-110921.31</v>
      </c>
      <c r="Q240" s="861">
        <v>-20605.52</v>
      </c>
      <c r="R240" s="778">
        <v>-196293.75</v>
      </c>
      <c r="S240" s="780">
        <f t="shared" si="34"/>
        <v>-44789.177083333336</v>
      </c>
      <c r="T240" s="754"/>
      <c r="U240" s="789"/>
      <c r="V240" s="789"/>
      <c r="W240" s="789"/>
      <c r="X240" s="790">
        <f>S240</f>
        <v>-44789.177083333336</v>
      </c>
      <c r="Y240" s="767"/>
      <c r="Z240" s="767"/>
    </row>
    <row r="241" spans="1:26">
      <c r="A241" s="750" t="s">
        <v>728</v>
      </c>
      <c r="B241" s="750" t="s">
        <v>446</v>
      </c>
      <c r="C241" s="775">
        <v>232</v>
      </c>
      <c r="D241" s="752" t="str">
        <f>A241&amp;"."&amp;B241</f>
        <v>2322.1*</v>
      </c>
      <c r="E241" s="832" t="s">
        <v>729</v>
      </c>
      <c r="F241" s="778">
        <v>-18234135.59</v>
      </c>
      <c r="G241" s="860">
        <v>-19391764.940000001</v>
      </c>
      <c r="H241" s="780">
        <v>-13030468.84</v>
      </c>
      <c r="I241" s="780">
        <v>-11601271.02</v>
      </c>
      <c r="J241" s="781">
        <v>-8766764.0800000001</v>
      </c>
      <c r="K241" s="782">
        <v>-7374700.1100000003</v>
      </c>
      <c r="L241" s="783">
        <v>-6311789.5599999996</v>
      </c>
      <c r="M241" s="784">
        <v>-7758729.8399999999</v>
      </c>
      <c r="N241" s="785">
        <v>-8119312.1200000001</v>
      </c>
      <c r="O241" s="786">
        <v>-8761209.8200000003</v>
      </c>
      <c r="P241" s="787">
        <v>-9979998.6999999993</v>
      </c>
      <c r="Q241" s="861">
        <v>-14927334.35</v>
      </c>
      <c r="R241" s="778">
        <v>-22858356.27</v>
      </c>
      <c r="S241" s="780">
        <f t="shared" si="34"/>
        <v>-11380799.109166667</v>
      </c>
      <c r="T241" s="754"/>
      <c r="U241" s="789"/>
      <c r="V241" s="789"/>
      <c r="W241" s="789"/>
      <c r="X241" s="790">
        <f>S241</f>
        <v>-11380799.109166667</v>
      </c>
      <c r="Y241" s="767"/>
      <c r="Z241" s="767"/>
    </row>
    <row r="242" spans="1:26">
      <c r="A242" s="750" t="s">
        <v>728</v>
      </c>
      <c r="B242" s="750" t="s">
        <v>730</v>
      </c>
      <c r="C242" s="775">
        <v>233</v>
      </c>
      <c r="D242" s="752" t="str">
        <f>A242&amp;"."&amp;B242</f>
        <v>2322.[2*,/217]</v>
      </c>
      <c r="E242" s="750" t="s">
        <v>731</v>
      </c>
      <c r="F242" s="778">
        <v>0</v>
      </c>
      <c r="G242" s="860">
        <v>0</v>
      </c>
      <c r="H242" s="780">
        <v>0</v>
      </c>
      <c r="I242" s="780">
        <v>0</v>
      </c>
      <c r="J242" s="781">
        <v>0</v>
      </c>
      <c r="K242" s="782">
        <v>0</v>
      </c>
      <c r="L242" s="783">
        <v>0</v>
      </c>
      <c r="M242" s="784">
        <v>0</v>
      </c>
      <c r="N242" s="785">
        <v>0</v>
      </c>
      <c r="O242" s="786">
        <v>0</v>
      </c>
      <c r="P242" s="787">
        <v>0</v>
      </c>
      <c r="Q242" s="861">
        <v>0</v>
      </c>
      <c r="R242" s="778">
        <v>0</v>
      </c>
      <c r="S242" s="780">
        <f t="shared" si="34"/>
        <v>0</v>
      </c>
      <c r="T242" s="754"/>
      <c r="U242" s="789"/>
      <c r="V242" s="789"/>
      <c r="W242" s="789"/>
      <c r="X242" s="789"/>
      <c r="Y242" s="767"/>
      <c r="Z242" s="767"/>
    </row>
    <row r="243" spans="1:26">
      <c r="A243" s="750" t="s">
        <v>728</v>
      </c>
      <c r="B243" s="750" t="s">
        <v>732</v>
      </c>
      <c r="C243" s="775">
        <v>234</v>
      </c>
      <c r="D243" s="752" t="str">
        <f>A243&amp;"."&amp;B243</f>
        <v>2322.[217*]</v>
      </c>
      <c r="E243" s="750" t="s">
        <v>733</v>
      </c>
      <c r="F243" s="778"/>
      <c r="G243" s="860"/>
      <c r="H243" s="780"/>
      <c r="I243" s="780"/>
      <c r="J243" s="781"/>
      <c r="K243" s="782"/>
      <c r="L243" s="783"/>
      <c r="M243" s="784"/>
      <c r="N243" s="785"/>
      <c r="O243" s="786"/>
      <c r="P243" s="787"/>
      <c r="Q243" s="861"/>
      <c r="R243" s="778">
        <v>-1209848.1399999999</v>
      </c>
      <c r="S243" s="780">
        <f t="shared" si="34"/>
        <v>-50410.339166666665</v>
      </c>
      <c r="T243" s="754"/>
      <c r="U243" s="789"/>
      <c r="V243" s="789"/>
      <c r="W243" s="789"/>
      <c r="X243" s="790">
        <f>+S243</f>
        <v>-50410.339166666665</v>
      </c>
      <c r="Y243" s="767"/>
      <c r="Z243" s="767"/>
    </row>
    <row r="244" spans="1:26">
      <c r="A244" s="750" t="s">
        <v>728</v>
      </c>
      <c r="B244" s="750" t="s">
        <v>734</v>
      </c>
      <c r="C244" s="775">
        <v>235</v>
      </c>
      <c r="D244" s="752" t="str">
        <f>A244&amp;"."&amp;B244</f>
        <v>2322.[4*,009]</v>
      </c>
      <c r="E244" s="832" t="s">
        <v>735</v>
      </c>
      <c r="F244" s="778">
        <v>-1438.53</v>
      </c>
      <c r="G244" s="860">
        <v>0</v>
      </c>
      <c r="H244" s="780">
        <v>-3313.53</v>
      </c>
      <c r="I244" s="780">
        <v>-2109.54</v>
      </c>
      <c r="J244" s="781">
        <v>0</v>
      </c>
      <c r="K244" s="782">
        <v>-3496.21</v>
      </c>
      <c r="L244" s="783">
        <v>-2220.6</v>
      </c>
      <c r="M244" s="784">
        <v>-4.5474735088646402E-13</v>
      </c>
      <c r="N244" s="785">
        <v>-8836.08</v>
      </c>
      <c r="O244" s="786">
        <v>-5388.41</v>
      </c>
      <c r="P244" s="787">
        <v>-4445.25</v>
      </c>
      <c r="Q244" s="861">
        <v>-22386.65</v>
      </c>
      <c r="R244" s="778">
        <v>-359559.65</v>
      </c>
      <c r="S244" s="780">
        <f t="shared" si="34"/>
        <v>-19391.280000000002</v>
      </c>
      <c r="T244" s="754"/>
      <c r="U244" s="789"/>
      <c r="V244" s="789"/>
      <c r="W244" s="789"/>
      <c r="X244" s="790">
        <f>S244</f>
        <v>-19391.280000000002</v>
      </c>
      <c r="Y244" s="767"/>
      <c r="Z244" s="767"/>
    </row>
    <row r="245" spans="1:26">
      <c r="A245" s="750" t="s">
        <v>728</v>
      </c>
      <c r="B245" s="750" t="s">
        <v>736</v>
      </c>
      <c r="C245" s="775">
        <v>236</v>
      </c>
      <c r="D245" s="752" t="str">
        <f>A245&amp;"."&amp;B245</f>
        <v>2322.3*</v>
      </c>
      <c r="E245" s="832" t="s">
        <v>737</v>
      </c>
      <c r="F245" s="778">
        <v>-5893.5800000000199</v>
      </c>
      <c r="G245" s="860">
        <v>-7031.79</v>
      </c>
      <c r="H245" s="780">
        <v>10476.73</v>
      </c>
      <c r="I245" s="780">
        <v>-112571.75</v>
      </c>
      <c r="J245" s="781">
        <v>-108695.88</v>
      </c>
      <c r="K245" s="782">
        <v>12333.46</v>
      </c>
      <c r="L245" s="783">
        <v>14294.76</v>
      </c>
      <c r="M245" s="784">
        <v>11550.38</v>
      </c>
      <c r="N245" s="785">
        <v>-116783.52</v>
      </c>
      <c r="O245" s="786">
        <v>-118590.76</v>
      </c>
      <c r="P245" s="787">
        <v>-3146.2200000000198</v>
      </c>
      <c r="Q245" s="861">
        <v>-7857.6400000000203</v>
      </c>
      <c r="R245" s="778">
        <v>-13011.26</v>
      </c>
      <c r="S245" s="780">
        <f t="shared" si="34"/>
        <v>-36289.554166666669</v>
      </c>
      <c r="T245" s="754"/>
      <c r="U245" s="789"/>
      <c r="V245" s="789"/>
      <c r="W245" s="789"/>
      <c r="X245" s="790">
        <f>S245</f>
        <v>-36289.554166666669</v>
      </c>
      <c r="Y245" s="767"/>
      <c r="Z245" s="767"/>
    </row>
    <row r="246" spans="1:26">
      <c r="A246" s="774" t="s">
        <v>738</v>
      </c>
      <c r="B246" s="774" t="s">
        <v>410</v>
      </c>
      <c r="C246" s="775">
        <v>237</v>
      </c>
      <c r="D246" s="774" t="str">
        <f>+A246</f>
        <v>2323</v>
      </c>
      <c r="E246" s="832" t="s">
        <v>739</v>
      </c>
      <c r="F246" s="778">
        <v>-145487</v>
      </c>
      <c r="G246" s="860">
        <v>-76962.429999999993</v>
      </c>
      <c r="H246" s="780">
        <v>-199193.18</v>
      </c>
      <c r="I246" s="780">
        <v>-540960.78</v>
      </c>
      <c r="J246" s="781">
        <v>-479413.69</v>
      </c>
      <c r="K246" s="782">
        <v>-230955.63</v>
      </c>
      <c r="L246" s="783">
        <v>-394986.89</v>
      </c>
      <c r="M246" s="784">
        <v>-261650.2</v>
      </c>
      <c r="N246" s="785">
        <v>-142219.95000000001</v>
      </c>
      <c r="O246" s="786">
        <v>-620952.82999999996</v>
      </c>
      <c r="P246" s="787">
        <v>-390564.37</v>
      </c>
      <c r="Q246" s="861">
        <v>-307623.27</v>
      </c>
      <c r="R246" s="778">
        <v>-253348.6</v>
      </c>
      <c r="S246" s="780">
        <f t="shared" si="34"/>
        <v>-320408.41833333339</v>
      </c>
      <c r="T246" s="754"/>
      <c r="U246" s="789"/>
      <c r="V246" s="789"/>
      <c r="W246" s="789"/>
      <c r="X246" s="790">
        <f>S246</f>
        <v>-320408.41833333339</v>
      </c>
      <c r="Y246" s="767"/>
      <c r="Z246" s="767"/>
    </row>
    <row r="247" spans="1:26">
      <c r="A247" s="774"/>
      <c r="B247" s="774"/>
      <c r="C247" s="775">
        <v>238</v>
      </c>
      <c r="D247" s="776"/>
      <c r="E247" s="832"/>
      <c r="F247" s="778"/>
      <c r="G247" s="860"/>
      <c r="H247" s="780"/>
      <c r="I247" s="780"/>
      <c r="J247" s="781"/>
      <c r="K247" s="782"/>
      <c r="L247" s="783"/>
      <c r="M247" s="784"/>
      <c r="N247" s="785"/>
      <c r="O247" s="786"/>
      <c r="P247" s="787"/>
      <c r="Q247" s="861"/>
      <c r="R247" s="778"/>
      <c r="S247" s="780">
        <f t="shared" si="34"/>
        <v>0</v>
      </c>
      <c r="T247" s="754"/>
      <c r="U247" s="789"/>
      <c r="V247" s="789"/>
      <c r="W247" s="789"/>
      <c r="X247" s="789"/>
      <c r="Y247" s="767"/>
      <c r="Z247" s="767"/>
    </row>
    <row r="248" spans="1:26">
      <c r="A248" s="774" t="s">
        <v>740</v>
      </c>
      <c r="B248" s="884" t="s">
        <v>741</v>
      </c>
      <c r="C248" s="775">
        <v>239</v>
      </c>
      <c r="D248" s="776" t="str">
        <f t="shared" ref="D248:D258" si="38">A248&amp;"."&amp;B248</f>
        <v>2340.[000,001]</v>
      </c>
      <c r="E248" s="885" t="s">
        <v>742</v>
      </c>
      <c r="F248" s="778">
        <v>-1402673.36</v>
      </c>
      <c r="G248" s="860">
        <v>-1464534.48</v>
      </c>
      <c r="H248" s="780">
        <v>-1369348.79</v>
      </c>
      <c r="I248" s="780">
        <v>-1023239.36</v>
      </c>
      <c r="J248" s="781">
        <v>-717549.77</v>
      </c>
      <c r="K248" s="782">
        <v>-1269623.98</v>
      </c>
      <c r="L248" s="783">
        <v>-1166708.32</v>
      </c>
      <c r="M248" s="784">
        <v>-995927.74</v>
      </c>
      <c r="N248" s="785">
        <v>-1394534.21</v>
      </c>
      <c r="O248" s="786">
        <v>-1382782.44</v>
      </c>
      <c r="P248" s="787">
        <v>-1355123.03</v>
      </c>
      <c r="Q248" s="861">
        <v>-1250012.98</v>
      </c>
      <c r="R248" s="778">
        <v>-1360877.86</v>
      </c>
      <c r="S248" s="780">
        <f t="shared" si="34"/>
        <v>-1230930.0591666668</v>
      </c>
      <c r="T248" s="754"/>
      <c r="U248" s="789"/>
      <c r="V248" s="789"/>
      <c r="W248" s="789"/>
      <c r="X248" s="789"/>
      <c r="Y248" s="767"/>
      <c r="Z248" s="767"/>
    </row>
    <row r="249" spans="1:26">
      <c r="A249" s="774" t="s">
        <v>740</v>
      </c>
      <c r="B249" s="884" t="s">
        <v>743</v>
      </c>
      <c r="C249" s="775">
        <v>240</v>
      </c>
      <c r="D249" s="776" t="str">
        <f t="shared" si="38"/>
        <v>2340.005</v>
      </c>
      <c r="E249" s="832" t="s">
        <v>744</v>
      </c>
      <c r="F249" s="778">
        <v>-53</v>
      </c>
      <c r="G249" s="860">
        <v>-69984.800000000003</v>
      </c>
      <c r="H249" s="780">
        <v>-1668.96000000001</v>
      </c>
      <c r="I249" s="780">
        <v>-20311.650000000001</v>
      </c>
      <c r="J249" s="781">
        <v>-16.1500000000051</v>
      </c>
      <c r="K249" s="782">
        <v>-166.51000000000499</v>
      </c>
      <c r="L249" s="783">
        <v>-36005.4</v>
      </c>
      <c r="M249" s="784">
        <v>-200</v>
      </c>
      <c r="N249" s="785">
        <v>-1627.61</v>
      </c>
      <c r="O249" s="786">
        <v>-37814.57</v>
      </c>
      <c r="P249" s="787">
        <v>-10.75</v>
      </c>
      <c r="Q249" s="861">
        <v>-169061.22</v>
      </c>
      <c r="R249" s="778">
        <v>-13112.75</v>
      </c>
      <c r="S249" s="780">
        <f t="shared" si="34"/>
        <v>-28620.874583333334</v>
      </c>
      <c r="T249" s="754"/>
      <c r="U249" s="789"/>
      <c r="V249" s="789"/>
      <c r="W249" s="789"/>
      <c r="X249" s="789"/>
      <c r="Y249" s="767"/>
      <c r="Z249" s="767"/>
    </row>
    <row r="250" spans="1:26">
      <c r="A250" s="774" t="s">
        <v>740</v>
      </c>
      <c r="B250" s="884" t="s">
        <v>745</v>
      </c>
      <c r="C250" s="775">
        <v>241</v>
      </c>
      <c r="D250" s="776" t="str">
        <f t="shared" si="38"/>
        <v>2340.008</v>
      </c>
      <c r="E250" s="832" t="s">
        <v>746</v>
      </c>
      <c r="F250" s="778">
        <v>-4.5474735088646402E-13</v>
      </c>
      <c r="G250" s="860">
        <v>0</v>
      </c>
      <c r="H250" s="780">
        <v>0</v>
      </c>
      <c r="I250" s="780">
        <v>0</v>
      </c>
      <c r="J250" s="781">
        <v>0</v>
      </c>
      <c r="K250" s="782">
        <v>-1848.77</v>
      </c>
      <c r="L250" s="783">
        <v>-660</v>
      </c>
      <c r="M250" s="784">
        <v>0</v>
      </c>
      <c r="N250" s="785">
        <v>-68.540000000000006</v>
      </c>
      <c r="O250" s="786">
        <v>-11829.4</v>
      </c>
      <c r="P250" s="787">
        <v>-8160</v>
      </c>
      <c r="Q250" s="861">
        <v>-1.8189894035458601E-12</v>
      </c>
      <c r="R250" s="778">
        <v>-1.8189894035458601E-12</v>
      </c>
      <c r="S250" s="780">
        <f t="shared" si="34"/>
        <v>-1880.5591666666667</v>
      </c>
      <c r="T250" s="754"/>
      <c r="U250" s="789"/>
      <c r="V250" s="789"/>
      <c r="W250" s="789"/>
      <c r="X250" s="789"/>
      <c r="Y250" s="767"/>
      <c r="Z250" s="767"/>
    </row>
    <row r="251" spans="1:26">
      <c r="A251" s="774" t="s">
        <v>740</v>
      </c>
      <c r="B251" s="884" t="s">
        <v>747</v>
      </c>
      <c r="C251" s="775">
        <v>242</v>
      </c>
      <c r="D251" s="776" t="str">
        <f t="shared" si="38"/>
        <v>2340.0620</v>
      </c>
      <c r="E251" s="885" t="s">
        <v>748</v>
      </c>
      <c r="F251" s="778">
        <v>-7399.48</v>
      </c>
      <c r="G251" s="860">
        <v>-306.61</v>
      </c>
      <c r="H251" s="780">
        <v>-386.41</v>
      </c>
      <c r="I251" s="780">
        <v>-1679.64</v>
      </c>
      <c r="J251" s="781">
        <v>4.5474735088646402E-13</v>
      </c>
      <c r="K251" s="782">
        <v>-1189.6500000000001</v>
      </c>
      <c r="L251" s="783">
        <v>4.5474735088646402E-13</v>
      </c>
      <c r="M251" s="784">
        <v>-562.83000000000004</v>
      </c>
      <c r="N251" s="785">
        <v>4.5474735088646402E-13</v>
      </c>
      <c r="O251" s="786">
        <v>-1156.43</v>
      </c>
      <c r="P251" s="787">
        <v>4.5474735088646402E-13</v>
      </c>
      <c r="Q251" s="861">
        <v>-1869.12</v>
      </c>
      <c r="R251" s="778">
        <v>4.5474735088646402E-13</v>
      </c>
      <c r="S251" s="780">
        <f t="shared" si="34"/>
        <v>-904.20249999999999</v>
      </c>
      <c r="T251" s="754"/>
      <c r="U251" s="789"/>
      <c r="V251" s="789"/>
      <c r="W251" s="789"/>
      <c r="X251" s="789"/>
      <c r="Y251" s="767"/>
      <c r="Z251" s="767"/>
    </row>
    <row r="252" spans="1:26">
      <c r="A252" s="774" t="s">
        <v>740</v>
      </c>
      <c r="B252" s="884" t="s">
        <v>749</v>
      </c>
      <c r="C252" s="775">
        <v>243</v>
      </c>
      <c r="D252" s="776" t="str">
        <f t="shared" si="38"/>
        <v>2340.0670</v>
      </c>
      <c r="E252" s="885" t="s">
        <v>750</v>
      </c>
      <c r="F252" s="778">
        <v>0</v>
      </c>
      <c r="G252" s="860">
        <v>-6479.78</v>
      </c>
      <c r="H252" s="780">
        <v>-6479.78</v>
      </c>
      <c r="I252" s="780">
        <v>-6479.78</v>
      </c>
      <c r="J252" s="781">
        <v>-6479.78</v>
      </c>
      <c r="K252" s="782">
        <v>-6479.78</v>
      </c>
      <c r="L252" s="783">
        <v>0</v>
      </c>
      <c r="M252" s="784">
        <v>0</v>
      </c>
      <c r="N252" s="785">
        <v>0</v>
      </c>
      <c r="O252" s="861">
        <v>0</v>
      </c>
      <c r="P252" s="861">
        <v>0</v>
      </c>
      <c r="Q252" s="861">
        <v>0</v>
      </c>
      <c r="R252" s="778">
        <v>0</v>
      </c>
      <c r="S252" s="780">
        <f t="shared" si="34"/>
        <v>-2699.9083333333333</v>
      </c>
      <c r="T252" s="754"/>
      <c r="U252" s="789"/>
      <c r="V252" s="789"/>
      <c r="W252" s="789"/>
      <c r="X252" s="789"/>
      <c r="Y252" s="767"/>
      <c r="Z252" s="767"/>
    </row>
    <row r="253" spans="1:26">
      <c r="A253" s="774" t="s">
        <v>740</v>
      </c>
      <c r="B253" s="884" t="s">
        <v>751</v>
      </c>
      <c r="C253" s="775">
        <v>244</v>
      </c>
      <c r="D253" s="776" t="str">
        <f t="shared" si="38"/>
        <v>2340.043</v>
      </c>
      <c r="E253" s="885" t="s">
        <v>752</v>
      </c>
      <c r="F253" s="778">
        <v>0</v>
      </c>
      <c r="G253" s="860">
        <v>0</v>
      </c>
      <c r="H253" s="780">
        <v>0</v>
      </c>
      <c r="I253" s="780">
        <v>0</v>
      </c>
      <c r="J253" s="781">
        <v>0</v>
      </c>
      <c r="K253" s="782">
        <v>0</v>
      </c>
      <c r="L253" s="783">
        <v>0</v>
      </c>
      <c r="M253" s="784">
        <v>0</v>
      </c>
      <c r="N253" s="785">
        <v>0</v>
      </c>
      <c r="O253" s="786">
        <v>0</v>
      </c>
      <c r="P253" s="787">
        <v>0</v>
      </c>
      <c r="Q253" s="861">
        <v>0</v>
      </c>
      <c r="R253" s="778">
        <v>0</v>
      </c>
      <c r="S253" s="780">
        <f t="shared" si="34"/>
        <v>0</v>
      </c>
      <c r="T253" s="754"/>
      <c r="U253" s="789"/>
      <c r="V253" s="789"/>
      <c r="W253" s="789"/>
      <c r="X253" s="789"/>
      <c r="Y253" s="767"/>
      <c r="Z253" s="767"/>
    </row>
    <row r="254" spans="1:26">
      <c r="A254" s="774" t="s">
        <v>740</v>
      </c>
      <c r="B254" s="884" t="s">
        <v>753</v>
      </c>
      <c r="C254" s="775">
        <v>245</v>
      </c>
      <c r="D254" s="776" t="str">
        <f t="shared" si="38"/>
        <v>2340.044</v>
      </c>
      <c r="E254" s="832" t="s">
        <v>754</v>
      </c>
      <c r="F254" s="778">
        <v>0</v>
      </c>
      <c r="G254" s="860">
        <v>0</v>
      </c>
      <c r="H254" s="780">
        <v>0</v>
      </c>
      <c r="I254" s="780">
        <v>0</v>
      </c>
      <c r="J254" s="781">
        <v>0</v>
      </c>
      <c r="K254" s="782">
        <v>0</v>
      </c>
      <c r="L254" s="783">
        <v>0</v>
      </c>
      <c r="M254" s="784">
        <v>0</v>
      </c>
      <c r="N254" s="785">
        <v>0</v>
      </c>
      <c r="O254" s="786">
        <v>0</v>
      </c>
      <c r="P254" s="787">
        <v>0</v>
      </c>
      <c r="Q254" s="861">
        <v>0</v>
      </c>
      <c r="R254" s="778">
        <v>0</v>
      </c>
      <c r="S254" s="780">
        <f t="shared" si="34"/>
        <v>0</v>
      </c>
      <c r="T254" s="754"/>
      <c r="U254" s="789"/>
      <c r="V254" s="789"/>
      <c r="W254" s="789"/>
      <c r="X254" s="789"/>
      <c r="Y254" s="767"/>
      <c r="Z254" s="767"/>
    </row>
    <row r="255" spans="1:26">
      <c r="A255" s="774" t="s">
        <v>740</v>
      </c>
      <c r="B255" s="884" t="s">
        <v>724</v>
      </c>
      <c r="C255" s="775">
        <v>246</v>
      </c>
      <c r="D255" s="776" t="str">
        <f t="shared" si="38"/>
        <v>2340.045</v>
      </c>
      <c r="E255" s="774" t="s">
        <v>755</v>
      </c>
      <c r="F255" s="778">
        <v>0</v>
      </c>
      <c r="G255" s="860">
        <v>0</v>
      </c>
      <c r="H255" s="780">
        <v>0</v>
      </c>
      <c r="I255" s="780">
        <v>0</v>
      </c>
      <c r="J255" s="781">
        <v>0</v>
      </c>
      <c r="K255" s="782">
        <v>0</v>
      </c>
      <c r="L255" s="783">
        <v>0</v>
      </c>
      <c r="M255" s="784">
        <v>0</v>
      </c>
      <c r="N255" s="785">
        <v>0</v>
      </c>
      <c r="O255" s="786">
        <v>0</v>
      </c>
      <c r="P255" s="787">
        <v>0</v>
      </c>
      <c r="Q255" s="861">
        <v>0</v>
      </c>
      <c r="R255" s="778">
        <v>0</v>
      </c>
      <c r="S255" s="780">
        <f t="shared" si="34"/>
        <v>0</v>
      </c>
      <c r="T255" s="754"/>
      <c r="U255" s="789"/>
      <c r="V255" s="789"/>
      <c r="W255" s="789"/>
      <c r="X255" s="789"/>
      <c r="Y255" s="767"/>
      <c r="Z255" s="767"/>
    </row>
    <row r="256" spans="1:26">
      <c r="A256" s="774" t="s">
        <v>740</v>
      </c>
      <c r="B256" s="774" t="s">
        <v>756</v>
      </c>
      <c r="C256" s="775">
        <v>247</v>
      </c>
      <c r="D256" s="776" t="str">
        <f t="shared" si="38"/>
        <v>2340.046</v>
      </c>
      <c r="E256" s="832" t="s">
        <v>757</v>
      </c>
      <c r="F256" s="778">
        <v>0</v>
      </c>
      <c r="G256" s="860">
        <v>0</v>
      </c>
      <c r="H256" s="780">
        <v>0</v>
      </c>
      <c r="I256" s="780">
        <v>0</v>
      </c>
      <c r="J256" s="781">
        <v>0</v>
      </c>
      <c r="K256" s="782">
        <v>0</v>
      </c>
      <c r="L256" s="783">
        <v>0</v>
      </c>
      <c r="M256" s="784">
        <v>0</v>
      </c>
      <c r="N256" s="785">
        <v>0</v>
      </c>
      <c r="O256" s="786">
        <v>0</v>
      </c>
      <c r="P256" s="787">
        <v>0</v>
      </c>
      <c r="Q256" s="861">
        <v>0</v>
      </c>
      <c r="R256" s="778">
        <v>0</v>
      </c>
      <c r="S256" s="780">
        <f t="shared" si="34"/>
        <v>0</v>
      </c>
      <c r="T256" s="754"/>
      <c r="U256" s="789"/>
      <c r="V256" s="789"/>
      <c r="W256" s="789"/>
      <c r="X256" s="789"/>
      <c r="Y256" s="767"/>
      <c r="Z256" s="767"/>
    </row>
    <row r="257" spans="1:26">
      <c r="A257" s="750" t="s">
        <v>740</v>
      </c>
      <c r="B257" s="750" t="s">
        <v>758</v>
      </c>
      <c r="C257" s="775">
        <v>248</v>
      </c>
      <c r="D257" s="752" t="str">
        <f t="shared" si="38"/>
        <v>2340.047</v>
      </c>
      <c r="E257" s="832" t="s">
        <v>759</v>
      </c>
      <c r="F257" s="778">
        <v>0</v>
      </c>
      <c r="G257" s="860">
        <v>0</v>
      </c>
      <c r="H257" s="780">
        <v>0</v>
      </c>
      <c r="I257" s="780">
        <v>0</v>
      </c>
      <c r="J257" s="781">
        <v>0</v>
      </c>
      <c r="K257" s="782">
        <v>0</v>
      </c>
      <c r="L257" s="783">
        <v>0</v>
      </c>
      <c r="M257" s="784">
        <v>0</v>
      </c>
      <c r="N257" s="785">
        <v>0</v>
      </c>
      <c r="O257" s="786">
        <v>0</v>
      </c>
      <c r="P257" s="787">
        <v>0</v>
      </c>
      <c r="Q257" s="861">
        <v>0</v>
      </c>
      <c r="R257" s="778">
        <v>0</v>
      </c>
      <c r="S257" s="780">
        <f t="shared" si="34"/>
        <v>0</v>
      </c>
      <c r="T257" s="754"/>
      <c r="U257" s="789"/>
      <c r="V257" s="789"/>
      <c r="W257" s="789"/>
      <c r="X257" s="789"/>
      <c r="Y257" s="767"/>
      <c r="Z257" s="767"/>
    </row>
    <row r="258" spans="1:26">
      <c r="A258" s="774" t="s">
        <v>740</v>
      </c>
      <c r="B258" s="774" t="s">
        <v>760</v>
      </c>
      <c r="C258" s="775">
        <v>249</v>
      </c>
      <c r="D258" s="776" t="str">
        <f t="shared" si="38"/>
        <v>2340.048</v>
      </c>
      <c r="E258" s="832" t="s">
        <v>761</v>
      </c>
      <c r="F258" s="778">
        <v>-204518.47</v>
      </c>
      <c r="G258" s="860">
        <v>-202024.22</v>
      </c>
      <c r="H258" s="780">
        <v>-217632.66</v>
      </c>
      <c r="I258" s="780">
        <v>-170887.72</v>
      </c>
      <c r="J258" s="781">
        <v>-373661.5</v>
      </c>
      <c r="K258" s="782">
        <v>-197038.37</v>
      </c>
      <c r="L258" s="783">
        <v>-245944.09</v>
      </c>
      <c r="M258" s="784">
        <v>-440497.85</v>
      </c>
      <c r="N258" s="785">
        <v>-217565.91</v>
      </c>
      <c r="O258" s="786">
        <v>-203928.55</v>
      </c>
      <c r="P258" s="787">
        <v>-170616.66</v>
      </c>
      <c r="Q258" s="861">
        <v>-205381.4</v>
      </c>
      <c r="R258" s="778">
        <v>-232776.9</v>
      </c>
      <c r="S258" s="780">
        <f t="shared" si="34"/>
        <v>-238652.21791666668</v>
      </c>
      <c r="T258" s="754"/>
      <c r="U258" s="789"/>
      <c r="V258" s="789"/>
      <c r="W258" s="789"/>
      <c r="X258" s="789"/>
      <c r="Y258" s="767"/>
      <c r="Z258" s="767"/>
    </row>
    <row r="259" spans="1:26">
      <c r="A259" s="774"/>
      <c r="B259" s="774"/>
      <c r="C259" s="775">
        <v>250</v>
      </c>
      <c r="D259" s="776"/>
      <c r="E259" s="832" t="s">
        <v>762</v>
      </c>
      <c r="F259" s="802">
        <f>SUM(F248:F258)</f>
        <v>-1614644.31</v>
      </c>
      <c r="G259" s="802">
        <f t="shared" ref="G259:S259" si="39">SUM(G248:G258)</f>
        <v>-1743329.8900000001</v>
      </c>
      <c r="H259" s="802">
        <f t="shared" si="39"/>
        <v>-1595516.5999999999</v>
      </c>
      <c r="I259" s="802">
        <f t="shared" si="39"/>
        <v>-1222598.1499999999</v>
      </c>
      <c r="J259" s="802">
        <f t="shared" si="39"/>
        <v>-1097707.2000000002</v>
      </c>
      <c r="K259" s="802">
        <f t="shared" si="39"/>
        <v>-1476347.06</v>
      </c>
      <c r="L259" s="802">
        <f t="shared" si="39"/>
        <v>-1449317.81</v>
      </c>
      <c r="M259" s="802">
        <f t="shared" si="39"/>
        <v>-1437188.42</v>
      </c>
      <c r="N259" s="802">
        <f t="shared" si="39"/>
        <v>-1613796.27</v>
      </c>
      <c r="O259" s="802">
        <f t="shared" si="39"/>
        <v>-1637511.39</v>
      </c>
      <c r="P259" s="802">
        <f t="shared" si="39"/>
        <v>-1533910.44</v>
      </c>
      <c r="Q259" s="802">
        <f t="shared" si="39"/>
        <v>-1626324.72</v>
      </c>
      <c r="R259" s="802">
        <f t="shared" si="39"/>
        <v>-1606767.51</v>
      </c>
      <c r="S259" s="802">
        <f t="shared" si="39"/>
        <v>-1503687.8216666668</v>
      </c>
      <c r="T259" s="754"/>
      <c r="U259" s="789"/>
      <c r="V259" s="789"/>
      <c r="W259" s="790">
        <f>S259</f>
        <v>-1503687.8216666668</v>
      </c>
      <c r="X259" s="789"/>
      <c r="Y259" s="767"/>
      <c r="Z259" s="767"/>
    </row>
    <row r="260" spans="1:26">
      <c r="A260" s="774"/>
      <c r="B260" s="774"/>
      <c r="C260" s="775">
        <v>251</v>
      </c>
      <c r="D260" s="776"/>
      <c r="E260" s="832"/>
      <c r="F260" s="778"/>
      <c r="G260" s="860"/>
      <c r="H260" s="780"/>
      <c r="I260" s="780"/>
      <c r="J260" s="781"/>
      <c r="K260" s="782"/>
      <c r="L260" s="783"/>
      <c r="M260" s="784"/>
      <c r="N260" s="785"/>
      <c r="O260" s="786"/>
      <c r="P260" s="787"/>
      <c r="Q260" s="861"/>
      <c r="R260" s="778"/>
      <c r="S260" s="780">
        <f t="shared" si="34"/>
        <v>0</v>
      </c>
      <c r="T260" s="754"/>
      <c r="U260" s="789"/>
      <c r="V260" s="789"/>
      <c r="W260" s="789"/>
      <c r="X260" s="789"/>
      <c r="Y260" s="767"/>
      <c r="Z260" s="767"/>
    </row>
    <row r="261" spans="1:26">
      <c r="A261" s="875" t="s">
        <v>763</v>
      </c>
      <c r="B261" s="774" t="s">
        <v>410</v>
      </c>
      <c r="C261" s="775">
        <v>252</v>
      </c>
      <c r="D261" s="875" t="str">
        <f>+A261</f>
        <v>2412</v>
      </c>
      <c r="E261" s="832" t="s">
        <v>764</v>
      </c>
      <c r="F261" s="778">
        <v>0</v>
      </c>
      <c r="G261" s="860">
        <v>0</v>
      </c>
      <c r="H261" s="780">
        <v>0</v>
      </c>
      <c r="I261" s="780">
        <v>0</v>
      </c>
      <c r="J261" s="781">
        <v>0</v>
      </c>
      <c r="K261" s="782">
        <v>-699.14</v>
      </c>
      <c r="L261" s="783">
        <v>0</v>
      </c>
      <c r="M261" s="784">
        <v>0</v>
      </c>
      <c r="N261" s="785">
        <v>0</v>
      </c>
      <c r="O261" s="786">
        <v>-77.599999999999994</v>
      </c>
      <c r="P261" s="787">
        <v>0</v>
      </c>
      <c r="Q261" s="861">
        <v>-53.98</v>
      </c>
      <c r="R261" s="778">
        <v>-754.83</v>
      </c>
      <c r="S261" s="780">
        <f t="shared" si="34"/>
        <v>-100.67791666666666</v>
      </c>
      <c r="T261" s="754"/>
      <c r="U261" s="789"/>
      <c r="V261" s="789"/>
      <c r="W261" s="789"/>
      <c r="X261" s="789"/>
      <c r="Y261" s="767"/>
      <c r="Z261" s="767"/>
    </row>
    <row r="262" spans="1:26">
      <c r="A262" s="774" t="s">
        <v>765</v>
      </c>
      <c r="B262" s="774" t="s">
        <v>410</v>
      </c>
      <c r="C262" s="775">
        <v>253</v>
      </c>
      <c r="D262" s="774" t="str">
        <f>+A262</f>
        <v>2411</v>
      </c>
      <c r="E262" s="832" t="s">
        <v>766</v>
      </c>
      <c r="F262" s="778">
        <v>1.1823431123048099E-11</v>
      </c>
      <c r="G262" s="860">
        <v>0</v>
      </c>
      <c r="H262" s="780">
        <v>-695.44</v>
      </c>
      <c r="I262" s="780">
        <v>0</v>
      </c>
      <c r="J262" s="781">
        <v>0</v>
      </c>
      <c r="K262" s="782">
        <v>-2601</v>
      </c>
      <c r="L262" s="783">
        <v>0</v>
      </c>
      <c r="M262" s="784">
        <v>379.49</v>
      </c>
      <c r="N262" s="785">
        <v>0</v>
      </c>
      <c r="O262" s="786">
        <v>-217.41</v>
      </c>
      <c r="P262" s="787">
        <v>-137.08000000000001</v>
      </c>
      <c r="Q262" s="861">
        <v>-351.9</v>
      </c>
      <c r="R262" s="778">
        <v>-2787.11</v>
      </c>
      <c r="S262" s="780">
        <f t="shared" si="34"/>
        <v>-418.07458333333284</v>
      </c>
      <c r="T262" s="754"/>
      <c r="U262" s="789"/>
      <c r="V262" s="789"/>
      <c r="W262" s="789"/>
      <c r="X262" s="789"/>
      <c r="Y262" s="767"/>
      <c r="Z262" s="767"/>
    </row>
    <row r="263" spans="1:26">
      <c r="A263" s="875" t="s">
        <v>767</v>
      </c>
      <c r="B263" s="774" t="s">
        <v>410</v>
      </c>
      <c r="C263" s="775">
        <v>254</v>
      </c>
      <c r="D263" s="876" t="s">
        <v>768</v>
      </c>
      <c r="E263" s="832" t="s">
        <v>769</v>
      </c>
      <c r="F263" s="778">
        <v>0</v>
      </c>
      <c r="G263" s="860">
        <v>0</v>
      </c>
      <c r="H263" s="780">
        <v>0</v>
      </c>
      <c r="I263" s="780">
        <v>0</v>
      </c>
      <c r="J263" s="781">
        <v>0</v>
      </c>
      <c r="K263" s="782">
        <v>0</v>
      </c>
      <c r="L263" s="783">
        <v>0</v>
      </c>
      <c r="M263" s="784">
        <v>0</v>
      </c>
      <c r="N263" s="785">
        <v>0</v>
      </c>
      <c r="O263" s="786">
        <v>0</v>
      </c>
      <c r="P263" s="787">
        <v>0</v>
      </c>
      <c r="Q263" s="861">
        <v>0</v>
      </c>
      <c r="R263" s="778">
        <v>0</v>
      </c>
      <c r="S263" s="780">
        <f t="shared" si="34"/>
        <v>0</v>
      </c>
      <c r="T263" s="754"/>
      <c r="U263" s="789"/>
      <c r="V263" s="789"/>
      <c r="W263" s="789"/>
      <c r="X263" s="789"/>
      <c r="Y263" s="767"/>
      <c r="Z263" s="767"/>
    </row>
    <row r="264" spans="1:26">
      <c r="A264" s="774"/>
      <c r="B264" s="774"/>
      <c r="C264" s="775">
        <v>255</v>
      </c>
      <c r="D264" s="776"/>
      <c r="E264" s="832" t="s">
        <v>770</v>
      </c>
      <c r="F264" s="802">
        <f>SUM(F261:F263)</f>
        <v>1.1823431123048099E-11</v>
      </c>
      <c r="G264" s="802">
        <f t="shared" ref="G264:S264" si="40">SUM(G261:G263)</f>
        <v>0</v>
      </c>
      <c r="H264" s="802">
        <f t="shared" si="40"/>
        <v>-695.44</v>
      </c>
      <c r="I264" s="802">
        <f t="shared" si="40"/>
        <v>0</v>
      </c>
      <c r="J264" s="802">
        <f t="shared" si="40"/>
        <v>0</v>
      </c>
      <c r="K264" s="802">
        <f t="shared" si="40"/>
        <v>-3300.14</v>
      </c>
      <c r="L264" s="802">
        <f t="shared" si="40"/>
        <v>0</v>
      </c>
      <c r="M264" s="802">
        <f t="shared" si="40"/>
        <v>379.49</v>
      </c>
      <c r="N264" s="802">
        <f t="shared" si="40"/>
        <v>0</v>
      </c>
      <c r="O264" s="802">
        <f t="shared" si="40"/>
        <v>-295.01</v>
      </c>
      <c r="P264" s="802">
        <f t="shared" si="40"/>
        <v>-137.08000000000001</v>
      </c>
      <c r="Q264" s="802">
        <f t="shared" si="40"/>
        <v>-405.88</v>
      </c>
      <c r="R264" s="802">
        <f t="shared" si="40"/>
        <v>-3541.94</v>
      </c>
      <c r="S264" s="802">
        <f t="shared" si="40"/>
        <v>-518.75249999999949</v>
      </c>
      <c r="T264" s="754"/>
      <c r="U264" s="789"/>
      <c r="V264" s="789"/>
      <c r="W264" s="789"/>
      <c r="X264" s="790">
        <f>S264</f>
        <v>-518.75249999999949</v>
      </c>
      <c r="Y264" s="767"/>
      <c r="Z264" s="767"/>
    </row>
    <row r="265" spans="1:26">
      <c r="A265" s="774"/>
      <c r="B265" s="774"/>
      <c r="C265" s="775">
        <v>256</v>
      </c>
      <c r="D265" s="776"/>
      <c r="E265" s="832"/>
      <c r="F265" s="778"/>
      <c r="G265" s="860"/>
      <c r="H265" s="780"/>
      <c r="I265" s="780"/>
      <c r="J265" s="781"/>
      <c r="K265" s="782"/>
      <c r="L265" s="783"/>
      <c r="M265" s="784"/>
      <c r="N265" s="785"/>
      <c r="O265" s="786"/>
      <c r="P265" s="787"/>
      <c r="Q265" s="861"/>
      <c r="R265" s="778"/>
      <c r="S265" s="780">
        <f t="shared" si="34"/>
        <v>0</v>
      </c>
      <c r="T265" s="754"/>
      <c r="U265" s="789"/>
      <c r="V265" s="789"/>
      <c r="W265" s="789"/>
      <c r="X265" s="789"/>
      <c r="Y265" s="767"/>
      <c r="Z265" s="767"/>
    </row>
    <row r="266" spans="1:26">
      <c r="A266" s="774"/>
      <c r="B266" s="774"/>
      <c r="C266" s="775">
        <v>257</v>
      </c>
      <c r="D266" s="776"/>
      <c r="E266" s="832" t="s">
        <v>771</v>
      </c>
      <c r="F266" s="802">
        <f>SUM(F236:F246)+F259+F264</f>
        <v>-22633842.149999999</v>
      </c>
      <c r="G266" s="802">
        <f t="shared" ref="G266:S266" si="41">SUM(G236:G246)+G259+G264</f>
        <v>-22151150.93</v>
      </c>
      <c r="H266" s="802">
        <f t="shared" si="41"/>
        <v>-16087153.319999998</v>
      </c>
      <c r="I266" s="802">
        <f t="shared" si="41"/>
        <v>-14740573.209999999</v>
      </c>
      <c r="J266" s="802">
        <f t="shared" si="41"/>
        <v>-12570599.280000001</v>
      </c>
      <c r="K266" s="802">
        <f t="shared" si="41"/>
        <v>-11859772.060000002</v>
      </c>
      <c r="L266" s="802">
        <f t="shared" si="41"/>
        <v>-10102244.73</v>
      </c>
      <c r="M266" s="802">
        <f t="shared" si="41"/>
        <v>-10622401.389999999</v>
      </c>
      <c r="N266" s="802">
        <f t="shared" si="41"/>
        <v>-12616861.839999998</v>
      </c>
      <c r="O266" s="802">
        <f t="shared" si="41"/>
        <v>-13512792.73</v>
      </c>
      <c r="P266" s="802">
        <f t="shared" si="41"/>
        <v>-13271836.649999999</v>
      </c>
      <c r="Q266" s="802">
        <f t="shared" si="41"/>
        <v>-18377533.939999998</v>
      </c>
      <c r="R266" s="802">
        <f t="shared" si="41"/>
        <v>-30373320.170000006</v>
      </c>
      <c r="S266" s="802">
        <f t="shared" si="41"/>
        <v>-15201375.103333334</v>
      </c>
      <c r="T266" s="754"/>
      <c r="U266" s="789"/>
      <c r="V266" s="789"/>
      <c r="W266" s="789"/>
      <c r="X266" s="789"/>
      <c r="Y266" s="767"/>
      <c r="Z266" s="767"/>
    </row>
    <row r="267" spans="1:26">
      <c r="A267" s="774"/>
      <c r="B267" s="774"/>
      <c r="C267" s="775">
        <v>258</v>
      </c>
      <c r="D267" s="776"/>
      <c r="E267" s="832"/>
      <c r="F267" s="778"/>
      <c r="G267" s="860"/>
      <c r="H267" s="780"/>
      <c r="I267" s="780"/>
      <c r="J267" s="781"/>
      <c r="K267" s="782"/>
      <c r="L267" s="783"/>
      <c r="M267" s="784"/>
      <c r="N267" s="785"/>
      <c r="O267" s="786"/>
      <c r="P267" s="787"/>
      <c r="Q267" s="861"/>
      <c r="R267" s="778"/>
      <c r="S267" s="780">
        <f t="shared" si="34"/>
        <v>0</v>
      </c>
      <c r="T267" s="754"/>
      <c r="U267" s="789"/>
      <c r="V267" s="789"/>
      <c r="W267" s="789"/>
      <c r="X267" s="789"/>
      <c r="Y267" s="767"/>
      <c r="Z267" s="767"/>
    </row>
    <row r="268" spans="1:26">
      <c r="A268" s="875" t="s">
        <v>772</v>
      </c>
      <c r="B268" s="774" t="s">
        <v>410</v>
      </c>
      <c r="C268" s="775">
        <v>259</v>
      </c>
      <c r="D268" s="774" t="str">
        <f>+A268</f>
        <v>2360</v>
      </c>
      <c r="E268" s="832" t="s">
        <v>773</v>
      </c>
      <c r="F268" s="778">
        <v>0</v>
      </c>
      <c r="G268" s="860">
        <v>0</v>
      </c>
      <c r="H268" s="780">
        <v>0</v>
      </c>
      <c r="I268" s="780">
        <v>0</v>
      </c>
      <c r="J268" s="781">
        <v>0</v>
      </c>
      <c r="K268" s="782">
        <v>0</v>
      </c>
      <c r="L268" s="783">
        <v>0</v>
      </c>
      <c r="M268" s="784">
        <v>0</v>
      </c>
      <c r="N268" s="785">
        <v>0</v>
      </c>
      <c r="O268" s="786">
        <v>0</v>
      </c>
      <c r="P268" s="787">
        <v>0</v>
      </c>
      <c r="Q268" s="861">
        <v>0</v>
      </c>
      <c r="R268" s="778">
        <v>0</v>
      </c>
      <c r="S268" s="780">
        <f t="shared" ref="S268:S331" si="42">((F268+R268)+((G268+H268+I268+J268+K268+L268+M268+N268+O268+P268+Q268)*2))/24</f>
        <v>0</v>
      </c>
      <c r="T268" s="754"/>
      <c r="U268" s="789"/>
      <c r="V268" s="789"/>
      <c r="W268" s="789"/>
      <c r="X268" s="789"/>
      <c r="Y268" s="767"/>
      <c r="Z268" s="767"/>
    </row>
    <row r="269" spans="1:26">
      <c r="A269" s="774" t="s">
        <v>774</v>
      </c>
      <c r="B269" s="774" t="s">
        <v>775</v>
      </c>
      <c r="C269" s="775">
        <v>260</v>
      </c>
      <c r="D269" s="776" t="str">
        <f>A269&amp;"."&amp;B269</f>
        <v>2361.[*,/42]</v>
      </c>
      <c r="E269" s="832" t="s">
        <v>773</v>
      </c>
      <c r="F269" s="778">
        <v>-3146070.65</v>
      </c>
      <c r="G269" s="860">
        <v>-5705128.3399999999</v>
      </c>
      <c r="H269" s="780">
        <v>-7218842.3799999999</v>
      </c>
      <c r="I269" s="780">
        <v>-8753908.4600000009</v>
      </c>
      <c r="J269" s="781">
        <v>-7336181.04</v>
      </c>
      <c r="K269" s="782">
        <v>-6717155.0099999998</v>
      </c>
      <c r="L269" s="783">
        <v>-4016331.79</v>
      </c>
      <c r="M269" s="784">
        <v>-3363136.22</v>
      </c>
      <c r="N269" s="785">
        <v>-2384259.7599999998</v>
      </c>
      <c r="O269" s="786">
        <v>-9.3132257461547893E-10</v>
      </c>
      <c r="P269" s="787">
        <v>-9.3132257461547893E-10</v>
      </c>
      <c r="Q269" s="861">
        <v>-9.3132257461547893E-10</v>
      </c>
      <c r="R269" s="778">
        <v>-1288737.78</v>
      </c>
      <c r="S269" s="780">
        <f t="shared" si="42"/>
        <v>-3976028.9345833324</v>
      </c>
      <c r="T269" s="754"/>
      <c r="U269" s="789"/>
      <c r="V269" s="789"/>
      <c r="W269" s="789"/>
      <c r="X269" s="790">
        <f>S269</f>
        <v>-3976028.9345833324</v>
      </c>
      <c r="Y269" s="767"/>
      <c r="Z269" s="767"/>
    </row>
    <row r="270" spans="1:26">
      <c r="A270" s="875" t="s">
        <v>774</v>
      </c>
      <c r="B270" s="774" t="s">
        <v>776</v>
      </c>
      <c r="C270" s="775">
        <v>261</v>
      </c>
      <c r="D270" s="776" t="str">
        <f>A270&amp;"."&amp;B270</f>
        <v>2361.[42*]</v>
      </c>
      <c r="E270" s="774" t="s">
        <v>777</v>
      </c>
      <c r="F270" s="778">
        <v>0</v>
      </c>
      <c r="G270" s="860">
        <v>0</v>
      </c>
      <c r="H270" s="780">
        <v>0</v>
      </c>
      <c r="I270" s="780">
        <v>0</v>
      </c>
      <c r="J270" s="781">
        <v>0</v>
      </c>
      <c r="K270" s="782">
        <v>0</v>
      </c>
      <c r="L270" s="783">
        <v>0</v>
      </c>
      <c r="M270" s="784">
        <v>0</v>
      </c>
      <c r="N270" s="785">
        <v>0</v>
      </c>
      <c r="O270" s="786">
        <v>0</v>
      </c>
      <c r="P270" s="787">
        <v>0</v>
      </c>
      <c r="Q270" s="861">
        <v>0</v>
      </c>
      <c r="R270" s="778">
        <v>0</v>
      </c>
      <c r="S270" s="780">
        <f t="shared" si="42"/>
        <v>0</v>
      </c>
      <c r="T270" s="754"/>
      <c r="U270" s="789"/>
      <c r="V270" s="789"/>
      <c r="W270" s="789"/>
      <c r="X270" s="789"/>
      <c r="Y270" s="767"/>
      <c r="Z270" s="767"/>
    </row>
    <row r="271" spans="1:26">
      <c r="A271" s="774" t="s">
        <v>778</v>
      </c>
      <c r="B271" s="774" t="s">
        <v>410</v>
      </c>
      <c r="C271" s="775">
        <v>262</v>
      </c>
      <c r="D271" s="886" t="str">
        <f t="shared" ref="D271:D279" si="43">+A271</f>
        <v>2362</v>
      </c>
      <c r="E271" s="832" t="s">
        <v>779</v>
      </c>
      <c r="F271" s="778">
        <v>-122306.54</v>
      </c>
      <c r="G271" s="860">
        <v>-180888.21</v>
      </c>
      <c r="H271" s="780">
        <v>-240693.32</v>
      </c>
      <c r="I271" s="780">
        <v>-246824.67</v>
      </c>
      <c r="J271" s="781">
        <v>-235163.68</v>
      </c>
      <c r="K271" s="782">
        <v>-253498.68</v>
      </c>
      <c r="L271" s="783">
        <v>-277379.96000000002</v>
      </c>
      <c r="M271" s="784">
        <v>-92035.25</v>
      </c>
      <c r="N271" s="785">
        <v>-54725.34</v>
      </c>
      <c r="O271" s="786">
        <v>-72074.740000000005</v>
      </c>
      <c r="P271" s="787">
        <v>-76481.72</v>
      </c>
      <c r="Q271" s="861">
        <v>-84109.16</v>
      </c>
      <c r="R271" s="778">
        <v>-118694.05</v>
      </c>
      <c r="S271" s="780">
        <f t="shared" si="42"/>
        <v>-161197.91874999998</v>
      </c>
      <c r="T271" s="754"/>
      <c r="U271" s="789"/>
      <c r="V271" s="789"/>
      <c r="W271" s="789"/>
      <c r="X271" s="790">
        <f>S271</f>
        <v>-161197.91874999998</v>
      </c>
      <c r="Y271" s="767"/>
      <c r="Z271" s="767"/>
    </row>
    <row r="272" spans="1:26">
      <c r="A272" s="774" t="s">
        <v>780</v>
      </c>
      <c r="B272" s="774" t="s">
        <v>410</v>
      </c>
      <c r="C272" s="775">
        <v>263</v>
      </c>
      <c r="D272" s="886" t="str">
        <f t="shared" si="43"/>
        <v>2363</v>
      </c>
      <c r="E272" s="832" t="s">
        <v>781</v>
      </c>
      <c r="F272" s="778">
        <v>-18648.22</v>
      </c>
      <c r="G272" s="860">
        <v>-25906.68</v>
      </c>
      <c r="H272" s="780">
        <v>-24929.919999999998</v>
      </c>
      <c r="I272" s="780">
        <v>-36510.44</v>
      </c>
      <c r="J272" s="781">
        <v>-25525.56</v>
      </c>
      <c r="K272" s="782">
        <v>-11675.53</v>
      </c>
      <c r="L272" s="783">
        <v>-27399.52</v>
      </c>
      <c r="M272" s="784">
        <v>-14856.45</v>
      </c>
      <c r="N272" s="785">
        <v>-66036.5</v>
      </c>
      <c r="O272" s="786">
        <v>-23630.07</v>
      </c>
      <c r="P272" s="787">
        <v>-16631.990000000002</v>
      </c>
      <c r="Q272" s="861">
        <v>-18980.849999999999</v>
      </c>
      <c r="R272" s="778">
        <v>-20818.02</v>
      </c>
      <c r="S272" s="780">
        <f t="shared" si="42"/>
        <v>-25984.719166666666</v>
      </c>
      <c r="T272" s="754"/>
      <c r="U272" s="789"/>
      <c r="V272" s="789"/>
      <c r="W272" s="789"/>
      <c r="X272" s="790">
        <f>S272</f>
        <v>-25984.719166666666</v>
      </c>
      <c r="Y272" s="767"/>
      <c r="Z272" s="767"/>
    </row>
    <row r="273" spans="1:26">
      <c r="A273" s="774" t="s">
        <v>782</v>
      </c>
      <c r="B273" s="774" t="s">
        <v>410</v>
      </c>
      <c r="C273" s="775">
        <v>264</v>
      </c>
      <c r="D273" s="886" t="str">
        <f t="shared" si="43"/>
        <v>2364</v>
      </c>
      <c r="E273" s="832" t="s">
        <v>783</v>
      </c>
      <c r="F273" s="778">
        <v>-7203684.0999999996</v>
      </c>
      <c r="G273" s="860">
        <v>-7861630.9900000002</v>
      </c>
      <c r="H273" s="780">
        <v>-7668156.0499999998</v>
      </c>
      <c r="I273" s="780">
        <v>-7460719.6799999997</v>
      </c>
      <c r="J273" s="781">
        <v>-4502549.17</v>
      </c>
      <c r="K273" s="782">
        <v>-4299002.71</v>
      </c>
      <c r="L273" s="783">
        <v>-4545677.1399999997</v>
      </c>
      <c r="M273" s="784">
        <v>-4296397.0999999996</v>
      </c>
      <c r="N273" s="785">
        <v>-3299189.06</v>
      </c>
      <c r="O273" s="786">
        <v>-3817457.33</v>
      </c>
      <c r="P273" s="787">
        <v>-4325709.76</v>
      </c>
      <c r="Q273" s="861">
        <v>-4854347.59</v>
      </c>
      <c r="R273" s="778">
        <v>-6990642.5199999996</v>
      </c>
      <c r="S273" s="780">
        <f t="shared" si="42"/>
        <v>-5335666.6574999997</v>
      </c>
      <c r="T273" s="754"/>
      <c r="U273" s="789"/>
      <c r="V273" s="789"/>
      <c r="W273" s="789"/>
      <c r="X273" s="790">
        <f>S273</f>
        <v>-5335666.6574999997</v>
      </c>
      <c r="Y273" s="767"/>
      <c r="Z273" s="767"/>
    </row>
    <row r="274" spans="1:26">
      <c r="A274" s="774" t="s">
        <v>784</v>
      </c>
      <c r="B274" s="774" t="s">
        <v>410</v>
      </c>
      <c r="C274" s="775">
        <v>265</v>
      </c>
      <c r="D274" s="774" t="str">
        <f t="shared" si="43"/>
        <v>2380</v>
      </c>
      <c r="E274" s="832" t="s">
        <v>785</v>
      </c>
      <c r="F274" s="778">
        <v>-4160000</v>
      </c>
      <c r="G274" s="860">
        <v>0</v>
      </c>
      <c r="H274" s="780">
        <v>-4160000</v>
      </c>
      <c r="I274" s="780">
        <v>-4160000</v>
      </c>
      <c r="J274" s="781">
        <v>0</v>
      </c>
      <c r="K274" s="782">
        <v>-4160000</v>
      </c>
      <c r="L274" s="783">
        <v>-4160000</v>
      </c>
      <c r="M274" s="784">
        <v>0</v>
      </c>
      <c r="N274" s="785">
        <v>-4160000</v>
      </c>
      <c r="O274" s="786">
        <v>-4160000</v>
      </c>
      <c r="P274" s="787">
        <v>0</v>
      </c>
      <c r="Q274" s="861">
        <v>-4160000</v>
      </c>
      <c r="R274" s="778">
        <v>-4160000</v>
      </c>
      <c r="S274" s="780">
        <f t="shared" si="42"/>
        <v>-2773333.3333333335</v>
      </c>
      <c r="T274" s="754"/>
      <c r="U274" s="790"/>
      <c r="V274" s="789"/>
      <c r="W274" s="789"/>
      <c r="X274" s="790">
        <f>+S274</f>
        <v>-2773333.3333333335</v>
      </c>
      <c r="Y274" s="767"/>
      <c r="Z274" s="767"/>
    </row>
    <row r="275" spans="1:26">
      <c r="A275" s="774" t="s">
        <v>786</v>
      </c>
      <c r="B275" s="774" t="s">
        <v>410</v>
      </c>
      <c r="C275" s="775">
        <v>266</v>
      </c>
      <c r="D275" s="774" t="str">
        <f t="shared" si="43"/>
        <v>2351</v>
      </c>
      <c r="E275" s="832" t="s">
        <v>787</v>
      </c>
      <c r="F275" s="778">
        <v>-1061068.4099999999</v>
      </c>
      <c r="G275" s="860">
        <v>-1036223.43</v>
      </c>
      <c r="H275" s="780">
        <v>-1033621.39</v>
      </c>
      <c r="I275" s="780">
        <v>-998194.75</v>
      </c>
      <c r="J275" s="781">
        <v>-975157.17</v>
      </c>
      <c r="K275" s="782">
        <v>-947442.57</v>
      </c>
      <c r="L275" s="783">
        <v>-899116.73</v>
      </c>
      <c r="M275" s="784">
        <v>-884343.3</v>
      </c>
      <c r="N275" s="785">
        <v>-871879.41</v>
      </c>
      <c r="O275" s="786">
        <v>-834316.95</v>
      </c>
      <c r="P275" s="787">
        <v>-846708.09</v>
      </c>
      <c r="Q275" s="861">
        <v>-863050.89</v>
      </c>
      <c r="R275" s="778">
        <v>-874939.13</v>
      </c>
      <c r="S275" s="780">
        <f t="shared" si="42"/>
        <v>-929838.20416666672</v>
      </c>
      <c r="T275" s="754"/>
      <c r="U275" s="789"/>
      <c r="V275" s="789"/>
      <c r="W275" s="790">
        <f>S275</f>
        <v>-929838.20416666672</v>
      </c>
      <c r="X275" s="789"/>
      <c r="Y275" s="767"/>
      <c r="Z275" s="767"/>
    </row>
    <row r="276" spans="1:26">
      <c r="A276" s="774" t="s">
        <v>788</v>
      </c>
      <c r="B276" s="774" t="s">
        <v>410</v>
      </c>
      <c r="C276" s="775">
        <v>267</v>
      </c>
      <c r="D276" s="774" t="str">
        <f t="shared" si="43"/>
        <v>2370</v>
      </c>
      <c r="E276" s="832" t="s">
        <v>789</v>
      </c>
      <c r="F276" s="778">
        <v>0</v>
      </c>
      <c r="G276" s="860">
        <v>0</v>
      </c>
      <c r="H276" s="780">
        <v>0</v>
      </c>
      <c r="I276" s="780">
        <v>0</v>
      </c>
      <c r="J276" s="781">
        <v>0</v>
      </c>
      <c r="K276" s="782">
        <v>0</v>
      </c>
      <c r="L276" s="783">
        <v>0</v>
      </c>
      <c r="M276" s="784">
        <v>0</v>
      </c>
      <c r="N276" s="785">
        <v>0</v>
      </c>
      <c r="O276" s="786">
        <v>0</v>
      </c>
      <c r="P276" s="787">
        <v>0</v>
      </c>
      <c r="Q276" s="861">
        <v>0</v>
      </c>
      <c r="R276" s="778">
        <v>0</v>
      </c>
      <c r="S276" s="780">
        <f t="shared" si="42"/>
        <v>0</v>
      </c>
      <c r="T276" s="754"/>
      <c r="U276" s="789"/>
      <c r="V276" s="789"/>
      <c r="W276" s="789"/>
      <c r="X276" s="789"/>
      <c r="Y276" s="767"/>
      <c r="Z276" s="767"/>
    </row>
    <row r="277" spans="1:26">
      <c r="A277" s="774" t="s">
        <v>790</v>
      </c>
      <c r="B277" s="774" t="s">
        <v>410</v>
      </c>
      <c r="C277" s="775">
        <v>268</v>
      </c>
      <c r="D277" s="774" t="str">
        <f t="shared" si="43"/>
        <v>2371</v>
      </c>
      <c r="E277" s="832" t="s">
        <v>791</v>
      </c>
      <c r="F277" s="778">
        <v>0</v>
      </c>
      <c r="G277" s="860">
        <v>0</v>
      </c>
      <c r="H277" s="780">
        <v>0</v>
      </c>
      <c r="I277" s="780">
        <v>0</v>
      </c>
      <c r="J277" s="781">
        <v>0</v>
      </c>
      <c r="K277" s="782">
        <v>0</v>
      </c>
      <c r="L277" s="783">
        <v>0</v>
      </c>
      <c r="M277" s="784">
        <v>0</v>
      </c>
      <c r="N277" s="785">
        <v>0</v>
      </c>
      <c r="O277" s="786">
        <v>0</v>
      </c>
      <c r="P277" s="787">
        <v>0</v>
      </c>
      <c r="Q277" s="861">
        <v>0</v>
      </c>
      <c r="R277" s="778">
        <v>0</v>
      </c>
      <c r="S277" s="780">
        <f t="shared" si="42"/>
        <v>0</v>
      </c>
      <c r="T277" s="754"/>
      <c r="U277" s="789"/>
      <c r="V277" s="789"/>
      <c r="W277" s="789"/>
      <c r="X277" s="789"/>
      <c r="Y277" s="767"/>
      <c r="Z277" s="767"/>
    </row>
    <row r="278" spans="1:26">
      <c r="A278" s="774" t="s">
        <v>792</v>
      </c>
      <c r="B278" s="774" t="s">
        <v>410</v>
      </c>
      <c r="C278" s="775">
        <v>269</v>
      </c>
      <c r="D278" s="774" t="str">
        <f t="shared" si="43"/>
        <v>2372</v>
      </c>
      <c r="E278" s="832" t="s">
        <v>793</v>
      </c>
      <c r="F278" s="778">
        <v>-3114287.11</v>
      </c>
      <c r="G278" s="860">
        <v>-3522755.65</v>
      </c>
      <c r="H278" s="780">
        <v>-3070149.83</v>
      </c>
      <c r="I278" s="780">
        <v>-2450274.6</v>
      </c>
      <c r="J278" s="781">
        <v>-2098799.39</v>
      </c>
      <c r="K278" s="782">
        <v>-2184756.06</v>
      </c>
      <c r="L278" s="783">
        <v>-3113412.11</v>
      </c>
      <c r="M278" s="784">
        <v>-3521443.15</v>
      </c>
      <c r="N278" s="785">
        <v>-3069852.31</v>
      </c>
      <c r="O278" s="786">
        <v>-2449679.61</v>
      </c>
      <c r="P278" s="787">
        <v>-2097906.89</v>
      </c>
      <c r="Q278" s="861">
        <v>-2184677.31</v>
      </c>
      <c r="R278" s="778">
        <v>-3113254.61</v>
      </c>
      <c r="S278" s="780">
        <f t="shared" si="42"/>
        <v>-2739789.8141666665</v>
      </c>
      <c r="T278" s="754"/>
      <c r="U278" s="789"/>
      <c r="V278" s="789"/>
      <c r="W278" s="789"/>
      <c r="X278" s="790">
        <f t="shared" ref="X278:X284" si="44">S278</f>
        <v>-2739789.8141666665</v>
      </c>
      <c r="Y278" s="767"/>
      <c r="Z278" s="767"/>
    </row>
    <row r="279" spans="1:26">
      <c r="A279" s="774" t="s">
        <v>794</v>
      </c>
      <c r="B279" s="774" t="s">
        <v>410</v>
      </c>
      <c r="C279" s="775">
        <v>270</v>
      </c>
      <c r="D279" s="774" t="str">
        <f t="shared" si="43"/>
        <v>2422</v>
      </c>
      <c r="E279" s="832" t="s">
        <v>795</v>
      </c>
      <c r="F279" s="778">
        <v>-1093655.54</v>
      </c>
      <c r="G279" s="860">
        <v>-1299704.98</v>
      </c>
      <c r="H279" s="780">
        <v>-1498001.43</v>
      </c>
      <c r="I279" s="780">
        <v>-901051.54</v>
      </c>
      <c r="J279" s="781">
        <v>-1108004.83</v>
      </c>
      <c r="K279" s="782">
        <v>-1391174.36</v>
      </c>
      <c r="L279" s="783">
        <v>-1751963.37</v>
      </c>
      <c r="M279" s="784">
        <v>-1779240.85</v>
      </c>
      <c r="N279" s="785">
        <v>-1312978.69</v>
      </c>
      <c r="O279" s="786">
        <v>-1570905.58</v>
      </c>
      <c r="P279" s="787">
        <v>-1805079.83</v>
      </c>
      <c r="Q279" s="861">
        <v>-2157913.0099999998</v>
      </c>
      <c r="R279" s="778">
        <v>-2518715.25</v>
      </c>
      <c r="S279" s="780">
        <f t="shared" si="42"/>
        <v>-1531850.3220833335</v>
      </c>
      <c r="T279" s="754"/>
      <c r="U279" s="789"/>
      <c r="V279" s="789"/>
      <c r="W279" s="789"/>
      <c r="X279" s="790">
        <f t="shared" si="44"/>
        <v>-1531850.3220833335</v>
      </c>
      <c r="Y279" s="767"/>
      <c r="Z279" s="767"/>
    </row>
    <row r="280" spans="1:26">
      <c r="A280" s="774" t="s">
        <v>796</v>
      </c>
      <c r="B280" s="774" t="s">
        <v>730</v>
      </c>
      <c r="C280" s="775">
        <v>271</v>
      </c>
      <c r="D280" s="776" t="str">
        <f>A280&amp;"."&amp;B280</f>
        <v>2420.[2*,/217]</v>
      </c>
      <c r="E280" s="832" t="s">
        <v>797</v>
      </c>
      <c r="F280" s="778">
        <v>-10188969.5</v>
      </c>
      <c r="G280" s="860">
        <v>-6937069.1699999999</v>
      </c>
      <c r="H280" s="780">
        <v>-6250877.6799999997</v>
      </c>
      <c r="I280" s="780">
        <v>-5763303.1699999999</v>
      </c>
      <c r="J280" s="781">
        <v>-5782032.4199999999</v>
      </c>
      <c r="K280" s="782">
        <v>-6585683.3399999999</v>
      </c>
      <c r="L280" s="783">
        <v>-8962969.2899999991</v>
      </c>
      <c r="M280" s="784">
        <v>-10237086.550000001</v>
      </c>
      <c r="N280" s="785">
        <v>-9826250.1699999999</v>
      </c>
      <c r="O280" s="786">
        <v>-11151490.91</v>
      </c>
      <c r="P280" s="787">
        <v>-14648505.33</v>
      </c>
      <c r="Q280" s="861">
        <v>-11549414.300000001</v>
      </c>
      <c r="R280" s="778">
        <v>-8845744.0899999999</v>
      </c>
      <c r="S280" s="780">
        <f t="shared" si="42"/>
        <v>-8934336.5937499981</v>
      </c>
      <c r="T280" s="754"/>
      <c r="U280" s="789"/>
      <c r="V280" s="789"/>
      <c r="W280" s="789"/>
      <c r="X280" s="790">
        <f t="shared" si="44"/>
        <v>-8934336.5937499981</v>
      </c>
      <c r="Y280" s="767"/>
      <c r="Z280" s="767"/>
    </row>
    <row r="281" spans="1:26">
      <c r="A281" s="774" t="s">
        <v>796</v>
      </c>
      <c r="B281" s="774" t="s">
        <v>732</v>
      </c>
      <c r="C281" s="775">
        <v>272</v>
      </c>
      <c r="D281" s="776" t="str">
        <f>A281&amp;"."&amp;B281</f>
        <v>2420.[217*]</v>
      </c>
      <c r="E281" s="832" t="s">
        <v>505</v>
      </c>
      <c r="F281" s="778">
        <v>-601131.21</v>
      </c>
      <c r="G281" s="860">
        <v>-108778.56</v>
      </c>
      <c r="H281" s="780">
        <v>-132781.67000000001</v>
      </c>
      <c r="I281" s="780">
        <v>8.7311491370201098E-11</v>
      </c>
      <c r="J281" s="781">
        <v>-118681.95</v>
      </c>
      <c r="K281" s="782">
        <v>-38588.779999999897</v>
      </c>
      <c r="L281" s="783">
        <v>-730937.53</v>
      </c>
      <c r="M281" s="784">
        <v>-475031.73</v>
      </c>
      <c r="N281" s="785">
        <v>-505192.28</v>
      </c>
      <c r="O281" s="786">
        <v>-89030.549999999901</v>
      </c>
      <c r="P281" s="787">
        <v>-520709.52</v>
      </c>
      <c r="Q281" s="861">
        <v>-95607.389999999898</v>
      </c>
      <c r="R281" s="778">
        <v>-1551284.94</v>
      </c>
      <c r="S281" s="780">
        <f t="shared" si="42"/>
        <v>-324295.66958333337</v>
      </c>
      <c r="T281" s="754"/>
      <c r="U281" s="789"/>
      <c r="V281" s="789"/>
      <c r="W281" s="789"/>
      <c r="X281" s="790">
        <f t="shared" si="44"/>
        <v>-324295.66958333337</v>
      </c>
      <c r="Y281" s="767"/>
      <c r="Z281" s="767"/>
    </row>
    <row r="282" spans="1:26">
      <c r="A282" s="774" t="s">
        <v>798</v>
      </c>
      <c r="B282" s="774" t="s">
        <v>410</v>
      </c>
      <c r="C282" s="775">
        <v>273</v>
      </c>
      <c r="D282" s="774" t="str">
        <f>+A282</f>
        <v>2423</v>
      </c>
      <c r="E282" s="832" t="s">
        <v>799</v>
      </c>
      <c r="F282" s="778">
        <v>-1830287.74</v>
      </c>
      <c r="G282" s="860">
        <v>-1830287.74</v>
      </c>
      <c r="H282" s="780">
        <v>-1830287.74</v>
      </c>
      <c r="I282" s="780">
        <v>-1832155.73</v>
      </c>
      <c r="J282" s="781">
        <v>-1832155.73</v>
      </c>
      <c r="K282" s="782">
        <v>-1832155.73</v>
      </c>
      <c r="L282" s="783">
        <v>-1835522.18</v>
      </c>
      <c r="M282" s="784">
        <v>-1835522.18</v>
      </c>
      <c r="N282" s="785">
        <v>-1835522.18</v>
      </c>
      <c r="O282" s="786">
        <v>-1921571.95</v>
      </c>
      <c r="P282" s="787">
        <v>-1921571.95</v>
      </c>
      <c r="Q282" s="861">
        <v>-1921571.95</v>
      </c>
      <c r="R282" s="778">
        <v>-1970912.73</v>
      </c>
      <c r="S282" s="780">
        <f t="shared" si="42"/>
        <v>-1860743.7745833332</v>
      </c>
      <c r="T282" s="754"/>
      <c r="U282" s="789"/>
      <c r="V282" s="789"/>
      <c r="W282" s="789"/>
      <c r="X282" s="790">
        <f t="shared" si="44"/>
        <v>-1860743.7745833332</v>
      </c>
      <c r="Y282" s="767"/>
      <c r="Z282" s="767"/>
    </row>
    <row r="283" spans="1:26">
      <c r="A283" s="875" t="s">
        <v>800</v>
      </c>
      <c r="B283" s="774" t="s">
        <v>801</v>
      </c>
      <c r="C283" s="775">
        <v>274</v>
      </c>
      <c r="D283" s="776" t="str">
        <f>A283&amp;"."&amp;B283</f>
        <v>2429.[4*,00*,01*,02*,03*]</v>
      </c>
      <c r="E283" s="832" t="s">
        <v>802</v>
      </c>
      <c r="F283" s="778">
        <v>-1180759.56</v>
      </c>
      <c r="G283" s="860">
        <v>-986886.47</v>
      </c>
      <c r="H283" s="780">
        <v>-978653.47</v>
      </c>
      <c r="I283" s="780">
        <v>-878433.12</v>
      </c>
      <c r="J283" s="781">
        <v>-722250.99</v>
      </c>
      <c r="K283" s="782">
        <v>-619284.56999999995</v>
      </c>
      <c r="L283" s="783">
        <v>-506661.02</v>
      </c>
      <c r="M283" s="784">
        <v>-509078.11</v>
      </c>
      <c r="N283" s="785">
        <v>-564258.21</v>
      </c>
      <c r="O283" s="786">
        <v>-562936.53</v>
      </c>
      <c r="P283" s="787">
        <v>-678941.44</v>
      </c>
      <c r="Q283" s="861">
        <v>-787284.31</v>
      </c>
      <c r="R283" s="778">
        <v>-1160406.48</v>
      </c>
      <c r="S283" s="780">
        <f t="shared" si="42"/>
        <v>-747104.27166666661</v>
      </c>
      <c r="T283" s="754"/>
      <c r="U283" s="789"/>
      <c r="V283" s="789"/>
      <c r="W283" s="789"/>
      <c r="X283" s="790">
        <f t="shared" si="44"/>
        <v>-747104.27166666661</v>
      </c>
      <c r="Y283" s="767"/>
      <c r="Z283" s="767"/>
    </row>
    <row r="284" spans="1:26">
      <c r="A284" s="875" t="s">
        <v>800</v>
      </c>
      <c r="B284" s="774" t="s">
        <v>736</v>
      </c>
      <c r="C284" s="775">
        <v>275</v>
      </c>
      <c r="D284" s="776" t="str">
        <f>A284&amp;"."&amp;B284</f>
        <v>2429.3*</v>
      </c>
      <c r="E284" s="832" t="s">
        <v>803</v>
      </c>
      <c r="F284" s="778">
        <v>-1104283.72</v>
      </c>
      <c r="G284" s="860">
        <v>-1246645.97</v>
      </c>
      <c r="H284" s="780">
        <v>-354050.45</v>
      </c>
      <c r="I284" s="780">
        <v>-525583.57999999996</v>
      </c>
      <c r="J284" s="781">
        <v>-686452.22</v>
      </c>
      <c r="K284" s="782">
        <v>-825247.08</v>
      </c>
      <c r="L284" s="783">
        <v>-988608.68</v>
      </c>
      <c r="M284" s="784">
        <v>-1129967.48</v>
      </c>
      <c r="N284" s="785">
        <v>-485123.15</v>
      </c>
      <c r="O284" s="786">
        <v>-652733.34</v>
      </c>
      <c r="P284" s="787">
        <v>-790626.09</v>
      </c>
      <c r="Q284" s="861">
        <v>-1012338.01</v>
      </c>
      <c r="R284" s="778">
        <v>-1195571.69</v>
      </c>
      <c r="S284" s="780">
        <f t="shared" si="42"/>
        <v>-820608.64624999987</v>
      </c>
      <c r="T284" s="754"/>
      <c r="U284" s="789"/>
      <c r="V284" s="789"/>
      <c r="W284" s="789"/>
      <c r="X284" s="790">
        <f t="shared" si="44"/>
        <v>-820608.64624999987</v>
      </c>
      <c r="Y284" s="767"/>
      <c r="Z284" s="767"/>
    </row>
    <row r="285" spans="1:26">
      <c r="A285" s="875" t="s">
        <v>800</v>
      </c>
      <c r="B285" s="774" t="s">
        <v>112</v>
      </c>
      <c r="C285" s="775">
        <v>276</v>
      </c>
      <c r="D285" s="776" t="str">
        <f>A285&amp;"."&amp;B285</f>
        <v>2429.WA</v>
      </c>
      <c r="E285" s="832" t="s">
        <v>804</v>
      </c>
      <c r="F285" s="778">
        <v>0</v>
      </c>
      <c r="G285" s="860">
        <v>0</v>
      </c>
      <c r="H285" s="780">
        <v>0</v>
      </c>
      <c r="I285" s="780">
        <v>0</v>
      </c>
      <c r="J285" s="781">
        <v>0</v>
      </c>
      <c r="K285" s="782">
        <v>0</v>
      </c>
      <c r="L285" s="783">
        <v>0</v>
      </c>
      <c r="M285" s="784">
        <v>0</v>
      </c>
      <c r="N285" s="785">
        <v>0</v>
      </c>
      <c r="O285" s="786">
        <v>0</v>
      </c>
      <c r="P285" s="787">
        <v>0</v>
      </c>
      <c r="Q285" s="861">
        <v>0</v>
      </c>
      <c r="R285" s="778">
        <v>0</v>
      </c>
      <c r="S285" s="780">
        <f t="shared" si="42"/>
        <v>0</v>
      </c>
      <c r="T285" s="754"/>
      <c r="U285" s="789"/>
      <c r="V285" s="789"/>
      <c r="W285" s="789"/>
      <c r="X285" s="789"/>
      <c r="Y285" s="767"/>
      <c r="Z285" s="767"/>
    </row>
    <row r="286" spans="1:26">
      <c r="A286" s="875" t="s">
        <v>800</v>
      </c>
      <c r="B286" s="774" t="s">
        <v>86</v>
      </c>
      <c r="C286" s="775">
        <v>277</v>
      </c>
      <c r="D286" s="776" t="str">
        <f>A286&amp;"."&amp;B286</f>
        <v>2429.OR</v>
      </c>
      <c r="E286" s="832" t="s">
        <v>805</v>
      </c>
      <c r="F286" s="778">
        <v>0</v>
      </c>
      <c r="G286" s="860">
        <v>0</v>
      </c>
      <c r="H286" s="780">
        <v>0</v>
      </c>
      <c r="I286" s="780">
        <v>0</v>
      </c>
      <c r="J286" s="781">
        <v>0</v>
      </c>
      <c r="K286" s="782">
        <v>0</v>
      </c>
      <c r="L286" s="783">
        <v>0</v>
      </c>
      <c r="M286" s="784">
        <v>0</v>
      </c>
      <c r="N286" s="785">
        <v>0</v>
      </c>
      <c r="O286" s="786">
        <v>0</v>
      </c>
      <c r="P286" s="787">
        <v>0</v>
      </c>
      <c r="Q286" s="861">
        <v>0</v>
      </c>
      <c r="R286" s="778">
        <v>0</v>
      </c>
      <c r="S286" s="780">
        <f t="shared" si="42"/>
        <v>0</v>
      </c>
      <c r="T286" s="754"/>
      <c r="U286" s="789"/>
      <c r="V286" s="789"/>
      <c r="W286" s="789"/>
      <c r="X286" s="789"/>
      <c r="Y286" s="767"/>
      <c r="Z286" s="767"/>
    </row>
    <row r="287" spans="1:26">
      <c r="A287" s="750" t="s">
        <v>806</v>
      </c>
      <c r="B287" s="750" t="s">
        <v>807</v>
      </c>
      <c r="C287" s="775">
        <v>278</v>
      </c>
      <c r="D287" s="750" t="str">
        <f>+A287</f>
        <v>2282</v>
      </c>
      <c r="E287" s="832" t="s">
        <v>808</v>
      </c>
      <c r="F287" s="778">
        <v>0</v>
      </c>
      <c r="G287" s="860">
        <v>0</v>
      </c>
      <c r="H287" s="780">
        <v>0</v>
      </c>
      <c r="I287" s="780">
        <v>0</v>
      </c>
      <c r="J287" s="781">
        <v>0</v>
      </c>
      <c r="K287" s="782">
        <v>0</v>
      </c>
      <c r="L287" s="783">
        <v>0</v>
      </c>
      <c r="M287" s="784">
        <v>0</v>
      </c>
      <c r="N287" s="785">
        <v>0</v>
      </c>
      <c r="O287" s="855">
        <v>-250000</v>
      </c>
      <c r="P287" s="787">
        <v>-1000000</v>
      </c>
      <c r="Q287" s="861">
        <v>-1000000</v>
      </c>
      <c r="R287" s="778">
        <v>-1400000</v>
      </c>
      <c r="S287" s="780">
        <f t="shared" si="42"/>
        <v>-245833.33333333334</v>
      </c>
      <c r="T287" s="754"/>
      <c r="U287" s="789"/>
      <c r="V287" s="789"/>
      <c r="W287" s="790"/>
      <c r="X287" s="790">
        <f>S287</f>
        <v>-245833.33333333334</v>
      </c>
      <c r="Y287" s="757"/>
      <c r="Z287" s="757"/>
    </row>
    <row r="288" spans="1:26">
      <c r="A288" s="750" t="s">
        <v>809</v>
      </c>
      <c r="B288" s="750" t="s">
        <v>810</v>
      </c>
      <c r="C288" s="775">
        <v>279</v>
      </c>
      <c r="D288" s="876" t="str">
        <f>A288&amp;"."&amp;B288</f>
        <v>2284.02*</v>
      </c>
      <c r="E288" s="832" t="s">
        <v>811</v>
      </c>
      <c r="F288" s="778">
        <v>0</v>
      </c>
      <c r="G288" s="860">
        <v>0</v>
      </c>
      <c r="H288" s="780">
        <v>0</v>
      </c>
      <c r="I288" s="780">
        <v>0</v>
      </c>
      <c r="J288" s="781">
        <v>0</v>
      </c>
      <c r="K288" s="782">
        <v>0</v>
      </c>
      <c r="L288" s="783">
        <v>0</v>
      </c>
      <c r="M288" s="784">
        <v>0</v>
      </c>
      <c r="N288" s="785">
        <v>0</v>
      </c>
      <c r="O288" s="855">
        <v>0</v>
      </c>
      <c r="P288" s="787">
        <v>0</v>
      </c>
      <c r="Q288" s="861">
        <v>0</v>
      </c>
      <c r="R288" s="778">
        <v>0</v>
      </c>
      <c r="S288" s="780">
        <f t="shared" si="42"/>
        <v>0</v>
      </c>
      <c r="T288" s="754"/>
      <c r="U288" s="789"/>
      <c r="V288" s="789"/>
      <c r="W288" s="789"/>
      <c r="X288" s="789"/>
      <c r="Y288" s="757"/>
      <c r="Z288" s="757"/>
    </row>
    <row r="289" spans="1:26">
      <c r="A289" s="774" t="s">
        <v>809</v>
      </c>
      <c r="B289" s="774" t="s">
        <v>812</v>
      </c>
      <c r="C289" s="775">
        <v>280</v>
      </c>
      <c r="D289" s="876" t="str">
        <f>A289&amp;"."&amp;B289</f>
        <v>2284.03*</v>
      </c>
      <c r="E289" s="832" t="s">
        <v>813</v>
      </c>
      <c r="F289" s="778">
        <v>-24135</v>
      </c>
      <c r="G289" s="860">
        <v>-24135</v>
      </c>
      <c r="H289" s="780">
        <v>-24135</v>
      </c>
      <c r="I289" s="780">
        <v>-24135</v>
      </c>
      <c r="J289" s="781">
        <v>-24135</v>
      </c>
      <c r="K289" s="782">
        <v>-24135</v>
      </c>
      <c r="L289" s="783">
        <v>-24135</v>
      </c>
      <c r="M289" s="784">
        <v>-24135</v>
      </c>
      <c r="N289" s="785">
        <v>-24135</v>
      </c>
      <c r="O289" s="855">
        <v>-48270</v>
      </c>
      <c r="P289" s="787">
        <v>-24135</v>
      </c>
      <c r="Q289" s="861">
        <v>-24135</v>
      </c>
      <c r="R289" s="778">
        <v>-24135</v>
      </c>
      <c r="S289" s="780">
        <f t="shared" si="42"/>
        <v>-26146.25</v>
      </c>
      <c r="T289" s="754"/>
      <c r="U289" s="789"/>
      <c r="V289" s="789"/>
      <c r="W289" s="789"/>
      <c r="X289" s="790">
        <f>S289</f>
        <v>-26146.25</v>
      </c>
      <c r="Y289" s="757"/>
      <c r="Z289" s="757"/>
    </row>
    <row r="290" spans="1:26">
      <c r="A290" s="875" t="s">
        <v>814</v>
      </c>
      <c r="B290" s="774" t="s">
        <v>410</v>
      </c>
      <c r="C290" s="775">
        <v>281</v>
      </c>
      <c r="D290" s="875" t="str">
        <f>+A290</f>
        <v>2292</v>
      </c>
      <c r="E290" s="832" t="s">
        <v>815</v>
      </c>
      <c r="F290" s="778">
        <v>0</v>
      </c>
      <c r="G290" s="860">
        <v>0</v>
      </c>
      <c r="H290" s="780">
        <v>0</v>
      </c>
      <c r="I290" s="780">
        <v>0</v>
      </c>
      <c r="J290" s="781">
        <v>0</v>
      </c>
      <c r="K290" s="782">
        <v>0</v>
      </c>
      <c r="L290" s="783">
        <v>0</v>
      </c>
      <c r="M290" s="784">
        <v>0</v>
      </c>
      <c r="N290" s="785">
        <v>0</v>
      </c>
      <c r="O290" s="786">
        <v>0</v>
      </c>
      <c r="P290" s="787">
        <v>0</v>
      </c>
      <c r="Q290" s="861">
        <v>0</v>
      </c>
      <c r="R290" s="778">
        <v>0</v>
      </c>
      <c r="S290" s="780">
        <f t="shared" si="42"/>
        <v>0</v>
      </c>
      <c r="T290" s="754"/>
      <c r="U290" s="789"/>
      <c r="V290" s="789"/>
      <c r="W290" s="789"/>
      <c r="X290" s="789"/>
      <c r="Y290" s="757"/>
      <c r="Z290" s="757"/>
    </row>
    <row r="291" spans="1:26">
      <c r="A291" s="774" t="s">
        <v>816</v>
      </c>
      <c r="B291" s="774" t="s">
        <v>817</v>
      </c>
      <c r="C291" s="775">
        <v>282</v>
      </c>
      <c r="D291" s="876" t="str">
        <f>A291&amp;"."&amp;B291</f>
        <v>2530.01*</v>
      </c>
      <c r="E291" s="832" t="s">
        <v>818</v>
      </c>
      <c r="F291" s="778">
        <v>-5668916.5</v>
      </c>
      <c r="G291" s="860">
        <v>-11779253.52</v>
      </c>
      <c r="H291" s="780">
        <v>-14855188.869999999</v>
      </c>
      <c r="I291" s="780">
        <v>-17538968.100000001</v>
      </c>
      <c r="J291" s="781">
        <v>-17813475.629999999</v>
      </c>
      <c r="K291" s="782">
        <v>-17139166.859999999</v>
      </c>
      <c r="L291" s="783">
        <v>-15535204.800000001</v>
      </c>
      <c r="M291" s="784">
        <v>-13449776.59</v>
      </c>
      <c r="N291" s="785">
        <v>-10889858.210000001</v>
      </c>
      <c r="O291" s="786">
        <v>-8799904.3399999999</v>
      </c>
      <c r="P291" s="787">
        <v>-8185007.1600000001</v>
      </c>
      <c r="Q291" s="861">
        <v>-6330404.5300000003</v>
      </c>
      <c r="R291" s="778">
        <v>-5627226.9299999997</v>
      </c>
      <c r="S291" s="780">
        <f t="shared" si="42"/>
        <v>-12330356.693750001</v>
      </c>
      <c r="T291" s="754"/>
      <c r="U291" s="789"/>
      <c r="V291" s="789"/>
      <c r="W291" s="789"/>
      <c r="X291" s="790">
        <f>S291</f>
        <v>-12330356.693750001</v>
      </c>
      <c r="Y291" s="767"/>
      <c r="Z291" s="767"/>
    </row>
    <row r="292" spans="1:26">
      <c r="A292" s="750" t="s">
        <v>816</v>
      </c>
      <c r="B292" s="750" t="s">
        <v>819</v>
      </c>
      <c r="C292" s="775">
        <v>283</v>
      </c>
      <c r="D292" s="887" t="str">
        <f>A292&amp;"."&amp;B292</f>
        <v>2530.[02008,02009]</v>
      </c>
      <c r="E292" s="832" t="s">
        <v>820</v>
      </c>
      <c r="F292" s="778">
        <v>0</v>
      </c>
      <c r="G292" s="860">
        <v>0</v>
      </c>
      <c r="H292" s="780">
        <v>0</v>
      </c>
      <c r="I292" s="780">
        <v>0</v>
      </c>
      <c r="J292" s="781">
        <v>0</v>
      </c>
      <c r="K292" s="782">
        <v>0</v>
      </c>
      <c r="L292" s="783">
        <v>0</v>
      </c>
      <c r="M292" s="784">
        <v>0</v>
      </c>
      <c r="N292" s="785">
        <v>0</v>
      </c>
      <c r="O292" s="786">
        <v>0</v>
      </c>
      <c r="P292" s="787">
        <v>0</v>
      </c>
      <c r="Q292" s="861">
        <v>0</v>
      </c>
      <c r="R292" s="778">
        <v>0</v>
      </c>
      <c r="S292" s="780">
        <f t="shared" si="42"/>
        <v>0</v>
      </c>
      <c r="T292" s="754"/>
      <c r="U292" s="789"/>
      <c r="V292" s="789"/>
      <c r="W292" s="789"/>
      <c r="X292" s="789"/>
      <c r="Y292" s="767"/>
      <c r="Z292" s="767"/>
    </row>
    <row r="293" spans="1:26">
      <c r="A293" s="774" t="s">
        <v>821</v>
      </c>
      <c r="B293" s="774" t="s">
        <v>627</v>
      </c>
      <c r="C293" s="775">
        <v>284</v>
      </c>
      <c r="D293" s="776" t="str">
        <f>A293&amp;"."&amp;B293</f>
        <v>2440.1</v>
      </c>
      <c r="E293" s="832" t="s">
        <v>526</v>
      </c>
      <c r="F293" s="778">
        <v>0</v>
      </c>
      <c r="G293" s="860">
        <v>0</v>
      </c>
      <c r="H293" s="780">
        <v>0</v>
      </c>
      <c r="I293" s="780">
        <v>0</v>
      </c>
      <c r="J293" s="781">
        <v>0</v>
      </c>
      <c r="K293" s="782">
        <v>0</v>
      </c>
      <c r="L293" s="783">
        <v>0</v>
      </c>
      <c r="M293" s="784">
        <v>0</v>
      </c>
      <c r="N293" s="785">
        <v>0</v>
      </c>
      <c r="O293" s="786">
        <v>0</v>
      </c>
      <c r="P293" s="787">
        <v>0</v>
      </c>
      <c r="Q293" s="861">
        <v>0</v>
      </c>
      <c r="R293" s="778">
        <v>0</v>
      </c>
      <c r="S293" s="780">
        <f t="shared" si="42"/>
        <v>0</v>
      </c>
      <c r="T293" s="754"/>
      <c r="U293" s="789"/>
      <c r="V293" s="789"/>
      <c r="W293" s="789"/>
      <c r="X293" s="789"/>
      <c r="Y293" s="767"/>
      <c r="Z293" s="767"/>
    </row>
    <row r="294" spans="1:26">
      <c r="A294" s="774"/>
      <c r="B294" s="774"/>
      <c r="C294" s="775">
        <v>285</v>
      </c>
      <c r="D294" s="774"/>
      <c r="E294" s="832"/>
      <c r="F294" s="778"/>
      <c r="G294" s="860"/>
      <c r="H294" s="780"/>
      <c r="I294" s="780"/>
      <c r="J294" s="781"/>
      <c r="K294" s="782"/>
      <c r="L294" s="783"/>
      <c r="M294" s="784"/>
      <c r="N294" s="785"/>
      <c r="O294" s="786"/>
      <c r="P294" s="787"/>
      <c r="Q294" s="861"/>
      <c r="R294" s="778"/>
      <c r="S294" s="780">
        <f t="shared" si="42"/>
        <v>0</v>
      </c>
      <c r="T294" s="754"/>
      <c r="U294" s="789"/>
      <c r="V294" s="789"/>
      <c r="W294" s="789"/>
      <c r="X294" s="789"/>
      <c r="Y294" s="767"/>
      <c r="Z294" s="767"/>
    </row>
    <row r="295" spans="1:26">
      <c r="A295" s="774"/>
      <c r="B295" s="774"/>
      <c r="C295" s="775">
        <v>286</v>
      </c>
      <c r="D295" s="774"/>
      <c r="E295" s="832" t="s">
        <v>822</v>
      </c>
      <c r="F295" s="802">
        <f>SUM(F276:F293)</f>
        <v>-24806425.879999995</v>
      </c>
      <c r="G295" s="802">
        <f t="shared" ref="G295:S295" si="45">SUM(G276:G293)</f>
        <v>-27735517.060000002</v>
      </c>
      <c r="H295" s="802">
        <f t="shared" si="45"/>
        <v>-28994126.140000001</v>
      </c>
      <c r="I295" s="802">
        <f t="shared" si="45"/>
        <v>-29913904.840000004</v>
      </c>
      <c r="J295" s="802">
        <f t="shared" si="45"/>
        <v>-30185988.16</v>
      </c>
      <c r="K295" s="802">
        <f t="shared" si="45"/>
        <v>-30640191.780000001</v>
      </c>
      <c r="L295" s="802">
        <f t="shared" si="45"/>
        <v>-33449413.98</v>
      </c>
      <c r="M295" s="802">
        <f t="shared" si="45"/>
        <v>-32961281.640000001</v>
      </c>
      <c r="N295" s="802">
        <f t="shared" si="45"/>
        <v>-28513170.199999999</v>
      </c>
      <c r="O295" s="802">
        <f t="shared" si="45"/>
        <v>-27496522.810000002</v>
      </c>
      <c r="P295" s="802">
        <f t="shared" si="45"/>
        <v>-31672483.210000001</v>
      </c>
      <c r="Q295" s="802">
        <f t="shared" si="45"/>
        <v>-27063345.810000002</v>
      </c>
      <c r="R295" s="802">
        <f t="shared" si="45"/>
        <v>-27407251.719999999</v>
      </c>
      <c r="S295" s="802">
        <f t="shared" si="45"/>
        <v>-29561065.369166665</v>
      </c>
      <c r="T295" s="754"/>
      <c r="U295" s="789"/>
      <c r="V295" s="789"/>
      <c r="W295" s="789"/>
      <c r="X295" s="789"/>
      <c r="Y295" s="767"/>
      <c r="Z295" s="767"/>
    </row>
    <row r="296" spans="1:26">
      <c r="A296" s="774"/>
      <c r="B296" s="774"/>
      <c r="C296" s="775">
        <v>287</v>
      </c>
      <c r="D296" s="774"/>
      <c r="E296" s="832"/>
      <c r="F296" s="778"/>
      <c r="G296" s="860"/>
      <c r="H296" s="780"/>
      <c r="I296" s="780"/>
      <c r="J296" s="781"/>
      <c r="K296" s="782"/>
      <c r="L296" s="783"/>
      <c r="M296" s="784"/>
      <c r="N296" s="785"/>
      <c r="O296" s="786"/>
      <c r="P296" s="787"/>
      <c r="Q296" s="861"/>
      <c r="R296" s="778"/>
      <c r="S296" s="780">
        <f t="shared" si="42"/>
        <v>0</v>
      </c>
      <c r="T296" s="754"/>
      <c r="U296" s="789"/>
      <c r="V296" s="789"/>
      <c r="W296" s="789"/>
      <c r="X296" s="789"/>
      <c r="Y296" s="767"/>
      <c r="Z296" s="767"/>
    </row>
    <row r="297" spans="1:26">
      <c r="A297" s="750" t="s">
        <v>806</v>
      </c>
      <c r="B297" s="750" t="s">
        <v>823</v>
      </c>
      <c r="C297" s="775">
        <v>288</v>
      </c>
      <c r="D297" s="750" t="str">
        <f>+A297</f>
        <v>2282</v>
      </c>
      <c r="E297" s="832" t="s">
        <v>824</v>
      </c>
      <c r="F297" s="778">
        <v>-14631486.57</v>
      </c>
      <c r="G297" s="805">
        <v>-14584574.82</v>
      </c>
      <c r="H297" s="780">
        <v>-14583283.07</v>
      </c>
      <c r="I297" s="780">
        <v>-14528667.300000001</v>
      </c>
      <c r="J297" s="781">
        <v>-14517823.48</v>
      </c>
      <c r="K297" s="782">
        <v>-14464666.35</v>
      </c>
      <c r="L297" s="783">
        <v>-14447941.59</v>
      </c>
      <c r="M297" s="784">
        <v>-14426749.779999999</v>
      </c>
      <c r="N297" s="785">
        <v>-14320900.5</v>
      </c>
      <c r="O297" s="855">
        <v>-14318635</v>
      </c>
      <c r="P297" s="787">
        <v>-14279202.43</v>
      </c>
      <c r="Q297" s="861">
        <v>-14167518.460000001</v>
      </c>
      <c r="R297" s="778">
        <v>-14098767.550000001</v>
      </c>
      <c r="S297" s="780">
        <f t="shared" si="42"/>
        <v>-14417090.82</v>
      </c>
      <c r="T297" s="754"/>
      <c r="U297" s="789"/>
      <c r="V297" s="789"/>
      <c r="W297" s="789"/>
      <c r="X297" s="789"/>
      <c r="Y297" s="767"/>
      <c r="Z297" s="767"/>
    </row>
    <row r="298" spans="1:26">
      <c r="A298" s="750" t="s">
        <v>825</v>
      </c>
      <c r="B298" s="750" t="s">
        <v>410</v>
      </c>
      <c r="C298" s="775">
        <v>289</v>
      </c>
      <c r="D298" s="750" t="str">
        <f>+A298</f>
        <v>2283</v>
      </c>
      <c r="E298" s="832" t="s">
        <v>826</v>
      </c>
      <c r="F298" s="778">
        <v>-7657939.1200000001</v>
      </c>
      <c r="G298" s="860">
        <v>-7717374.6200000001</v>
      </c>
      <c r="H298" s="780">
        <v>-7776810.1200000001</v>
      </c>
      <c r="I298" s="780">
        <v>-7836245.6200000001</v>
      </c>
      <c r="J298" s="781">
        <v>-7895681.1200000001</v>
      </c>
      <c r="K298" s="782">
        <v>-7960544.96</v>
      </c>
      <c r="L298" s="783">
        <v>-8021066.1200000001</v>
      </c>
      <c r="M298" s="784">
        <v>-8081587.29</v>
      </c>
      <c r="N298" s="785">
        <v>-8142108.4500000002</v>
      </c>
      <c r="O298" s="855">
        <v>-8202629.6200000001</v>
      </c>
      <c r="P298" s="787">
        <v>-8263150.79</v>
      </c>
      <c r="Q298" s="861">
        <v>-8323671.96</v>
      </c>
      <c r="R298" s="778">
        <v>-7687634.5099999998</v>
      </c>
      <c r="S298" s="780">
        <f t="shared" si="42"/>
        <v>-7991138.1237500003</v>
      </c>
      <c r="T298" s="754"/>
      <c r="U298" s="789"/>
      <c r="V298" s="789"/>
      <c r="W298" s="767"/>
      <c r="X298" s="790">
        <f>S298</f>
        <v>-7991138.1237500003</v>
      </c>
      <c r="Y298" s="767"/>
      <c r="Z298" s="767"/>
    </row>
    <row r="299" spans="1:26">
      <c r="A299" s="750" t="s">
        <v>827</v>
      </c>
      <c r="B299" s="750" t="s">
        <v>410</v>
      </c>
      <c r="C299" s="775">
        <v>290</v>
      </c>
      <c r="D299" s="750" t="str">
        <f>+A299</f>
        <v>2300</v>
      </c>
      <c r="E299" s="832" t="s">
        <v>828</v>
      </c>
      <c r="F299" s="778">
        <v>-50960517</v>
      </c>
      <c r="G299" s="860">
        <v>-50963872.890000001</v>
      </c>
      <c r="H299" s="780">
        <v>-50967246.25</v>
      </c>
      <c r="I299" s="780">
        <v>-51422476.130000003</v>
      </c>
      <c r="J299" s="781">
        <v>-51425884.640000001</v>
      </c>
      <c r="K299" s="782">
        <v>-51429310.859999999</v>
      </c>
      <c r="L299" s="783">
        <v>-51455189.93</v>
      </c>
      <c r="M299" s="784">
        <v>-51458651.880000003</v>
      </c>
      <c r="N299" s="785">
        <v>-52893394.299999997</v>
      </c>
      <c r="O299" s="786">
        <v>-53140104.700000003</v>
      </c>
      <c r="P299" s="787">
        <v>-53387966.060000002</v>
      </c>
      <c r="Q299" s="861">
        <v>-53636983.840000004</v>
      </c>
      <c r="R299" s="778">
        <v>-54807880</v>
      </c>
      <c r="S299" s="780">
        <f t="shared" si="42"/>
        <v>-52088773.331666671</v>
      </c>
      <c r="T299" s="754"/>
      <c r="U299" s="789"/>
      <c r="V299" s="790">
        <f>+S299</f>
        <v>-52088773.331666671</v>
      </c>
      <c r="W299" s="789"/>
      <c r="X299" s="789"/>
      <c r="Y299" s="767"/>
      <c r="Z299" s="767"/>
    </row>
    <row r="300" spans="1:26">
      <c r="A300" s="750" t="s">
        <v>821</v>
      </c>
      <c r="B300" s="750" t="s">
        <v>681</v>
      </c>
      <c r="C300" s="775">
        <v>291</v>
      </c>
      <c r="D300" s="752" t="str">
        <f>A300&amp;"."&amp;B300</f>
        <v>2440.2</v>
      </c>
      <c r="E300" s="832" t="s">
        <v>571</v>
      </c>
      <c r="F300" s="778">
        <v>0</v>
      </c>
      <c r="G300" s="860">
        <v>0</v>
      </c>
      <c r="H300" s="780">
        <v>0</v>
      </c>
      <c r="I300" s="780">
        <v>0</v>
      </c>
      <c r="J300" s="781">
        <v>0</v>
      </c>
      <c r="K300" s="782">
        <v>0</v>
      </c>
      <c r="L300" s="783">
        <v>0</v>
      </c>
      <c r="M300" s="784">
        <v>0</v>
      </c>
      <c r="N300" s="785">
        <v>0</v>
      </c>
      <c r="O300" s="786">
        <v>0</v>
      </c>
      <c r="P300" s="787">
        <v>0</v>
      </c>
      <c r="Q300" s="861">
        <v>0</v>
      </c>
      <c r="R300" s="778">
        <v>0</v>
      </c>
      <c r="S300" s="780">
        <f t="shared" si="42"/>
        <v>0</v>
      </c>
      <c r="T300" s="754"/>
      <c r="U300" s="789"/>
      <c r="V300" s="789"/>
      <c r="W300" s="789"/>
      <c r="X300" s="789"/>
      <c r="Y300" s="767"/>
      <c r="Z300" s="767"/>
    </row>
    <row r="301" spans="1:26">
      <c r="A301" s="750" t="s">
        <v>829</v>
      </c>
      <c r="B301" s="750" t="s">
        <v>410</v>
      </c>
      <c r="C301" s="775">
        <v>292</v>
      </c>
      <c r="D301" s="750" t="str">
        <f>+A301</f>
        <v>2520</v>
      </c>
      <c r="E301" s="832" t="s">
        <v>376</v>
      </c>
      <c r="F301" s="778">
        <v>-4075228.98</v>
      </c>
      <c r="G301" s="860">
        <v>-4098682.77</v>
      </c>
      <c r="H301" s="780">
        <v>-4095410.71</v>
      </c>
      <c r="I301" s="780">
        <v>-4039199.59</v>
      </c>
      <c r="J301" s="781">
        <v>-4033929.41</v>
      </c>
      <c r="K301" s="782">
        <v>-4025529.28</v>
      </c>
      <c r="L301" s="783">
        <v>-3934624.3</v>
      </c>
      <c r="M301" s="784">
        <v>-4597333.84</v>
      </c>
      <c r="N301" s="785">
        <v>-4657385.4400000004</v>
      </c>
      <c r="O301" s="786">
        <v>-4568510.25</v>
      </c>
      <c r="P301" s="787">
        <v>-4564342.22</v>
      </c>
      <c r="Q301" s="861">
        <v>-4498773.34</v>
      </c>
      <c r="R301" s="778">
        <v>-4482129.79</v>
      </c>
      <c r="S301" s="780">
        <f t="shared" si="42"/>
        <v>-4282700.0445833337</v>
      </c>
      <c r="T301" s="754"/>
      <c r="U301" s="789"/>
      <c r="V301" s="790">
        <f>S301</f>
        <v>-4282700.0445833337</v>
      </c>
      <c r="W301" s="789"/>
      <c r="X301" s="789"/>
      <c r="Y301" s="767"/>
      <c r="Z301" s="767"/>
    </row>
    <row r="302" spans="1:26">
      <c r="A302" s="750" t="s">
        <v>816</v>
      </c>
      <c r="B302" s="750" t="s">
        <v>830</v>
      </c>
      <c r="C302" s="775">
        <v>293</v>
      </c>
      <c r="D302" s="887" t="str">
        <f t="shared" ref="D302:D310" si="46">A302&amp;"."&amp;B302</f>
        <v>2530.[02*,/02008,/02009,/02010]</v>
      </c>
      <c r="E302" s="832" t="s">
        <v>831</v>
      </c>
      <c r="F302" s="778">
        <v>0</v>
      </c>
      <c r="G302" s="860">
        <v>0</v>
      </c>
      <c r="H302" s="780">
        <v>0</v>
      </c>
      <c r="I302" s="780">
        <v>0</v>
      </c>
      <c r="J302" s="781">
        <v>0</v>
      </c>
      <c r="K302" s="782">
        <v>0</v>
      </c>
      <c r="L302" s="783">
        <v>0</v>
      </c>
      <c r="M302" s="784">
        <v>0</v>
      </c>
      <c r="N302" s="785">
        <v>0</v>
      </c>
      <c r="O302" s="786">
        <v>0</v>
      </c>
      <c r="P302" s="787">
        <v>0</v>
      </c>
      <c r="Q302" s="861">
        <v>0</v>
      </c>
      <c r="R302" s="778">
        <v>0</v>
      </c>
      <c r="S302" s="780">
        <f t="shared" si="42"/>
        <v>0</v>
      </c>
      <c r="T302" s="754"/>
      <c r="U302" s="789"/>
      <c r="V302" s="789"/>
      <c r="W302" s="789"/>
      <c r="X302" s="789"/>
      <c r="Y302" s="767"/>
      <c r="Z302" s="767"/>
    </row>
    <row r="303" spans="1:26">
      <c r="A303" s="750" t="s">
        <v>816</v>
      </c>
      <c r="B303" s="750" t="s">
        <v>832</v>
      </c>
      <c r="C303" s="775">
        <v>294</v>
      </c>
      <c r="D303" s="887" t="str">
        <f t="shared" si="46"/>
        <v>2530.[02010]</v>
      </c>
      <c r="E303" s="777" t="s">
        <v>833</v>
      </c>
      <c r="F303" s="778">
        <v>0</v>
      </c>
      <c r="G303" s="860">
        <v>0</v>
      </c>
      <c r="H303" s="780">
        <v>0</v>
      </c>
      <c r="I303" s="780">
        <v>0</v>
      </c>
      <c r="J303" s="781">
        <v>0</v>
      </c>
      <c r="K303" s="782">
        <v>0</v>
      </c>
      <c r="L303" s="783">
        <v>0</v>
      </c>
      <c r="M303" s="784">
        <v>0</v>
      </c>
      <c r="N303" s="785">
        <v>0</v>
      </c>
      <c r="O303" s="786">
        <v>0</v>
      </c>
      <c r="P303" s="787">
        <v>0</v>
      </c>
      <c r="Q303" s="861">
        <v>0</v>
      </c>
      <c r="R303" s="778">
        <v>0</v>
      </c>
      <c r="S303" s="780">
        <f t="shared" si="42"/>
        <v>0</v>
      </c>
      <c r="T303" s="754"/>
      <c r="U303" s="789"/>
      <c r="V303" s="789"/>
      <c r="W303" s="789"/>
      <c r="X303" s="789"/>
      <c r="Y303" s="767"/>
      <c r="Z303" s="767"/>
    </row>
    <row r="304" spans="1:26">
      <c r="A304" s="750" t="s">
        <v>816</v>
      </c>
      <c r="B304" s="750" t="s">
        <v>812</v>
      </c>
      <c r="C304" s="775">
        <v>295</v>
      </c>
      <c r="D304" s="887" t="str">
        <f t="shared" si="46"/>
        <v>2530.03*</v>
      </c>
      <c r="E304" s="832" t="s">
        <v>834</v>
      </c>
      <c r="F304" s="778">
        <v>0</v>
      </c>
      <c r="G304" s="860">
        <v>0</v>
      </c>
      <c r="H304" s="780">
        <v>0</v>
      </c>
      <c r="I304" s="780">
        <v>0</v>
      </c>
      <c r="J304" s="781">
        <v>0</v>
      </c>
      <c r="K304" s="782">
        <v>0</v>
      </c>
      <c r="L304" s="783">
        <v>0</v>
      </c>
      <c r="M304" s="784">
        <v>0</v>
      </c>
      <c r="N304" s="785">
        <v>0</v>
      </c>
      <c r="O304" s="786">
        <v>0</v>
      </c>
      <c r="P304" s="787">
        <v>0</v>
      </c>
      <c r="Q304" s="861">
        <v>0</v>
      </c>
      <c r="R304" s="778">
        <v>0</v>
      </c>
      <c r="S304" s="780">
        <f t="shared" si="42"/>
        <v>0</v>
      </c>
      <c r="T304" s="754"/>
      <c r="U304" s="789"/>
      <c r="V304" s="789"/>
      <c r="W304" s="789"/>
      <c r="X304" s="789"/>
      <c r="Y304" s="767"/>
      <c r="Z304" s="767"/>
    </row>
    <row r="305" spans="1:26">
      <c r="A305" s="750" t="s">
        <v>835</v>
      </c>
      <c r="B305" s="750" t="s">
        <v>836</v>
      </c>
      <c r="C305" s="775">
        <v>296</v>
      </c>
      <c r="D305" s="752" t="str">
        <f t="shared" si="46"/>
        <v>2539.[/0104*,/0107*,/0108*]</v>
      </c>
      <c r="E305" s="832" t="s">
        <v>837</v>
      </c>
      <c r="F305" s="778">
        <v>-123410.16</v>
      </c>
      <c r="G305" s="860">
        <v>-123418.88</v>
      </c>
      <c r="H305" s="780">
        <v>-123431.56</v>
      </c>
      <c r="I305" s="780">
        <v>-123350.1</v>
      </c>
      <c r="J305" s="781">
        <v>-123365.47</v>
      </c>
      <c r="K305" s="782">
        <v>-126204.69</v>
      </c>
      <c r="L305" s="783">
        <v>-125721.45</v>
      </c>
      <c r="M305" s="784">
        <v>-125505.33</v>
      </c>
      <c r="N305" s="785">
        <v>-125523.17</v>
      </c>
      <c r="O305" s="786">
        <v>-101413.37</v>
      </c>
      <c r="P305" s="787">
        <v>-99364.11</v>
      </c>
      <c r="Q305" s="861">
        <v>-99440.81</v>
      </c>
      <c r="R305" s="778">
        <v>-99457.919999999998</v>
      </c>
      <c r="S305" s="780">
        <f t="shared" si="42"/>
        <v>-117347.74833333335</v>
      </c>
      <c r="T305" s="754"/>
      <c r="U305" s="789"/>
      <c r="V305" s="789"/>
      <c r="W305" s="789"/>
      <c r="X305" s="789"/>
      <c r="Y305" s="767"/>
      <c r="Z305" s="767"/>
    </row>
    <row r="306" spans="1:26">
      <c r="A306" s="750" t="s">
        <v>835</v>
      </c>
      <c r="B306" s="888" t="s">
        <v>838</v>
      </c>
      <c r="C306" s="775">
        <v>297</v>
      </c>
      <c r="D306" s="752" t="str">
        <f t="shared" si="46"/>
        <v>2539.[0104*,0107*,0108*]</v>
      </c>
      <c r="E306" s="832" t="s">
        <v>839</v>
      </c>
      <c r="F306" s="778">
        <v>-15367277.689999999</v>
      </c>
      <c r="G306" s="860">
        <v>-15344145.109999999</v>
      </c>
      <c r="H306" s="780">
        <v>-15321012.52</v>
      </c>
      <c r="I306" s="780">
        <v>-15297879.939999999</v>
      </c>
      <c r="J306" s="781">
        <v>-15274747.359999999</v>
      </c>
      <c r="K306" s="782">
        <v>-15293682.27</v>
      </c>
      <c r="L306" s="783">
        <v>-15278945.93</v>
      </c>
      <c r="M306" s="784">
        <v>-15264226.85</v>
      </c>
      <c r="N306" s="785">
        <v>-15249507.77</v>
      </c>
      <c r="O306" s="786">
        <v>-15234788.689999999</v>
      </c>
      <c r="P306" s="787">
        <v>-15220069.609999999</v>
      </c>
      <c r="Q306" s="861">
        <v>-15205350.529999999</v>
      </c>
      <c r="R306" s="778">
        <v>-13256373.689999999</v>
      </c>
      <c r="S306" s="780">
        <f t="shared" si="42"/>
        <v>-15191348.522500001</v>
      </c>
      <c r="T306" s="754"/>
      <c r="U306" s="789"/>
      <c r="V306" s="789"/>
      <c r="W306" s="767"/>
      <c r="X306" s="790">
        <f>S306</f>
        <v>-15191348.522500001</v>
      </c>
      <c r="Y306" s="767"/>
      <c r="Z306" s="767"/>
    </row>
    <row r="307" spans="1:26">
      <c r="A307" s="750" t="s">
        <v>840</v>
      </c>
      <c r="B307" s="750" t="s">
        <v>841</v>
      </c>
      <c r="C307" s="775">
        <v>298</v>
      </c>
      <c r="D307" s="887" t="str">
        <f t="shared" si="46"/>
        <v>2540.20222</v>
      </c>
      <c r="E307" s="750" t="s">
        <v>842</v>
      </c>
      <c r="F307" s="778">
        <v>-847148</v>
      </c>
      <c r="G307" s="860">
        <v>-847148</v>
      </c>
      <c r="H307" s="780">
        <v>-847148</v>
      </c>
      <c r="I307" s="780">
        <v>-847148</v>
      </c>
      <c r="J307" s="781">
        <v>-847148</v>
      </c>
      <c r="K307" s="782">
        <v>-847148</v>
      </c>
      <c r="L307" s="783">
        <v>-847148</v>
      </c>
      <c r="M307" s="784">
        <v>-847148</v>
      </c>
      <c r="N307" s="785">
        <v>-847148</v>
      </c>
      <c r="O307" s="786">
        <v>-847148</v>
      </c>
      <c r="P307" s="787">
        <v>-847148</v>
      </c>
      <c r="Q307" s="861">
        <v>-847148</v>
      </c>
      <c r="R307" s="778">
        <v>-1238067</v>
      </c>
      <c r="S307" s="780">
        <f t="shared" si="42"/>
        <v>-863436.29166666663</v>
      </c>
      <c r="T307" s="754"/>
      <c r="U307" s="789"/>
      <c r="V307" s="789"/>
      <c r="W307" s="767"/>
      <c r="X307" s="790">
        <f>S307</f>
        <v>-863436.29166666663</v>
      </c>
      <c r="Y307" s="767"/>
      <c r="Z307" s="767"/>
    </row>
    <row r="308" spans="1:26">
      <c r="A308" s="750" t="s">
        <v>840</v>
      </c>
      <c r="B308" s="750" t="s">
        <v>843</v>
      </c>
      <c r="C308" s="775">
        <v>299</v>
      </c>
      <c r="D308" s="752" t="str">
        <f t="shared" si="46"/>
        <v>2540.[20201*]</v>
      </c>
      <c r="E308" s="832" t="s">
        <v>844</v>
      </c>
      <c r="F308" s="778">
        <v>-2737401.56</v>
      </c>
      <c r="G308" s="860">
        <v>-2710317.16</v>
      </c>
      <c r="H308" s="780">
        <v>-2683232.7400000002</v>
      </c>
      <c r="I308" s="780">
        <v>-2645898.7999999998</v>
      </c>
      <c r="J308" s="781">
        <v>-2615397.63</v>
      </c>
      <c r="K308" s="782">
        <v>-2584896.4300000002</v>
      </c>
      <c r="L308" s="783">
        <v>-2553146.7999999998</v>
      </c>
      <c r="M308" s="784">
        <v>-2522437.54</v>
      </c>
      <c r="N308" s="785">
        <v>-2491728.2799999998</v>
      </c>
      <c r="O308" s="786">
        <v>-2552522.0099999998</v>
      </c>
      <c r="P308" s="787">
        <v>-2531979.75</v>
      </c>
      <c r="Q308" s="861">
        <v>-2546370.5600000001</v>
      </c>
      <c r="R308" s="778">
        <v>-2588762.79</v>
      </c>
      <c r="S308" s="780">
        <f t="shared" si="42"/>
        <v>-2591750.8229166665</v>
      </c>
      <c r="T308" s="754"/>
      <c r="U308" s="789"/>
      <c r="V308" s="789"/>
      <c r="W308" s="767"/>
      <c r="X308" s="790">
        <f>S308</f>
        <v>-2591750.8229166665</v>
      </c>
      <c r="Y308" s="767"/>
      <c r="Z308" s="767"/>
    </row>
    <row r="309" spans="1:26">
      <c r="A309" s="750" t="s">
        <v>840</v>
      </c>
      <c r="B309" s="750" t="s">
        <v>845</v>
      </c>
      <c r="C309" s="775">
        <v>300</v>
      </c>
      <c r="D309" s="752" t="str">
        <f t="shared" si="46"/>
        <v>2540.[/20211,/20201*,/20222]</v>
      </c>
      <c r="E309" s="750" t="s">
        <v>846</v>
      </c>
      <c r="F309" s="778">
        <v>49444.46</v>
      </c>
      <c r="G309" s="860">
        <v>49444.44</v>
      </c>
      <c r="H309" s="780">
        <v>49444.53</v>
      </c>
      <c r="I309" s="780">
        <v>49403.66</v>
      </c>
      <c r="J309" s="781">
        <v>49403.56</v>
      </c>
      <c r="K309" s="782">
        <v>49403.6</v>
      </c>
      <c r="L309" s="783">
        <v>49403.64</v>
      </c>
      <c r="M309" s="784">
        <v>49403.69</v>
      </c>
      <c r="N309" s="785">
        <v>49403.69</v>
      </c>
      <c r="O309" s="786">
        <v>49403.73</v>
      </c>
      <c r="P309" s="787">
        <v>49403.76</v>
      </c>
      <c r="Q309" s="861">
        <v>49444.68</v>
      </c>
      <c r="R309" s="778">
        <v>-267245.51</v>
      </c>
      <c r="S309" s="780">
        <f t="shared" si="42"/>
        <v>36221.871249999997</v>
      </c>
      <c r="T309" s="754"/>
      <c r="U309" s="789"/>
      <c r="V309" s="789"/>
      <c r="W309" s="789"/>
      <c r="X309" s="789"/>
      <c r="Y309" s="767"/>
      <c r="Z309" s="767"/>
    </row>
    <row r="310" spans="1:26">
      <c r="A310" s="750" t="s">
        <v>840</v>
      </c>
      <c r="B310" s="750" t="s">
        <v>847</v>
      </c>
      <c r="C310" s="775">
        <v>301</v>
      </c>
      <c r="D310" s="752" t="str">
        <f t="shared" si="46"/>
        <v>2540.[20211]</v>
      </c>
      <c r="E310" s="777" t="s">
        <v>833</v>
      </c>
      <c r="F310" s="778">
        <v>0</v>
      </c>
      <c r="G310" s="860">
        <v>0</v>
      </c>
      <c r="H310" s="780">
        <v>0</v>
      </c>
      <c r="I310" s="780">
        <v>0</v>
      </c>
      <c r="J310" s="781">
        <v>0</v>
      </c>
      <c r="K310" s="782">
        <v>0</v>
      </c>
      <c r="L310" s="783">
        <v>0</v>
      </c>
      <c r="M310" s="784">
        <v>0</v>
      </c>
      <c r="N310" s="785">
        <v>0</v>
      </c>
      <c r="O310" s="786">
        <v>0</v>
      </c>
      <c r="P310" s="787">
        <v>0</v>
      </c>
      <c r="Q310" s="861">
        <v>0</v>
      </c>
      <c r="R310" s="778">
        <v>0</v>
      </c>
      <c r="S310" s="780">
        <f t="shared" si="42"/>
        <v>0</v>
      </c>
      <c r="T310" s="754"/>
      <c r="U310" s="789"/>
      <c r="V310" s="789"/>
      <c r="W310" s="789"/>
      <c r="X310" s="789"/>
      <c r="Y310" s="767"/>
      <c r="Z310" s="767"/>
    </row>
    <row r="311" spans="1:26">
      <c r="A311" s="750" t="s">
        <v>518</v>
      </c>
      <c r="B311" s="750" t="s">
        <v>1014</v>
      </c>
      <c r="C311" s="775">
        <v>302</v>
      </c>
      <c r="D311" s="752" t="s">
        <v>1015</v>
      </c>
      <c r="E311" s="778" t="s">
        <v>1016</v>
      </c>
      <c r="F311" s="778">
        <v>39302214</v>
      </c>
      <c r="G311" s="860">
        <v>39302214</v>
      </c>
      <c r="H311" s="780">
        <v>39302214</v>
      </c>
      <c r="I311" s="780">
        <v>39738439</v>
      </c>
      <c r="J311" s="781">
        <v>39738439</v>
      </c>
      <c r="K311" s="782">
        <v>39738439</v>
      </c>
      <c r="L311" s="783">
        <v>39670780</v>
      </c>
      <c r="M311" s="784">
        <v>39670780</v>
      </c>
      <c r="N311" s="785">
        <v>41382440.039999999</v>
      </c>
      <c r="O311" s="786">
        <v>41654121.939999998</v>
      </c>
      <c r="P311" s="787">
        <v>41919650.920000002</v>
      </c>
      <c r="Q311" s="861">
        <v>42186336.280000001</v>
      </c>
      <c r="R311" s="778">
        <v>42170920.5</v>
      </c>
      <c r="S311" s="780">
        <f t="shared" si="42"/>
        <v>40420035.119166672</v>
      </c>
      <c r="T311" s="754"/>
      <c r="U311" s="789"/>
      <c r="V311" s="790">
        <f>+S311</f>
        <v>40420035.119166672</v>
      </c>
      <c r="W311" s="789"/>
      <c r="X311" s="789"/>
      <c r="Y311" s="767"/>
      <c r="Z311" s="767"/>
    </row>
    <row r="312" spans="1:26">
      <c r="A312" s="750"/>
      <c r="B312" s="750"/>
      <c r="C312" s="775">
        <v>303</v>
      </c>
      <c r="D312" s="752"/>
      <c r="E312" s="793" t="s">
        <v>848</v>
      </c>
      <c r="F312" s="802">
        <f>SUM(F297:F311)</f>
        <v>-57048750.620000005</v>
      </c>
      <c r="G312" s="802">
        <f t="shared" ref="G312:S312" si="47">SUM(G297:G311)</f>
        <v>-57037875.809999987</v>
      </c>
      <c r="H312" s="802">
        <f t="shared" si="47"/>
        <v>-57045916.439999983</v>
      </c>
      <c r="I312" s="802">
        <f t="shared" si="47"/>
        <v>-56953022.820000008</v>
      </c>
      <c r="J312" s="802">
        <f t="shared" si="47"/>
        <v>-56946134.549999997</v>
      </c>
      <c r="K312" s="802">
        <f t="shared" si="47"/>
        <v>-56944140.24000001</v>
      </c>
      <c r="L312" s="802">
        <f t="shared" si="47"/>
        <v>-56943600.479999989</v>
      </c>
      <c r="M312" s="802">
        <f t="shared" si="47"/>
        <v>-57603456.820000008</v>
      </c>
      <c r="N312" s="802">
        <f t="shared" si="47"/>
        <v>-57295852.18</v>
      </c>
      <c r="O312" s="802">
        <f t="shared" si="47"/>
        <v>-57262225.970000014</v>
      </c>
      <c r="P312" s="802">
        <f t="shared" si="47"/>
        <v>-57224168.289999992</v>
      </c>
      <c r="Q312" s="802">
        <f t="shared" si="47"/>
        <v>-57089476.540000007</v>
      </c>
      <c r="R312" s="802">
        <f t="shared" si="47"/>
        <v>-56355398.26000002</v>
      </c>
      <c r="S312" s="802">
        <f t="shared" si="47"/>
        <v>-57087328.715000004</v>
      </c>
      <c r="T312" s="754"/>
      <c r="U312" s="789"/>
      <c r="V312" s="789"/>
      <c r="W312" s="789"/>
      <c r="X312" s="790">
        <f>S312-S301-S298-S306-S307-S308-S299-S311</f>
        <v>-14498216.697083332</v>
      </c>
      <c r="Y312" s="767"/>
      <c r="Z312" s="767"/>
    </row>
    <row r="313" spans="1:26">
      <c r="A313" s="750"/>
      <c r="B313" s="750"/>
      <c r="C313" s="775">
        <v>304</v>
      </c>
      <c r="D313" s="752"/>
      <c r="E313" s="832"/>
      <c r="F313" s="778"/>
      <c r="G313" s="860"/>
      <c r="H313" s="780"/>
      <c r="I313" s="780"/>
      <c r="J313" s="781"/>
      <c r="K313" s="782"/>
      <c r="L313" s="783"/>
      <c r="M313" s="784"/>
      <c r="N313" s="785"/>
      <c r="O313" s="786"/>
      <c r="P313" s="787"/>
      <c r="Q313" s="861"/>
      <c r="R313" s="778"/>
      <c r="S313" s="780">
        <f t="shared" si="42"/>
        <v>0</v>
      </c>
      <c r="T313" s="754"/>
      <c r="U313" s="789"/>
      <c r="V313" s="789"/>
      <c r="W313" s="789"/>
      <c r="X313" s="789"/>
      <c r="Y313" s="767"/>
      <c r="Z313" s="767"/>
    </row>
    <row r="314" spans="1:26">
      <c r="A314" s="774" t="s">
        <v>849</v>
      </c>
      <c r="B314" s="774" t="s">
        <v>410</v>
      </c>
      <c r="C314" s="775">
        <v>305</v>
      </c>
      <c r="D314" s="774" t="str">
        <f>+A314</f>
        <v>2550</v>
      </c>
      <c r="E314" s="832" t="s">
        <v>850</v>
      </c>
      <c r="F314" s="778">
        <v>-373122</v>
      </c>
      <c r="G314" s="860">
        <v>-368995.92</v>
      </c>
      <c r="H314" s="780">
        <v>-364869.83</v>
      </c>
      <c r="I314" s="780">
        <v>-360743.75</v>
      </c>
      <c r="J314" s="781">
        <v>-356617.67</v>
      </c>
      <c r="K314" s="782">
        <v>-352491.58</v>
      </c>
      <c r="L314" s="783">
        <v>-348718</v>
      </c>
      <c r="M314" s="784">
        <v>-344650.67</v>
      </c>
      <c r="N314" s="785">
        <v>-340583.33</v>
      </c>
      <c r="O314" s="786">
        <v>-336516</v>
      </c>
      <c r="P314" s="787">
        <v>-332448.67</v>
      </c>
      <c r="Q314" s="861">
        <v>-328355.33</v>
      </c>
      <c r="R314" s="778">
        <v>-324288</v>
      </c>
      <c r="S314" s="780">
        <f t="shared" si="42"/>
        <v>-348641.3125</v>
      </c>
      <c r="T314" s="754"/>
      <c r="U314" s="789"/>
      <c r="V314" s="790">
        <f>S314</f>
        <v>-348641.3125</v>
      </c>
      <c r="W314" s="789"/>
      <c r="X314" s="789"/>
      <c r="Y314" s="767"/>
      <c r="Z314" s="767"/>
    </row>
    <row r="315" spans="1:26">
      <c r="A315" s="774" t="s">
        <v>851</v>
      </c>
      <c r="B315" s="774" t="s">
        <v>410</v>
      </c>
      <c r="C315" s="775">
        <v>306</v>
      </c>
      <c r="D315" s="774" t="str">
        <f>+A315</f>
        <v>2820</v>
      </c>
      <c r="E315" s="832" t="s">
        <v>852</v>
      </c>
      <c r="F315" s="778">
        <v>-96815259.790000007</v>
      </c>
      <c r="G315" s="860">
        <v>-96798119.579999998</v>
      </c>
      <c r="H315" s="780">
        <v>-96780979.340000004</v>
      </c>
      <c r="I315" s="780">
        <v>-97223385.599999994</v>
      </c>
      <c r="J315" s="781">
        <v>-97097374.659999996</v>
      </c>
      <c r="K315" s="782">
        <v>-96971363.799999997</v>
      </c>
      <c r="L315" s="783">
        <v>-97181324.890000001</v>
      </c>
      <c r="M315" s="784">
        <v>-97111309.340000004</v>
      </c>
      <c r="N315" s="785">
        <v>-97041293.75</v>
      </c>
      <c r="O315" s="786">
        <v>-98273089.640000001</v>
      </c>
      <c r="P315" s="787">
        <v>-98347719.810000002</v>
      </c>
      <c r="Q315" s="861">
        <v>-100118820.7</v>
      </c>
      <c r="R315" s="778">
        <v>-100067346.12</v>
      </c>
      <c r="S315" s="780">
        <f t="shared" si="42"/>
        <v>-97615507.005416676</v>
      </c>
      <c r="T315" s="754"/>
      <c r="U315" s="789"/>
      <c r="V315" s="790">
        <f>S315</f>
        <v>-97615507.005416676</v>
      </c>
      <c r="W315" s="789"/>
      <c r="X315" s="789"/>
      <c r="Y315" s="767"/>
      <c r="Z315" s="767"/>
    </row>
    <row r="316" spans="1:26">
      <c r="A316" s="774" t="s">
        <v>853</v>
      </c>
      <c r="B316" s="774" t="s">
        <v>410</v>
      </c>
      <c r="C316" s="775">
        <v>307</v>
      </c>
      <c r="D316" s="774" t="str">
        <f>+A316</f>
        <v>2830</v>
      </c>
      <c r="E316" s="832" t="s">
        <v>854</v>
      </c>
      <c r="F316" s="778">
        <v>-36786388.119999997</v>
      </c>
      <c r="G316" s="860">
        <v>-36797682.920000002</v>
      </c>
      <c r="H316" s="780">
        <v>-36808977.82</v>
      </c>
      <c r="I316" s="780">
        <v>-37065961.369999997</v>
      </c>
      <c r="J316" s="781">
        <v>-37077311.259999998</v>
      </c>
      <c r="K316" s="782">
        <v>-37088661.189999998</v>
      </c>
      <c r="L316" s="783">
        <v>-37083468.740000002</v>
      </c>
      <c r="M316" s="784">
        <v>-37092066.420000002</v>
      </c>
      <c r="N316" s="785">
        <v>-37100664.079999998</v>
      </c>
      <c r="O316" s="786">
        <v>-36995176.82</v>
      </c>
      <c r="P316" s="787">
        <v>-36991101.07</v>
      </c>
      <c r="Q316" s="861">
        <v>-36987025.399999999</v>
      </c>
      <c r="R316" s="778">
        <v>-36157095.619999997</v>
      </c>
      <c r="S316" s="780">
        <f t="shared" si="42"/>
        <v>-36963319.913333334</v>
      </c>
      <c r="T316" s="754"/>
      <c r="U316" s="789"/>
      <c r="V316" s="789"/>
      <c r="W316" s="767"/>
      <c r="X316" s="790">
        <f>S316</f>
        <v>-36963319.913333334</v>
      </c>
      <c r="Y316" s="767"/>
      <c r="Z316" s="767"/>
    </row>
    <row r="317" spans="1:26">
      <c r="A317" s="774"/>
      <c r="B317" s="774"/>
      <c r="C317" s="775">
        <v>308</v>
      </c>
      <c r="D317" s="776"/>
      <c r="E317" s="832"/>
      <c r="F317" s="778"/>
      <c r="G317" s="860"/>
      <c r="H317" s="780"/>
      <c r="I317" s="780"/>
      <c r="J317" s="781"/>
      <c r="K317" s="782"/>
      <c r="L317" s="783"/>
      <c r="M317" s="784"/>
      <c r="N317" s="785"/>
      <c r="O317" s="786"/>
      <c r="P317" s="787"/>
      <c r="Q317" s="861"/>
      <c r="R317" s="778"/>
      <c r="S317" s="780">
        <f t="shared" si="42"/>
        <v>0</v>
      </c>
      <c r="T317" s="754"/>
      <c r="U317" s="789"/>
      <c r="V317" s="789"/>
      <c r="W317" s="789"/>
      <c r="X317" s="789"/>
      <c r="Y317" s="767"/>
      <c r="Z317" s="767"/>
    </row>
    <row r="318" spans="1:26">
      <c r="A318" s="774"/>
      <c r="B318" s="774"/>
      <c r="C318" s="775">
        <v>309</v>
      </c>
      <c r="D318" s="776"/>
      <c r="E318" s="832" t="s">
        <v>855</v>
      </c>
      <c r="F318" s="802">
        <f>SUM(F314:F316)</f>
        <v>-133974769.91</v>
      </c>
      <c r="G318" s="802">
        <f t="shared" ref="G318:S318" si="48">SUM(G314:G316)</f>
        <v>-133964798.42</v>
      </c>
      <c r="H318" s="802">
        <f t="shared" si="48"/>
        <v>-133954826.99000001</v>
      </c>
      <c r="I318" s="802">
        <f t="shared" si="48"/>
        <v>-134650090.72</v>
      </c>
      <c r="J318" s="802">
        <f t="shared" si="48"/>
        <v>-134531303.59</v>
      </c>
      <c r="K318" s="802">
        <f t="shared" si="48"/>
        <v>-134412516.56999999</v>
      </c>
      <c r="L318" s="802">
        <f t="shared" si="48"/>
        <v>-134613511.63</v>
      </c>
      <c r="M318" s="802">
        <f t="shared" si="48"/>
        <v>-134548026.43000001</v>
      </c>
      <c r="N318" s="802">
        <f t="shared" si="48"/>
        <v>-134482541.16</v>
      </c>
      <c r="O318" s="802">
        <f t="shared" si="48"/>
        <v>-135604782.46000001</v>
      </c>
      <c r="P318" s="802">
        <f t="shared" si="48"/>
        <v>-135671269.55000001</v>
      </c>
      <c r="Q318" s="802">
        <f t="shared" si="48"/>
        <v>-137434201.43000001</v>
      </c>
      <c r="R318" s="802">
        <f t="shared" si="48"/>
        <v>-136548729.74000001</v>
      </c>
      <c r="S318" s="802">
        <f t="shared" si="48"/>
        <v>-134927468.23125002</v>
      </c>
      <c r="T318" s="754"/>
      <c r="U318" s="789"/>
      <c r="V318" s="790"/>
      <c r="W318" s="789"/>
      <c r="X318" s="790"/>
      <c r="Y318" s="767"/>
      <c r="Z318" s="767"/>
    </row>
    <row r="319" spans="1:26">
      <c r="A319" s="774"/>
      <c r="B319" s="774"/>
      <c r="C319" s="775">
        <v>310</v>
      </c>
      <c r="D319" s="776"/>
      <c r="E319" s="832"/>
      <c r="F319" s="778"/>
      <c r="G319" s="860"/>
      <c r="H319" s="780"/>
      <c r="I319" s="780"/>
      <c r="J319" s="781"/>
      <c r="K319" s="782"/>
      <c r="L319" s="783"/>
      <c r="M319" s="784"/>
      <c r="N319" s="785"/>
      <c r="O319" s="803"/>
      <c r="P319" s="787"/>
      <c r="Q319" s="861"/>
      <c r="R319" s="778"/>
      <c r="S319" s="780">
        <f t="shared" si="42"/>
        <v>0</v>
      </c>
      <c r="T319" s="754"/>
      <c r="U319" s="789"/>
      <c r="V319" s="789"/>
      <c r="W319" s="789"/>
      <c r="X319" s="789"/>
      <c r="Y319" s="754"/>
      <c r="Z319" s="767"/>
    </row>
    <row r="320" spans="1:26">
      <c r="A320" s="774" t="s">
        <v>856</v>
      </c>
      <c r="B320" s="774" t="s">
        <v>410</v>
      </c>
      <c r="C320" s="775">
        <v>311</v>
      </c>
      <c r="D320" s="774" t="str">
        <f t="shared" ref="D320:D329" si="49">+A320</f>
        <v>4002</v>
      </c>
      <c r="E320" s="832" t="s">
        <v>857</v>
      </c>
      <c r="F320" s="778">
        <v>-259415782.06999999</v>
      </c>
      <c r="G320" s="860">
        <v>-45323066.640000001</v>
      </c>
      <c r="H320" s="780">
        <v>-80057653.469999999</v>
      </c>
      <c r="I320" s="780">
        <v>-111374897.91</v>
      </c>
      <c r="J320" s="781">
        <v>-133185623.67</v>
      </c>
      <c r="K320" s="782">
        <v>-145688899.18000001</v>
      </c>
      <c r="L320" s="783">
        <v>-156892353.78999999</v>
      </c>
      <c r="M320" s="784">
        <v>-165904168.34</v>
      </c>
      <c r="N320" s="785">
        <v>-174315533.75</v>
      </c>
      <c r="O320" s="803">
        <v>-183043818.47999999</v>
      </c>
      <c r="P320" s="787">
        <v>-194186177.81</v>
      </c>
      <c r="Q320" s="861">
        <v>-212005979.94</v>
      </c>
      <c r="R320" s="778">
        <v>-239183463.71000001</v>
      </c>
      <c r="S320" s="780">
        <f t="shared" si="42"/>
        <v>-154273149.65583333</v>
      </c>
      <c r="T320" s="754"/>
      <c r="U320" s="789"/>
      <c r="V320" s="789"/>
      <c r="W320" s="789"/>
      <c r="X320" s="789"/>
      <c r="Y320" s="754"/>
      <c r="Z320" s="767"/>
    </row>
    <row r="321" spans="1:26">
      <c r="A321" s="774" t="s">
        <v>858</v>
      </c>
      <c r="B321" s="774" t="s">
        <v>410</v>
      </c>
      <c r="C321" s="775">
        <v>312</v>
      </c>
      <c r="D321" s="774" t="str">
        <f t="shared" si="49"/>
        <v>4009</v>
      </c>
      <c r="E321" s="832" t="s">
        <v>859</v>
      </c>
      <c r="F321" s="778">
        <v>1552858.97</v>
      </c>
      <c r="G321" s="860">
        <v>4005093.48</v>
      </c>
      <c r="H321" s="780">
        <v>9465204.3399999999</v>
      </c>
      <c r="I321" s="780">
        <v>14048141.210000001</v>
      </c>
      <c r="J321" s="781">
        <v>20361817.25</v>
      </c>
      <c r="K321" s="782">
        <v>22607462.280000001</v>
      </c>
      <c r="L321" s="783">
        <v>24440311.859999999</v>
      </c>
      <c r="M321" s="784">
        <v>24895280.629999999</v>
      </c>
      <c r="N321" s="785">
        <v>25388956.489999998</v>
      </c>
      <c r="O321" s="803">
        <v>24433522.41</v>
      </c>
      <c r="P321" s="787">
        <v>18554333.449999999</v>
      </c>
      <c r="Q321" s="861">
        <v>11888891.560000001</v>
      </c>
      <c r="R321" s="778">
        <v>-3293083.96</v>
      </c>
      <c r="S321" s="780">
        <f t="shared" si="42"/>
        <v>16601575.205416664</v>
      </c>
      <c r="T321" s="754"/>
      <c r="U321" s="789"/>
      <c r="V321" s="789"/>
      <c r="W321" s="789"/>
      <c r="X321" s="789"/>
      <c r="Y321" s="754"/>
      <c r="Z321" s="767"/>
    </row>
    <row r="322" spans="1:26">
      <c r="A322" s="774" t="s">
        <v>860</v>
      </c>
      <c r="B322" s="774" t="s">
        <v>410</v>
      </c>
      <c r="C322" s="775">
        <v>313</v>
      </c>
      <c r="D322" s="774" t="str">
        <f t="shared" si="49"/>
        <v>4880</v>
      </c>
      <c r="E322" s="832" t="s">
        <v>861</v>
      </c>
      <c r="F322" s="778">
        <v>-862217.33</v>
      </c>
      <c r="G322" s="860">
        <v>-89061.94</v>
      </c>
      <c r="H322" s="780">
        <v>-207924.78</v>
      </c>
      <c r="I322" s="780">
        <v>-316588.63</v>
      </c>
      <c r="J322" s="781">
        <v>-419452.29</v>
      </c>
      <c r="K322" s="782">
        <v>-505183.22</v>
      </c>
      <c r="L322" s="783">
        <v>-595431.06999999995</v>
      </c>
      <c r="M322" s="784">
        <v>-645821.11</v>
      </c>
      <c r="N322" s="785">
        <v>-715761.13</v>
      </c>
      <c r="O322" s="803">
        <v>-776822.17</v>
      </c>
      <c r="P322" s="787">
        <v>-845295.21</v>
      </c>
      <c r="Q322" s="861">
        <v>-910819.52</v>
      </c>
      <c r="R322" s="778">
        <v>-988436.27</v>
      </c>
      <c r="S322" s="780">
        <f t="shared" si="42"/>
        <v>-579457.32250000001</v>
      </c>
      <c r="T322" s="754"/>
      <c r="U322" s="789"/>
      <c r="V322" s="789"/>
      <c r="W322" s="789"/>
      <c r="X322" s="789"/>
      <c r="Y322" s="754"/>
      <c r="Z322" s="767"/>
    </row>
    <row r="323" spans="1:26">
      <c r="A323" s="774" t="s">
        <v>142</v>
      </c>
      <c r="B323" s="774" t="s">
        <v>410</v>
      </c>
      <c r="C323" s="775">
        <v>314</v>
      </c>
      <c r="D323" s="774" t="str">
        <f t="shared" si="49"/>
        <v>4890</v>
      </c>
      <c r="E323" s="832" t="s">
        <v>862</v>
      </c>
      <c r="F323" s="778">
        <v>-24386993.02</v>
      </c>
      <c r="G323" s="860">
        <v>-2111413.48</v>
      </c>
      <c r="H323" s="780">
        <v>-4276649.83</v>
      </c>
      <c r="I323" s="780">
        <v>-6316929.8099999996</v>
      </c>
      <c r="J323" s="781">
        <v>-8265672.3399999999</v>
      </c>
      <c r="K323" s="782">
        <v>-10123298.68</v>
      </c>
      <c r="L323" s="783">
        <v>-12024600.52</v>
      </c>
      <c r="M323" s="784">
        <v>-13970366.82</v>
      </c>
      <c r="N323" s="785">
        <v>-15960514.91</v>
      </c>
      <c r="O323" s="803">
        <v>-18108253.84</v>
      </c>
      <c r="P323" s="787">
        <v>-20413780.93</v>
      </c>
      <c r="Q323" s="861">
        <v>-22680148.91</v>
      </c>
      <c r="R323" s="778">
        <v>-24926674.07</v>
      </c>
      <c r="S323" s="780">
        <f t="shared" si="42"/>
        <v>-13242371.967916667</v>
      </c>
      <c r="T323" s="754"/>
      <c r="U323" s="789"/>
      <c r="V323" s="789"/>
      <c r="W323" s="789"/>
      <c r="X323" s="789"/>
      <c r="Y323" s="754"/>
      <c r="Z323" s="767"/>
    </row>
    <row r="324" spans="1:26">
      <c r="A324" s="774" t="s">
        <v>863</v>
      </c>
      <c r="B324" s="774" t="s">
        <v>410</v>
      </c>
      <c r="C324" s="775">
        <v>315</v>
      </c>
      <c r="D324" s="774" t="str">
        <f t="shared" si="49"/>
        <v>4891</v>
      </c>
      <c r="E324" s="832" t="s">
        <v>864</v>
      </c>
      <c r="F324" s="778">
        <v>-32543.279999999999</v>
      </c>
      <c r="G324" s="860">
        <v>-48575.42</v>
      </c>
      <c r="H324" s="780">
        <v>63131.74</v>
      </c>
      <c r="I324" s="780">
        <v>161602.95000000001</v>
      </c>
      <c r="J324" s="781">
        <v>252785.47</v>
      </c>
      <c r="K324" s="782">
        <v>210634.32</v>
      </c>
      <c r="L324" s="783">
        <v>172263.25</v>
      </c>
      <c r="M324" s="784">
        <v>121606.33</v>
      </c>
      <c r="N324" s="785">
        <v>-39854.22</v>
      </c>
      <c r="O324" s="803">
        <v>-201026.47</v>
      </c>
      <c r="P324" s="787">
        <v>-163401.70000000001</v>
      </c>
      <c r="Q324" s="861">
        <v>-142826.20000000001</v>
      </c>
      <c r="R324" s="778">
        <v>-334499.83</v>
      </c>
      <c r="S324" s="780">
        <f t="shared" si="42"/>
        <v>16901.541249999998</v>
      </c>
      <c r="T324" s="754"/>
      <c r="U324" s="789"/>
      <c r="V324" s="789"/>
      <c r="W324" s="789"/>
      <c r="X324" s="789"/>
      <c r="Y324" s="754"/>
      <c r="Z324" s="767"/>
    </row>
    <row r="325" spans="1:26">
      <c r="A325" s="774" t="s">
        <v>144</v>
      </c>
      <c r="B325" s="774" t="s">
        <v>410</v>
      </c>
      <c r="C325" s="775">
        <v>316</v>
      </c>
      <c r="D325" s="774" t="str">
        <f t="shared" si="49"/>
        <v>4930</v>
      </c>
      <c r="E325" s="832" t="s">
        <v>865</v>
      </c>
      <c r="F325" s="778">
        <v>-12100</v>
      </c>
      <c r="G325" s="860">
        <v>-1000</v>
      </c>
      <c r="H325" s="780">
        <v>-2000</v>
      </c>
      <c r="I325" s="780">
        <v>-4000</v>
      </c>
      <c r="J325" s="781">
        <v>-4000</v>
      </c>
      <c r="K325" s="782">
        <v>-5100</v>
      </c>
      <c r="L325" s="783">
        <v>-6100</v>
      </c>
      <c r="M325" s="784">
        <v>-7100</v>
      </c>
      <c r="N325" s="785">
        <v>-8100</v>
      </c>
      <c r="O325" s="803">
        <v>-9100</v>
      </c>
      <c r="P325" s="787">
        <v>-10100</v>
      </c>
      <c r="Q325" s="861">
        <v>-11100</v>
      </c>
      <c r="R325" s="778">
        <v>-12100</v>
      </c>
      <c r="S325" s="780">
        <f t="shared" si="42"/>
        <v>-6650</v>
      </c>
      <c r="T325" s="754"/>
      <c r="U325" s="789"/>
      <c r="V325" s="789"/>
      <c r="W325" s="789"/>
      <c r="X325" s="789"/>
      <c r="Y325" s="754"/>
      <c r="Z325" s="767"/>
    </row>
    <row r="326" spans="1:26">
      <c r="A326" s="774" t="s">
        <v>146</v>
      </c>
      <c r="B326" s="774" t="s">
        <v>410</v>
      </c>
      <c r="C326" s="775">
        <v>317</v>
      </c>
      <c r="D326" s="774" t="str">
        <f t="shared" si="49"/>
        <v>4940</v>
      </c>
      <c r="E326" s="774" t="s">
        <v>147</v>
      </c>
      <c r="F326" s="778">
        <v>-102660</v>
      </c>
      <c r="G326" s="860">
        <v>-10127</v>
      </c>
      <c r="H326" s="780">
        <v>-20254</v>
      </c>
      <c r="I326" s="780">
        <v>-30381</v>
      </c>
      <c r="J326" s="781">
        <v>-40508</v>
      </c>
      <c r="K326" s="782">
        <v>-50635</v>
      </c>
      <c r="L326" s="783">
        <v>-60762</v>
      </c>
      <c r="M326" s="784">
        <v>-70889</v>
      </c>
      <c r="N326" s="785">
        <v>-81016</v>
      </c>
      <c r="O326" s="803">
        <v>-91143</v>
      </c>
      <c r="P326" s="787">
        <v>-101270</v>
      </c>
      <c r="Q326" s="861">
        <v>-111397</v>
      </c>
      <c r="R326" s="778">
        <v>-121524</v>
      </c>
      <c r="S326" s="780">
        <f t="shared" si="42"/>
        <v>-65039.5</v>
      </c>
      <c r="T326" s="754"/>
      <c r="U326" s="789"/>
      <c r="V326" s="789"/>
      <c r="W326" s="789"/>
      <c r="X326" s="789"/>
      <c r="Y326" s="754"/>
      <c r="Z326" s="767"/>
    </row>
    <row r="327" spans="1:26">
      <c r="A327" s="774" t="s">
        <v>148</v>
      </c>
      <c r="B327" s="774" t="s">
        <v>410</v>
      </c>
      <c r="C327" s="775">
        <v>318</v>
      </c>
      <c r="D327" s="774" t="str">
        <f t="shared" si="49"/>
        <v>4950</v>
      </c>
      <c r="E327" s="832" t="s">
        <v>866</v>
      </c>
      <c r="F327" s="778">
        <v>-285467.40999999997</v>
      </c>
      <c r="G327" s="860">
        <v>-6338.56</v>
      </c>
      <c r="H327" s="780">
        <v>-33925.410000000003</v>
      </c>
      <c r="I327" s="780">
        <v>-57596.61</v>
      </c>
      <c r="J327" s="781">
        <v>-65771.899999999994</v>
      </c>
      <c r="K327" s="782">
        <v>-75369.960000000006</v>
      </c>
      <c r="L327" s="783">
        <v>-101903.1</v>
      </c>
      <c r="M327" s="784">
        <v>-117269.58</v>
      </c>
      <c r="N327" s="785">
        <v>-125429.82</v>
      </c>
      <c r="O327" s="803">
        <v>-147744.69</v>
      </c>
      <c r="P327" s="787">
        <v>-129394.63</v>
      </c>
      <c r="Q327" s="861">
        <v>-137718.89000000001</v>
      </c>
      <c r="R327" s="778">
        <v>-152621.38</v>
      </c>
      <c r="S327" s="780">
        <f t="shared" si="42"/>
        <v>-101458.96208333335</v>
      </c>
      <c r="T327" s="754"/>
      <c r="U327" s="789"/>
      <c r="V327" s="789"/>
      <c r="W327" s="789"/>
      <c r="X327" s="789"/>
      <c r="Y327" s="754"/>
      <c r="Z327" s="767"/>
    </row>
    <row r="328" spans="1:26">
      <c r="A328" s="774" t="s">
        <v>867</v>
      </c>
      <c r="B328" s="774" t="s">
        <v>410</v>
      </c>
      <c r="C328" s="775">
        <v>319</v>
      </c>
      <c r="D328" s="774" t="str">
        <f t="shared" si="49"/>
        <v>4962</v>
      </c>
      <c r="E328" s="832" t="s">
        <v>868</v>
      </c>
      <c r="F328" s="778">
        <v>0</v>
      </c>
      <c r="G328" s="860">
        <v>0</v>
      </c>
      <c r="H328" s="780">
        <v>0</v>
      </c>
      <c r="I328" s="780">
        <v>0</v>
      </c>
      <c r="J328" s="781">
        <v>0</v>
      </c>
      <c r="K328" s="782">
        <v>0</v>
      </c>
      <c r="L328" s="783">
        <v>0</v>
      </c>
      <c r="M328" s="784">
        <v>0</v>
      </c>
      <c r="N328" s="785">
        <v>0</v>
      </c>
      <c r="O328" s="803">
        <v>0</v>
      </c>
      <c r="P328" s="787">
        <v>0</v>
      </c>
      <c r="Q328" s="861">
        <v>0</v>
      </c>
      <c r="R328" s="778">
        <v>0</v>
      </c>
      <c r="S328" s="780">
        <f t="shared" si="42"/>
        <v>0</v>
      </c>
      <c r="T328" s="754"/>
      <c r="U328" s="789"/>
      <c r="V328" s="789"/>
      <c r="W328" s="789"/>
      <c r="X328" s="789"/>
      <c r="Y328" s="754"/>
      <c r="Z328" s="767"/>
    </row>
    <row r="329" spans="1:26">
      <c r="A329" s="774" t="s">
        <v>869</v>
      </c>
      <c r="B329" s="774" t="s">
        <v>410</v>
      </c>
      <c r="C329" s="775">
        <v>320</v>
      </c>
      <c r="D329" s="774" t="str">
        <f t="shared" si="49"/>
        <v>5000</v>
      </c>
      <c r="E329" s="832" t="s">
        <v>870</v>
      </c>
      <c r="F329" s="778">
        <v>0</v>
      </c>
      <c r="G329" s="860">
        <v>0</v>
      </c>
      <c r="H329" s="780">
        <v>0</v>
      </c>
      <c r="I329" s="780">
        <v>0</v>
      </c>
      <c r="J329" s="781">
        <v>0</v>
      </c>
      <c r="K329" s="782">
        <v>0</v>
      </c>
      <c r="L329" s="783">
        <v>0</v>
      </c>
      <c r="M329" s="784">
        <v>0</v>
      </c>
      <c r="N329" s="785">
        <v>0</v>
      </c>
      <c r="O329" s="803">
        <v>0</v>
      </c>
      <c r="P329" s="787">
        <v>0</v>
      </c>
      <c r="Q329" s="861">
        <v>0</v>
      </c>
      <c r="R329" s="778">
        <v>0</v>
      </c>
      <c r="S329" s="780">
        <f t="shared" si="42"/>
        <v>0</v>
      </c>
      <c r="T329" s="754"/>
      <c r="U329" s="789"/>
      <c r="V329" s="789"/>
      <c r="W329" s="789"/>
      <c r="X329" s="789"/>
      <c r="Y329" s="767"/>
      <c r="Z329" s="767"/>
    </row>
    <row r="330" spans="1:26">
      <c r="A330" s="774"/>
      <c r="B330" s="774"/>
      <c r="C330" s="775">
        <v>321</v>
      </c>
      <c r="D330" s="776"/>
      <c r="E330" s="832" t="s">
        <v>871</v>
      </c>
      <c r="F330" s="802">
        <f>SUM(F320:F329)</f>
        <v>-283544904.13999999</v>
      </c>
      <c r="G330" s="802">
        <f t="shared" ref="G330:S330" si="50">SUM(G320:G329)</f>
        <v>-43584489.560000002</v>
      </c>
      <c r="H330" s="802">
        <f t="shared" si="50"/>
        <v>-75070071.409999996</v>
      </c>
      <c r="I330" s="802">
        <f t="shared" si="50"/>
        <v>-103890649.79999998</v>
      </c>
      <c r="J330" s="802">
        <f t="shared" si="50"/>
        <v>-121366425.48000002</v>
      </c>
      <c r="K330" s="802">
        <f t="shared" si="50"/>
        <v>-133630389.44000001</v>
      </c>
      <c r="L330" s="802">
        <f t="shared" si="50"/>
        <v>-145068575.36999997</v>
      </c>
      <c r="M330" s="802">
        <f t="shared" si="50"/>
        <v>-155698727.89000002</v>
      </c>
      <c r="N330" s="802">
        <f t="shared" si="50"/>
        <v>-165857253.33999997</v>
      </c>
      <c r="O330" s="802">
        <f t="shared" si="50"/>
        <v>-177944386.23999998</v>
      </c>
      <c r="P330" s="802">
        <f t="shared" si="50"/>
        <v>-197295086.83000001</v>
      </c>
      <c r="Q330" s="802">
        <f t="shared" si="50"/>
        <v>-224111098.89999998</v>
      </c>
      <c r="R330" s="802">
        <f t="shared" si="50"/>
        <v>-269012403.22000003</v>
      </c>
      <c r="S330" s="802">
        <f t="shared" si="50"/>
        <v>-151649650.66166669</v>
      </c>
      <c r="T330" s="758"/>
      <c r="U330" s="790">
        <f>S330</f>
        <v>-151649650.66166669</v>
      </c>
      <c r="V330" s="789"/>
      <c r="W330" s="789"/>
      <c r="X330" s="790"/>
      <c r="Y330" s="889"/>
      <c r="Z330" s="767"/>
    </row>
    <row r="331" spans="1:26">
      <c r="A331" s="774"/>
      <c r="B331" s="774"/>
      <c r="C331" s="775">
        <v>322</v>
      </c>
      <c r="D331" s="776"/>
      <c r="E331" s="832"/>
      <c r="F331" s="778"/>
      <c r="G331" s="860"/>
      <c r="H331" s="780"/>
      <c r="I331" s="780"/>
      <c r="J331" s="781"/>
      <c r="K331" s="782"/>
      <c r="L331" s="783"/>
      <c r="M331" s="784"/>
      <c r="N331" s="785"/>
      <c r="O331" s="803"/>
      <c r="P331" s="787"/>
      <c r="Q331" s="861"/>
      <c r="R331" s="778"/>
      <c r="S331" s="780">
        <f t="shared" si="42"/>
        <v>0</v>
      </c>
      <c r="T331" s="754"/>
      <c r="U331" s="789"/>
      <c r="V331" s="789"/>
      <c r="W331" s="789"/>
      <c r="X331" s="789"/>
      <c r="Y331" s="889"/>
      <c r="Z331" s="767"/>
    </row>
    <row r="332" spans="1:26">
      <c r="A332" s="774" t="s">
        <v>872</v>
      </c>
      <c r="B332" s="774" t="s">
        <v>630</v>
      </c>
      <c r="C332" s="775">
        <v>323</v>
      </c>
      <c r="D332" s="752" t="str">
        <f>A332&amp;"."&amp;B332</f>
        <v>4190.[/011]</v>
      </c>
      <c r="E332" s="774" t="s">
        <v>344</v>
      </c>
      <c r="F332" s="778">
        <v>-9071565.0700000003</v>
      </c>
      <c r="G332" s="860">
        <v>-29025.52</v>
      </c>
      <c r="H332" s="780">
        <v>-50867.63</v>
      </c>
      <c r="I332" s="780">
        <v>-107953.26</v>
      </c>
      <c r="J332" s="781">
        <v>-147646.09</v>
      </c>
      <c r="K332" s="782">
        <v>-193698.04</v>
      </c>
      <c r="L332" s="783">
        <v>-252297.46</v>
      </c>
      <c r="M332" s="784">
        <v>-307123.62</v>
      </c>
      <c r="N332" s="785">
        <v>-449347.6</v>
      </c>
      <c r="O332" s="803">
        <v>-500575.91</v>
      </c>
      <c r="P332" s="787">
        <v>-538645.17000000004</v>
      </c>
      <c r="Q332" s="861">
        <v>-565602.80000000005</v>
      </c>
      <c r="R332" s="778">
        <v>-610339.98</v>
      </c>
      <c r="S332" s="780">
        <f t="shared" ref="S332:S341" si="51">((F332+R332)+((G332+H332+I332+J332+K332+L332+M332+N332+O332+P332+Q332)*2))/24</f>
        <v>-665311.30208333337</v>
      </c>
      <c r="T332" s="754"/>
      <c r="U332" s="789"/>
      <c r="V332" s="789"/>
      <c r="W332" s="789"/>
      <c r="X332" s="789"/>
      <c r="Y332" s="754"/>
      <c r="Z332" s="767"/>
    </row>
    <row r="333" spans="1:26">
      <c r="A333" s="774" t="s">
        <v>872</v>
      </c>
      <c r="B333" s="774" t="s">
        <v>631</v>
      </c>
      <c r="C333" s="775">
        <v>324</v>
      </c>
      <c r="D333" s="752" t="str">
        <f>A333&amp;"."&amp;B333</f>
        <v>4190.011</v>
      </c>
      <c r="E333" s="774" t="s">
        <v>873</v>
      </c>
      <c r="F333" s="778">
        <v>-266466</v>
      </c>
      <c r="G333" s="860">
        <v>0</v>
      </c>
      <c r="H333" s="780">
        <v>0</v>
      </c>
      <c r="I333" s="780">
        <v>0</v>
      </c>
      <c r="J333" s="781">
        <v>0</v>
      </c>
      <c r="K333" s="782">
        <v>0</v>
      </c>
      <c r="L333" s="783">
        <v>0</v>
      </c>
      <c r="M333" s="784">
        <v>0</v>
      </c>
      <c r="N333" s="785">
        <v>0</v>
      </c>
      <c r="O333" s="803">
        <v>0</v>
      </c>
      <c r="P333" s="787">
        <v>0</v>
      </c>
      <c r="Q333" s="861">
        <v>0</v>
      </c>
      <c r="R333" s="778">
        <v>0</v>
      </c>
      <c r="S333" s="780">
        <f t="shared" si="51"/>
        <v>-11102.75</v>
      </c>
      <c r="T333" s="754"/>
      <c r="U333" s="789"/>
      <c r="V333" s="789"/>
      <c r="W333" s="789"/>
      <c r="X333" s="789"/>
      <c r="Y333" s="754"/>
      <c r="Z333" s="767"/>
    </row>
    <row r="334" spans="1:26">
      <c r="A334" s="774" t="s">
        <v>874</v>
      </c>
      <c r="B334" s="774" t="s">
        <v>410</v>
      </c>
      <c r="C334" s="775">
        <v>325</v>
      </c>
      <c r="D334" s="774" t="str">
        <f>+A334</f>
        <v>4210</v>
      </c>
      <c r="E334" s="832" t="s">
        <v>875</v>
      </c>
      <c r="F334" s="778">
        <v>-18356.8</v>
      </c>
      <c r="G334" s="860">
        <v>-874.82</v>
      </c>
      <c r="H334" s="780">
        <v>-1908.15</v>
      </c>
      <c r="I334" s="780">
        <v>-4196.79</v>
      </c>
      <c r="J334" s="781">
        <v>-6825.79</v>
      </c>
      <c r="K334" s="782">
        <v>-8774.06</v>
      </c>
      <c r="L334" s="783">
        <v>-9713.98</v>
      </c>
      <c r="M334" s="784">
        <v>-10601.3</v>
      </c>
      <c r="N334" s="785">
        <v>-12623.65</v>
      </c>
      <c r="O334" s="803">
        <v>-13521.06</v>
      </c>
      <c r="P334" s="787">
        <v>-15150.16</v>
      </c>
      <c r="Q334" s="861">
        <v>-16277.85</v>
      </c>
      <c r="R334" s="778">
        <v>-17666.43</v>
      </c>
      <c r="S334" s="780">
        <f t="shared" si="51"/>
        <v>-9873.2687500000011</v>
      </c>
      <c r="T334" s="754"/>
      <c r="U334" s="789"/>
      <c r="V334" s="789"/>
      <c r="W334" s="789"/>
      <c r="X334" s="789"/>
      <c r="Y334" s="754"/>
      <c r="Z334" s="767"/>
    </row>
    <row r="335" spans="1:26">
      <c r="A335" s="774" t="s">
        <v>876</v>
      </c>
      <c r="B335" s="774" t="s">
        <v>410</v>
      </c>
      <c r="C335" s="775">
        <v>326</v>
      </c>
      <c r="D335" s="774" t="str">
        <f>+A335</f>
        <v>4181</v>
      </c>
      <c r="E335" s="832" t="s">
        <v>877</v>
      </c>
      <c r="F335" s="778">
        <v>0</v>
      </c>
      <c r="G335" s="860">
        <v>0</v>
      </c>
      <c r="H335" s="780">
        <v>0</v>
      </c>
      <c r="I335" s="780">
        <v>0</v>
      </c>
      <c r="J335" s="781">
        <v>0</v>
      </c>
      <c r="K335" s="782">
        <v>0</v>
      </c>
      <c r="L335" s="783">
        <v>0</v>
      </c>
      <c r="M335" s="784">
        <v>0</v>
      </c>
      <c r="N335" s="785">
        <v>0</v>
      </c>
      <c r="O335" s="803">
        <v>0</v>
      </c>
      <c r="P335" s="787">
        <v>0</v>
      </c>
      <c r="Q335" s="861">
        <v>0</v>
      </c>
      <c r="R335" s="778">
        <v>0</v>
      </c>
      <c r="S335" s="780">
        <f t="shared" si="51"/>
        <v>0</v>
      </c>
      <c r="T335" s="767"/>
      <c r="U335" s="789"/>
      <c r="V335" s="789"/>
      <c r="W335" s="789"/>
      <c r="X335" s="789"/>
      <c r="Y335" s="767"/>
      <c r="Z335" s="767"/>
    </row>
    <row r="336" spans="1:26">
      <c r="A336" s="774" t="s">
        <v>878</v>
      </c>
      <c r="B336" s="774" t="s">
        <v>410</v>
      </c>
      <c r="C336" s="775">
        <v>327</v>
      </c>
      <c r="D336" s="774" t="str">
        <f>+A336</f>
        <v>4191</v>
      </c>
      <c r="E336" s="832" t="s">
        <v>879</v>
      </c>
      <c r="F336" s="778">
        <v>-461795.53</v>
      </c>
      <c r="G336" s="860">
        <v>-29021.1</v>
      </c>
      <c r="H336" s="780">
        <v>-54203.92</v>
      </c>
      <c r="I336" s="780">
        <v>-92338.3</v>
      </c>
      <c r="J336" s="781">
        <v>-91063.83</v>
      </c>
      <c r="K336" s="782">
        <v>-129349.55</v>
      </c>
      <c r="L336" s="783">
        <v>-160628.41</v>
      </c>
      <c r="M336" s="784">
        <v>-201601.98</v>
      </c>
      <c r="N336" s="785">
        <v>-250733</v>
      </c>
      <c r="O336" s="803">
        <v>-287568.37</v>
      </c>
      <c r="P336" s="787">
        <v>-311815.55</v>
      </c>
      <c r="Q336" s="861">
        <v>-336889.55</v>
      </c>
      <c r="R336" s="778">
        <v>-361161.84</v>
      </c>
      <c r="S336" s="780">
        <f t="shared" si="51"/>
        <v>-196391.02041666667</v>
      </c>
      <c r="T336" s="767"/>
      <c r="U336" s="789"/>
      <c r="V336" s="789"/>
      <c r="W336" s="789"/>
      <c r="X336" s="789"/>
      <c r="Y336" s="767"/>
      <c r="Z336" s="767"/>
    </row>
    <row r="337" spans="1:26">
      <c r="A337" s="774" t="s">
        <v>880</v>
      </c>
      <c r="B337" s="774" t="s">
        <v>410</v>
      </c>
      <c r="C337" s="775">
        <v>328</v>
      </c>
      <c r="D337" s="774" t="str">
        <f>+A337</f>
        <v>4320</v>
      </c>
      <c r="E337" s="832" t="s">
        <v>881</v>
      </c>
      <c r="F337" s="778">
        <v>-301152.05</v>
      </c>
      <c r="G337" s="860">
        <v>-22929.03</v>
      </c>
      <c r="H337" s="780">
        <v>-42826.400000000001</v>
      </c>
      <c r="I337" s="780">
        <v>-72947.17</v>
      </c>
      <c r="J337" s="781">
        <v>-72054</v>
      </c>
      <c r="K337" s="782">
        <v>-102293.68</v>
      </c>
      <c r="L337" s="783">
        <v>-127016.07</v>
      </c>
      <c r="M337" s="784">
        <v>-159387.71</v>
      </c>
      <c r="N337" s="785">
        <v>-198194.02</v>
      </c>
      <c r="O337" s="803">
        <v>-227335.52</v>
      </c>
      <c r="P337" s="787">
        <v>-246439.59</v>
      </c>
      <c r="Q337" s="861">
        <v>-266243.59000000003</v>
      </c>
      <c r="R337" s="778">
        <v>-284974.61</v>
      </c>
      <c r="S337" s="780">
        <f t="shared" si="51"/>
        <v>-152560.8425</v>
      </c>
      <c r="T337" s="767"/>
      <c r="U337" s="789"/>
      <c r="V337" s="789"/>
      <c r="W337" s="789"/>
      <c r="X337" s="789"/>
      <c r="Y337" s="767"/>
      <c r="Z337" s="767"/>
    </row>
    <row r="338" spans="1:26">
      <c r="A338" s="774" t="s">
        <v>882</v>
      </c>
      <c r="B338" s="774" t="s">
        <v>410</v>
      </c>
      <c r="C338" s="775">
        <v>329</v>
      </c>
      <c r="D338" s="774" t="str">
        <f>+A338</f>
        <v>4170</v>
      </c>
      <c r="E338" s="832" t="s">
        <v>883</v>
      </c>
      <c r="F338" s="778">
        <v>-9824.85</v>
      </c>
      <c r="G338" s="860">
        <v>-619.09</v>
      </c>
      <c r="H338" s="780">
        <v>-963.86</v>
      </c>
      <c r="I338" s="780">
        <v>-1577.61</v>
      </c>
      <c r="J338" s="781">
        <v>-2193.21</v>
      </c>
      <c r="K338" s="782">
        <v>-2193.21</v>
      </c>
      <c r="L338" s="783">
        <v>-2193.21</v>
      </c>
      <c r="M338" s="784">
        <v>-2376.23</v>
      </c>
      <c r="N338" s="785">
        <v>-2619.19</v>
      </c>
      <c r="O338" s="803">
        <v>-3557.12</v>
      </c>
      <c r="P338" s="787">
        <v>-4236.55</v>
      </c>
      <c r="Q338" s="861">
        <v>-4896.0200000000004</v>
      </c>
      <c r="R338" s="778">
        <v>-6275.73</v>
      </c>
      <c r="S338" s="780">
        <f t="shared" si="51"/>
        <v>-2956.2991666666662</v>
      </c>
      <c r="T338" s="767"/>
      <c r="U338" s="789"/>
      <c r="V338" s="789"/>
      <c r="W338" s="789"/>
      <c r="X338" s="789"/>
      <c r="Y338" s="767"/>
      <c r="Z338" s="767"/>
    </row>
    <row r="339" spans="1:26">
      <c r="A339" s="750"/>
      <c r="B339" s="750"/>
      <c r="C339" s="775">
        <v>330</v>
      </c>
      <c r="D339" s="752"/>
      <c r="E339" s="832"/>
      <c r="F339" s="778"/>
      <c r="G339" s="860"/>
      <c r="H339" s="780"/>
      <c r="I339" s="780"/>
      <c r="J339" s="781"/>
      <c r="K339" s="782"/>
      <c r="L339" s="783"/>
      <c r="M339" s="784"/>
      <c r="N339" s="785"/>
      <c r="O339" s="803"/>
      <c r="P339" s="787"/>
      <c r="Q339" s="861"/>
      <c r="R339" s="778"/>
      <c r="S339" s="780">
        <f t="shared" si="51"/>
        <v>0</v>
      </c>
      <c r="T339" s="767"/>
      <c r="U339" s="789"/>
      <c r="V339" s="789"/>
      <c r="W339" s="789"/>
      <c r="X339" s="789"/>
      <c r="Y339" s="767"/>
      <c r="Z339" s="767"/>
    </row>
    <row r="340" spans="1:26">
      <c r="A340" s="750"/>
      <c r="B340" s="750"/>
      <c r="C340" s="775">
        <v>331</v>
      </c>
      <c r="D340" s="752"/>
      <c r="E340" s="832" t="s">
        <v>884</v>
      </c>
      <c r="F340" s="802">
        <f>SUM(F332:F338)</f>
        <v>-10129160.300000001</v>
      </c>
      <c r="G340" s="802">
        <f t="shared" ref="G340:S340" si="52">SUM(G332:G338)</f>
        <v>-82469.56</v>
      </c>
      <c r="H340" s="802">
        <f t="shared" si="52"/>
        <v>-150769.96</v>
      </c>
      <c r="I340" s="802">
        <f t="shared" si="52"/>
        <v>-279013.12999999995</v>
      </c>
      <c r="J340" s="802">
        <f t="shared" si="52"/>
        <v>-319782.92000000004</v>
      </c>
      <c r="K340" s="802">
        <f t="shared" si="52"/>
        <v>-436308.54000000004</v>
      </c>
      <c r="L340" s="802">
        <f t="shared" si="52"/>
        <v>-551849.12999999989</v>
      </c>
      <c r="M340" s="802">
        <f t="shared" si="52"/>
        <v>-681090.84</v>
      </c>
      <c r="N340" s="802">
        <f t="shared" si="52"/>
        <v>-913517.46</v>
      </c>
      <c r="O340" s="802">
        <f t="shared" si="52"/>
        <v>-1032557.98</v>
      </c>
      <c r="P340" s="802">
        <f t="shared" si="52"/>
        <v>-1116287.0200000003</v>
      </c>
      <c r="Q340" s="802">
        <f t="shared" si="52"/>
        <v>-1189909.81</v>
      </c>
      <c r="R340" s="802">
        <f t="shared" si="52"/>
        <v>-1280418.5899999999</v>
      </c>
      <c r="S340" s="802">
        <f t="shared" si="52"/>
        <v>-1038195.4829166668</v>
      </c>
      <c r="T340" s="767"/>
      <c r="U340" s="790">
        <f>S340</f>
        <v>-1038195.4829166668</v>
      </c>
      <c r="V340" s="789"/>
      <c r="W340" s="789"/>
      <c r="X340" s="790"/>
      <c r="Y340" s="767"/>
      <c r="Z340" s="767"/>
    </row>
    <row r="341" spans="1:26">
      <c r="A341" s="750"/>
      <c r="B341" s="750"/>
      <c r="C341" s="775">
        <v>332</v>
      </c>
      <c r="D341" s="752"/>
      <c r="E341" s="832"/>
      <c r="F341" s="778"/>
      <c r="G341" s="860"/>
      <c r="H341" s="780"/>
      <c r="I341" s="780"/>
      <c r="J341" s="781"/>
      <c r="K341" s="782"/>
      <c r="L341" s="783"/>
      <c r="M341" s="784"/>
      <c r="N341" s="785"/>
      <c r="O341" s="803"/>
      <c r="P341" s="787"/>
      <c r="Q341" s="861"/>
      <c r="R341" s="778"/>
      <c r="S341" s="780">
        <f t="shared" si="51"/>
        <v>0</v>
      </c>
      <c r="T341" s="767"/>
      <c r="U341" s="754"/>
      <c r="V341" s="754"/>
      <c r="W341" s="754"/>
      <c r="X341" s="754"/>
      <c r="Y341" s="767"/>
      <c r="Z341" s="767"/>
    </row>
    <row r="342" spans="1:26" ht="16.5" thickBot="1">
      <c r="A342" s="750"/>
      <c r="B342" s="750"/>
      <c r="C342" s="775">
        <v>333</v>
      </c>
      <c r="D342" s="752"/>
      <c r="E342" s="832" t="s">
        <v>885</v>
      </c>
      <c r="F342" s="880">
        <f>+F340+F330+F318+F312+F295+F275+F274+F273+F272+F271+F270+F269+F268+F266+F234+F213</f>
        <v>-957808188.96000004</v>
      </c>
      <c r="G342" s="880">
        <f t="shared" ref="G342:S342" si="53">+G340+G330+G318+G312+G295+G275+G274+G273+G272+G271+G270+G269+G268+G266+G234+G213</f>
        <v>-702758578.59000003</v>
      </c>
      <c r="H342" s="880">
        <f t="shared" si="53"/>
        <v>-735000254.90999997</v>
      </c>
      <c r="I342" s="880">
        <f t="shared" si="53"/>
        <v>-765442960.05999994</v>
      </c>
      <c r="J342" s="880">
        <f t="shared" si="53"/>
        <v>-772363559.81000018</v>
      </c>
      <c r="K342" s="880">
        <f t="shared" si="53"/>
        <v>-787640044.00999999</v>
      </c>
      <c r="L342" s="880">
        <f t="shared" si="53"/>
        <v>-797992253.01000011</v>
      </c>
      <c r="M342" s="880">
        <f t="shared" si="53"/>
        <v>-804112169.55000007</v>
      </c>
      <c r="N342" s="880">
        <f t="shared" si="53"/>
        <v>-813852966.13999999</v>
      </c>
      <c r="O342" s="880">
        <f t="shared" si="53"/>
        <v>-825107690.84000003</v>
      </c>
      <c r="P342" s="880">
        <f t="shared" si="53"/>
        <v>-852872870.34000003</v>
      </c>
      <c r="Q342" s="880">
        <f t="shared" si="53"/>
        <v>-886611525.82000005</v>
      </c>
      <c r="R342" s="880">
        <f t="shared" si="53"/>
        <v>-945811407.7700001</v>
      </c>
      <c r="S342" s="880">
        <f t="shared" si="53"/>
        <v>-807963722.62041676</v>
      </c>
      <c r="T342" s="754" t="s">
        <v>886</v>
      </c>
      <c r="U342" s="890">
        <f>SUM(U10:U341)</f>
        <v>-401629941.89166671</v>
      </c>
      <c r="V342" s="890">
        <f>SUM(V10:V341)</f>
        <v>333641208.78666663</v>
      </c>
      <c r="W342" s="890">
        <f>SUM(W10:W341)</f>
        <v>31260829.359166674</v>
      </c>
      <c r="X342" s="890">
        <f>SUM(X10:X341)</f>
        <v>36727903.7458333</v>
      </c>
      <c r="Y342" s="889"/>
      <c r="Z342" s="767"/>
    </row>
    <row r="343" spans="1:26" ht="16.5" thickTop="1">
      <c r="A343" s="750"/>
      <c r="B343" s="750"/>
      <c r="C343" s="775">
        <v>334</v>
      </c>
      <c r="D343" s="752"/>
      <c r="E343" s="832"/>
      <c r="F343" s="777"/>
      <c r="G343" s="777"/>
      <c r="H343" s="777"/>
      <c r="I343" s="777"/>
      <c r="J343" s="777"/>
      <c r="K343" s="777"/>
      <c r="L343" s="777"/>
      <c r="M343" s="777"/>
      <c r="N343" s="777"/>
      <c r="O343" s="777"/>
      <c r="P343" s="777"/>
      <c r="Q343" s="777"/>
      <c r="R343" s="777"/>
      <c r="S343" s="777"/>
      <c r="T343" s="758" t="s">
        <v>887</v>
      </c>
      <c r="U343" s="890"/>
      <c r="V343" s="890"/>
      <c r="W343" s="891">
        <f>W342+V342</f>
        <v>364902038.14583331</v>
      </c>
      <c r="X343" s="890"/>
      <c r="Y343" s="767"/>
      <c r="Z343" s="767"/>
    </row>
    <row r="344" spans="1:26">
      <c r="A344" s="750"/>
      <c r="B344" s="750"/>
      <c r="C344" s="775">
        <v>335</v>
      </c>
      <c r="D344" s="892"/>
      <c r="E344" s="832"/>
      <c r="F344" s="757"/>
      <c r="G344" s="757"/>
      <c r="H344" s="757"/>
      <c r="I344" s="757"/>
      <c r="J344" s="757"/>
      <c r="K344" s="757"/>
      <c r="L344" s="757"/>
      <c r="M344" s="757"/>
      <c r="N344" s="757"/>
      <c r="O344" s="757"/>
      <c r="P344" s="757"/>
      <c r="Q344" s="757"/>
      <c r="S344" s="777"/>
      <c r="T344" s="754" t="s">
        <v>888</v>
      </c>
      <c r="U344" s="889"/>
      <c r="V344" s="767"/>
      <c r="W344" s="893" t="s">
        <v>1017</v>
      </c>
      <c r="X344" s="894">
        <f>X342/W343</f>
        <v>0.10065140751873512</v>
      </c>
      <c r="Y344" s="767"/>
      <c r="Z344" s="767"/>
    </row>
    <row r="345" spans="1:26">
      <c r="A345" s="757"/>
      <c r="B345" s="757"/>
      <c r="C345" s="765"/>
      <c r="D345" s="757"/>
      <c r="E345" s="757"/>
      <c r="F345" s="752"/>
      <c r="G345" s="757"/>
      <c r="H345" s="757"/>
      <c r="I345" s="757"/>
      <c r="J345" s="757"/>
      <c r="K345" s="757"/>
      <c r="L345" s="757"/>
      <c r="M345" s="757"/>
      <c r="N345" s="757"/>
      <c r="O345" s="757"/>
      <c r="P345" s="757"/>
      <c r="Q345" s="757"/>
      <c r="R345" s="757"/>
      <c r="S345" s="752"/>
      <c r="T345" s="776"/>
      <c r="U345" s="767"/>
      <c r="V345" s="757"/>
      <c r="W345" s="757"/>
      <c r="X345" s="757"/>
      <c r="Y345" s="752"/>
      <c r="Z345" s="767"/>
    </row>
    <row r="346" spans="1:26">
      <c r="A346" s="757"/>
      <c r="B346" s="757"/>
      <c r="C346" s="765"/>
      <c r="D346" s="757"/>
      <c r="E346" s="757"/>
      <c r="F346" s="752"/>
      <c r="G346" s="757"/>
      <c r="H346" s="757"/>
      <c r="I346" s="757"/>
      <c r="J346" s="757"/>
      <c r="K346" s="757"/>
      <c r="L346" s="757"/>
      <c r="M346" s="757"/>
      <c r="N346" s="757"/>
      <c r="O346" s="757"/>
      <c r="P346" s="757"/>
      <c r="Q346" s="757"/>
      <c r="R346" s="757"/>
      <c r="S346" s="752"/>
      <c r="T346" s="776"/>
      <c r="U346" s="767"/>
      <c r="V346" s="757"/>
      <c r="W346" s="757"/>
      <c r="X346" s="757"/>
      <c r="Y346" s="752"/>
      <c r="Z346" s="767"/>
    </row>
    <row r="347" spans="1:26">
      <c r="A347" s="757"/>
      <c r="B347" s="757"/>
      <c r="C347" s="765"/>
      <c r="D347" s="757"/>
      <c r="E347" s="757"/>
      <c r="F347" s="752"/>
      <c r="G347" s="757"/>
      <c r="H347" s="757"/>
      <c r="I347" s="757"/>
      <c r="J347" s="757"/>
      <c r="K347" s="757"/>
      <c r="L347" s="757"/>
      <c r="M347" s="757"/>
      <c r="N347" s="757"/>
      <c r="O347" s="757"/>
      <c r="P347" s="757"/>
      <c r="Q347" s="757"/>
      <c r="R347" s="757"/>
      <c r="S347" s="752"/>
      <c r="T347" s="776"/>
      <c r="U347" s="767"/>
      <c r="V347" s="757"/>
      <c r="W347" s="757"/>
      <c r="X347" s="757"/>
      <c r="Y347" s="752"/>
      <c r="Z347" s="767"/>
    </row>
    <row r="348" spans="1:26">
      <c r="A348" s="757"/>
      <c r="B348" s="757"/>
      <c r="C348" s="765"/>
      <c r="D348" s="757"/>
      <c r="E348" s="757"/>
      <c r="F348" s="757"/>
      <c r="G348" s="757"/>
      <c r="H348" s="757"/>
      <c r="I348" s="752"/>
      <c r="J348" s="757"/>
      <c r="K348" s="757"/>
      <c r="L348" s="757"/>
      <c r="M348" s="757"/>
      <c r="N348" s="757"/>
      <c r="O348" s="757"/>
      <c r="P348" s="757"/>
      <c r="Q348" s="757"/>
      <c r="R348" s="757"/>
      <c r="S348" s="752"/>
      <c r="T348" s="776"/>
      <c r="U348" s="767"/>
      <c r="V348" s="757"/>
      <c r="W348" s="757"/>
      <c r="X348" s="757"/>
      <c r="Y348" s="752"/>
      <c r="Z348" s="767"/>
    </row>
    <row r="349" spans="1:26">
      <c r="A349" s="757"/>
      <c r="B349" s="757"/>
      <c r="C349" s="765"/>
      <c r="D349" s="757"/>
      <c r="E349" s="757"/>
      <c r="F349" s="757"/>
      <c r="G349" s="757"/>
      <c r="H349" s="757"/>
      <c r="I349" s="752"/>
      <c r="J349" s="757"/>
      <c r="K349" s="757"/>
      <c r="L349" s="757"/>
      <c r="M349" s="757"/>
      <c r="N349" s="757"/>
      <c r="O349" s="757"/>
      <c r="P349" s="757"/>
      <c r="Q349" s="757"/>
      <c r="R349" s="757"/>
      <c r="S349" s="752"/>
      <c r="T349" s="776"/>
      <c r="U349" s="767"/>
      <c r="V349" s="757"/>
      <c r="W349" s="757"/>
      <c r="X349" s="757"/>
      <c r="Y349" s="752"/>
      <c r="Z349" s="767"/>
    </row>
    <row r="350" spans="1:26">
      <c r="A350" s="757"/>
      <c r="B350" s="757"/>
      <c r="C350" s="765"/>
      <c r="D350" s="757"/>
      <c r="E350" s="757"/>
      <c r="F350" s="757"/>
      <c r="G350" s="757"/>
      <c r="H350" s="757"/>
      <c r="I350" s="757"/>
      <c r="J350" s="757"/>
      <c r="K350" s="757"/>
      <c r="L350" s="757"/>
      <c r="M350" s="752"/>
      <c r="N350" s="757"/>
      <c r="O350" s="757"/>
      <c r="P350" s="757"/>
      <c r="Q350" s="757"/>
      <c r="R350" s="757"/>
      <c r="S350" s="752"/>
      <c r="T350" s="776"/>
      <c r="U350" s="767"/>
      <c r="V350" s="757"/>
      <c r="W350" s="757"/>
      <c r="X350" s="757"/>
      <c r="Y350" s="752"/>
      <c r="Z350" s="767"/>
    </row>
    <row r="351" spans="1:26">
      <c r="A351" s="757"/>
      <c r="B351" s="757"/>
      <c r="C351" s="765"/>
      <c r="D351" s="757"/>
      <c r="E351" s="757"/>
      <c r="F351" s="757"/>
      <c r="G351" s="757"/>
      <c r="H351" s="757"/>
      <c r="I351" s="757"/>
      <c r="J351" s="757"/>
      <c r="K351" s="757"/>
      <c r="L351" s="757"/>
      <c r="M351" s="752"/>
      <c r="N351" s="757"/>
      <c r="O351" s="757"/>
      <c r="P351" s="757"/>
      <c r="Q351" s="757"/>
      <c r="R351" s="757"/>
      <c r="S351" s="752"/>
      <c r="T351" s="776"/>
      <c r="U351" s="767"/>
      <c r="V351" s="757"/>
      <c r="W351" s="757"/>
      <c r="X351" s="757"/>
      <c r="Y351" s="752"/>
      <c r="Z351" s="767"/>
    </row>
    <row r="352" spans="1:26">
      <c r="A352" s="757"/>
      <c r="B352" s="757"/>
      <c r="C352" s="765"/>
      <c r="D352" s="757"/>
      <c r="E352" s="757"/>
      <c r="F352" s="757"/>
      <c r="G352" s="757"/>
      <c r="H352" s="757"/>
      <c r="I352" s="757"/>
      <c r="J352" s="757"/>
      <c r="K352" s="757"/>
      <c r="L352" s="757"/>
      <c r="M352" s="757"/>
      <c r="N352" s="752"/>
      <c r="O352" s="757"/>
      <c r="P352" s="757"/>
      <c r="Q352" s="757"/>
      <c r="R352" s="757"/>
      <c r="S352" s="752"/>
      <c r="T352" s="776"/>
      <c r="U352" s="776"/>
      <c r="V352" s="752"/>
      <c r="W352" s="752"/>
      <c r="X352" s="752"/>
      <c r="Y352" s="752"/>
      <c r="Z352" s="767"/>
    </row>
  </sheetData>
  <mergeCells count="12">
    <mergeCell ref="F6:I6"/>
    <mergeCell ref="P6:S6"/>
    <mergeCell ref="P1:T1"/>
    <mergeCell ref="P2:T2"/>
    <mergeCell ref="P3:T3"/>
    <mergeCell ref="P4:T4"/>
    <mergeCell ref="P5:T5"/>
    <mergeCell ref="F1:I1"/>
    <mergeCell ref="F2:I2"/>
    <mergeCell ref="F3:I3"/>
    <mergeCell ref="F4:I4"/>
    <mergeCell ref="F5:I5"/>
  </mergeCells>
  <printOptions horizontalCentered="1"/>
  <pageMargins left="0.7" right="0.7" top="0.75" bottom="0.75" header="0.3" footer="0.3"/>
  <pageSetup scale="59" fitToHeight="0" orientation="landscape" r:id="rId1"/>
  <headerFooter scaleWithDoc="0" alignWithMargins="0">
    <oddHeader>&amp;RPage &amp;P of &amp;N</oddHeader>
    <oddFooter>&amp;LElectronic Tab Name:&amp;A</oddFooter>
  </headerFooter>
  <rowBreaks count="8" manualBreakCount="8">
    <brk id="52" man="1"/>
    <brk id="113" man="1"/>
    <brk id="144" min="2" max="23" man="1"/>
    <brk id="174" man="1"/>
    <brk id="189" min="2" max="23" man="1"/>
    <brk id="230" min="2" max="23" man="1"/>
    <brk id="235" man="1"/>
    <brk id="274" min="2" max="23" man="1"/>
  </rowBreaks>
  <colBreaks count="1" manualBreakCount="1">
    <brk id="12" max="343"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workbookViewId="0">
      <selection sqref="A1:XFD1048576"/>
    </sheetView>
  </sheetViews>
  <sheetFormatPr defaultColWidth="14" defaultRowHeight="15.75"/>
  <cols>
    <col min="1" max="1" width="2.140625" style="6" bestFit="1" customWidth="1"/>
    <col min="2" max="2" width="14" style="6"/>
    <col min="3" max="3" width="25.140625" style="6" customWidth="1"/>
    <col min="4" max="16384" width="14" style="6"/>
  </cols>
  <sheetData>
    <row r="1" spans="1:7">
      <c r="A1" s="117"/>
      <c r="B1" s="117"/>
      <c r="C1" s="117"/>
      <c r="D1" s="117"/>
    </row>
    <row r="5" spans="1:7">
      <c r="B5" s="1014" t="s">
        <v>119</v>
      </c>
      <c r="C5" s="1015"/>
      <c r="D5" s="1016"/>
    </row>
    <row r="6" spans="1:7">
      <c r="B6" s="1017" t="s">
        <v>118</v>
      </c>
      <c r="C6" s="1018"/>
      <c r="D6" s="1019"/>
    </row>
    <row r="7" spans="1:7">
      <c r="B7" s="1017" t="s">
        <v>990</v>
      </c>
      <c r="C7" s="1018"/>
      <c r="D7" s="1019"/>
    </row>
    <row r="8" spans="1:7">
      <c r="A8" s="7"/>
      <c r="B8" s="1003"/>
      <c r="C8" s="1004"/>
      <c r="D8" s="1005"/>
    </row>
    <row r="9" spans="1:7">
      <c r="A9" s="118"/>
      <c r="B9" s="118"/>
      <c r="C9" s="118"/>
      <c r="D9" s="118"/>
    </row>
    <row r="11" spans="1:7">
      <c r="A11" s="6">
        <v>1</v>
      </c>
      <c r="B11" s="6" t="s">
        <v>74</v>
      </c>
      <c r="D11" s="116">
        <f>+'Exh MPP-2 - ROO Summary Sheet'!J40</f>
        <v>300860725.69764143</v>
      </c>
      <c r="G11" s="19"/>
    </row>
    <row r="12" spans="1:7">
      <c r="A12" s="6">
        <v>2</v>
      </c>
      <c r="B12" s="6" t="s">
        <v>19</v>
      </c>
      <c r="D12" s="119">
        <f>+'Capital Structure Calculation'!J14</f>
        <v>7.5980000000000006E-2</v>
      </c>
    </row>
    <row r="14" spans="1:7">
      <c r="A14" s="6">
        <v>3</v>
      </c>
      <c r="B14" s="6" t="s">
        <v>75</v>
      </c>
      <c r="D14" s="120">
        <f>+D11*D12</f>
        <v>22859397.938506797</v>
      </c>
    </row>
    <row r="15" spans="1:7">
      <c r="A15" s="6">
        <v>4</v>
      </c>
      <c r="B15" s="6" t="s">
        <v>76</v>
      </c>
      <c r="D15" s="121">
        <f>+'Exh MPP-2 - ROO Summary Sheet'!J32</f>
        <v>19203666.304540515</v>
      </c>
    </row>
    <row r="16" spans="1:7">
      <c r="D16" s="120"/>
    </row>
    <row r="17" spans="1:4">
      <c r="A17" s="6">
        <v>5</v>
      </c>
      <c r="B17" s="6" t="s">
        <v>79</v>
      </c>
      <c r="D17" s="120">
        <f>+D14-D15</f>
        <v>3655731.633966282</v>
      </c>
    </row>
    <row r="19" spans="1:4">
      <c r="A19" s="6">
        <v>6</v>
      </c>
      <c r="B19" s="6" t="s">
        <v>77</v>
      </c>
      <c r="D19" s="122">
        <f>+'Exh MPP-4 - Conversion Factor'!C25</f>
        <v>0.62119652738122133</v>
      </c>
    </row>
    <row r="21" spans="1:4" ht="16.5" thickBot="1">
      <c r="A21" s="6">
        <v>7</v>
      </c>
      <c r="B21" s="6" t="s">
        <v>78</v>
      </c>
      <c r="D21" s="123">
        <f>+D17/D19</f>
        <v>5884984.0152483666</v>
      </c>
    </row>
    <row r="22" spans="1:4" ht="16.5" thickTop="1">
      <c r="D22" s="120"/>
    </row>
    <row r="23" spans="1:4">
      <c r="A23" s="6">
        <v>8</v>
      </c>
      <c r="B23" s="6" t="s">
        <v>115</v>
      </c>
      <c r="D23" s="120">
        <f>+'Exh MPP-2 - ROO Summary Sheet'!J16</f>
        <v>217191906.73895997</v>
      </c>
    </row>
    <row r="25" spans="1:4">
      <c r="A25" s="6">
        <v>9</v>
      </c>
      <c r="B25" s="6" t="s">
        <v>1650</v>
      </c>
      <c r="D25" s="124">
        <f>+D21/D23</f>
        <v>2.7095779504903238E-2</v>
      </c>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UG-17_____
Exhibit _____ (MPP-3)
Page 1 o 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1646</v>
      </c>
    </row>
    <row r="2" spans="1:7">
      <c r="A2" s="20" t="s">
        <v>1686</v>
      </c>
    </row>
    <row r="3" spans="1:7">
      <c r="A3" s="20" t="s">
        <v>1643</v>
      </c>
    </row>
    <row r="4" spans="1:7">
      <c r="A4" s="21"/>
    </row>
    <row r="5" spans="1:7">
      <c r="A5" s="22"/>
    </row>
    <row r="6" spans="1:7">
      <c r="A6" s="22"/>
    </row>
    <row r="7" spans="1:7">
      <c r="A7" s="22"/>
    </row>
    <row r="8" spans="1:7">
      <c r="A8" s="22" t="s">
        <v>1641</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126</v>
      </c>
    </row>
    <row r="20" spans="1:1">
      <c r="A20" s="23"/>
    </row>
    <row r="21" spans="1:1">
      <c r="A21" s="23" t="s">
        <v>1644</v>
      </c>
    </row>
    <row r="22" spans="1:1">
      <c r="A22" s="23"/>
    </row>
    <row r="23" spans="1:1">
      <c r="A23" s="23"/>
    </row>
    <row r="24" spans="1:1">
      <c r="A24" s="24" t="s">
        <v>1682</v>
      </c>
    </row>
    <row r="25" spans="1:1">
      <c r="A25" s="23"/>
    </row>
    <row r="26" spans="1:1">
      <c r="A26" s="23"/>
    </row>
    <row r="27" spans="1:1">
      <c r="A27" s="23"/>
    </row>
    <row r="28" spans="1:1">
      <c r="A28" s="23"/>
    </row>
    <row r="29" spans="1:1">
      <c r="A29" s="23"/>
    </row>
    <row r="30" spans="1:1">
      <c r="A30" s="1011" t="s">
        <v>2167</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tabSelected="1" workbookViewId="0">
      <selection activeCell="I10" sqref="I10"/>
    </sheetView>
  </sheetViews>
  <sheetFormatPr defaultRowHeight="15.75"/>
  <cols>
    <col min="1" max="1" width="34" style="6" bestFit="1" customWidth="1"/>
    <col min="2" max="2" width="9.140625" style="6"/>
    <col min="3" max="3" width="21.28515625" style="132" customWidth="1"/>
    <col min="4" max="16384" width="9.140625" style="6"/>
  </cols>
  <sheetData>
    <row r="1" spans="1:7">
      <c r="A1" s="1012" t="s">
        <v>119</v>
      </c>
      <c r="B1" s="1012"/>
      <c r="C1" s="1012"/>
    </row>
    <row r="2" spans="1:7">
      <c r="A2" s="1012" t="s">
        <v>1678</v>
      </c>
      <c r="B2" s="1012"/>
      <c r="C2" s="1012"/>
    </row>
    <row r="3" spans="1:7">
      <c r="A3" s="1023" t="s">
        <v>985</v>
      </c>
      <c r="B3" s="1023"/>
      <c r="C3" s="1023"/>
    </row>
    <row r="4" spans="1:7">
      <c r="A4" s="1020" t="s">
        <v>20</v>
      </c>
      <c r="B4" s="1021"/>
      <c r="C4" s="1022"/>
    </row>
    <row r="5" spans="1:7">
      <c r="A5" s="125"/>
      <c r="B5" s="126"/>
      <c r="C5" s="127"/>
    </row>
    <row r="6" spans="1:7">
      <c r="A6" s="125" t="s">
        <v>21</v>
      </c>
      <c r="B6" s="126"/>
      <c r="C6" s="127">
        <v>1</v>
      </c>
    </row>
    <row r="7" spans="1:7">
      <c r="A7" s="128" t="s">
        <v>22</v>
      </c>
      <c r="B7" s="126"/>
      <c r="C7" s="127"/>
    </row>
    <row r="8" spans="1:7">
      <c r="A8" s="129" t="s">
        <v>23</v>
      </c>
      <c r="B8" s="126"/>
      <c r="C8" s="130">
        <f>+'Operating Report'!G90/'Operating Report'!G27</f>
        <v>3.7930347981210235E-3</v>
      </c>
    </row>
    <row r="9" spans="1:7">
      <c r="A9" s="129" t="s">
        <v>907</v>
      </c>
      <c r="B9" s="126"/>
      <c r="C9" s="131">
        <v>3.8519999999999999E-2</v>
      </c>
    </row>
    <row r="10" spans="1:7">
      <c r="A10" s="129" t="s">
        <v>906</v>
      </c>
      <c r="B10" s="126"/>
      <c r="C10" s="130">
        <v>2E-3</v>
      </c>
      <c r="D10" s="132">
        <f>+C8+C9+C10</f>
        <v>4.4313034798121022E-2</v>
      </c>
    </row>
    <row r="11" spans="1:7">
      <c r="A11" s="128" t="s">
        <v>24</v>
      </c>
      <c r="B11" s="126"/>
      <c r="C11" s="133"/>
      <c r="G11" s="19"/>
    </row>
    <row r="12" spans="1:7" ht="16.5" thickBot="1">
      <c r="A12" s="128" t="s">
        <v>25</v>
      </c>
      <c r="B12" s="126"/>
      <c r="C12" s="134">
        <f>+C6-SUM(C8:C11)</f>
        <v>0.95568696520187901</v>
      </c>
    </row>
    <row r="13" spans="1:7">
      <c r="A13" s="135"/>
      <c r="B13" s="126"/>
      <c r="C13" s="127"/>
    </row>
    <row r="14" spans="1:7" ht="16.5" thickBot="1">
      <c r="A14" s="128" t="s">
        <v>26</v>
      </c>
      <c r="B14" s="126"/>
      <c r="C14" s="136">
        <v>0</v>
      </c>
    </row>
    <row r="15" spans="1:7">
      <c r="A15" s="135"/>
      <c r="B15" s="126"/>
      <c r="C15" s="127"/>
    </row>
    <row r="16" spans="1:7" ht="16.5" thickBot="1">
      <c r="A16" s="135" t="s">
        <v>27</v>
      </c>
      <c r="B16" s="126"/>
      <c r="C16" s="136">
        <f>+C12-C14</f>
        <v>0.95568696520187901</v>
      </c>
    </row>
    <row r="17" spans="1:3">
      <c r="A17" s="135"/>
      <c r="B17" s="126"/>
      <c r="C17" s="127"/>
    </row>
    <row r="18" spans="1:3" ht="16.5" thickBot="1">
      <c r="A18" s="135" t="s">
        <v>28</v>
      </c>
      <c r="B18" s="126"/>
      <c r="C18" s="136">
        <f>+C16*0.35</f>
        <v>0.33449043782065763</v>
      </c>
    </row>
    <row r="19" spans="1:3">
      <c r="A19" s="135"/>
      <c r="B19" s="126"/>
      <c r="C19" s="133"/>
    </row>
    <row r="20" spans="1:3" ht="16.5" thickBot="1">
      <c r="A20" s="135" t="s">
        <v>69</v>
      </c>
      <c r="B20" s="126"/>
      <c r="C20" s="134">
        <f>+C14+C18</f>
        <v>0.33449043782065763</v>
      </c>
    </row>
    <row r="21" spans="1:3">
      <c r="A21" s="135"/>
      <c r="B21" s="126"/>
      <c r="C21" s="127"/>
    </row>
    <row r="22" spans="1:3" ht="16.5" thickBot="1">
      <c r="A22" s="135" t="s">
        <v>29</v>
      </c>
      <c r="B22" s="126"/>
      <c r="C22" s="136">
        <f>SUM(C8:C11)+C20</f>
        <v>0.37880347261877867</v>
      </c>
    </row>
    <row r="23" spans="1:3">
      <c r="A23" s="135"/>
      <c r="B23" s="126"/>
      <c r="C23" s="127"/>
    </row>
    <row r="24" spans="1:3">
      <c r="A24" s="135" t="s">
        <v>1677</v>
      </c>
      <c r="B24" s="126"/>
      <c r="C24" s="127"/>
    </row>
    <row r="25" spans="1:3" ht="16.5" thickBot="1">
      <c r="A25" s="135" t="s">
        <v>30</v>
      </c>
      <c r="B25" s="126"/>
      <c r="C25" s="137">
        <f>+C6-C22</f>
        <v>0.62119652738122133</v>
      </c>
    </row>
    <row r="26" spans="1:3">
      <c r="A26" s="138"/>
      <c r="B26" s="139"/>
      <c r="C26" s="133"/>
    </row>
    <row r="27" spans="1:3">
      <c r="A27" s="125"/>
      <c r="B27" s="126"/>
      <c r="C27" s="127"/>
    </row>
    <row r="28" spans="1:3">
      <c r="A28" s="125"/>
      <c r="B28" s="126"/>
      <c r="C28" s="127"/>
    </row>
    <row r="29" spans="1:3">
      <c r="A29" s="140" t="s">
        <v>102</v>
      </c>
      <c r="B29" s="141"/>
      <c r="C29" s="142"/>
    </row>
    <row r="30" spans="1:3">
      <c r="A30" s="140" t="s">
        <v>103</v>
      </c>
      <c r="B30" s="141"/>
      <c r="C30" s="142">
        <v>0</v>
      </c>
    </row>
    <row r="31" spans="1:3">
      <c r="A31" s="140" t="s">
        <v>104</v>
      </c>
      <c r="B31" s="141"/>
      <c r="C31" s="142">
        <v>0.35</v>
      </c>
    </row>
    <row r="32" spans="1:3">
      <c r="A32" s="143"/>
      <c r="B32" s="141"/>
      <c r="C32" s="144"/>
    </row>
    <row r="33" spans="1:3">
      <c r="A33" s="145" t="s">
        <v>105</v>
      </c>
      <c r="B33" s="146"/>
      <c r="C33" s="147">
        <f>ROUND(((1-C30)*C31)+C30,5)</f>
        <v>0.35</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UG-17_____
Exhibit _____ (MPP-4)
Page 1 o 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6"/>
  <sheetViews>
    <sheetView workbookViewId="0">
      <selection activeCell="A31" sqref="A31"/>
    </sheetView>
  </sheetViews>
  <sheetFormatPr defaultRowHeight="15.75"/>
  <cols>
    <col min="1" max="1" width="98.7109375" style="6" customWidth="1"/>
    <col min="2" max="2" width="29.42578125" style="6" customWidth="1"/>
    <col min="3" max="16384" width="9.140625" style="6"/>
  </cols>
  <sheetData>
    <row r="1" spans="1:7">
      <c r="A1" s="20" t="s">
        <v>1647</v>
      </c>
    </row>
    <row r="2" spans="1:7">
      <c r="A2" s="20" t="s">
        <v>1685</v>
      </c>
    </row>
    <row r="3" spans="1:7">
      <c r="A3" s="20" t="s">
        <v>1643</v>
      </c>
    </row>
    <row r="4" spans="1:7">
      <c r="A4" s="21"/>
    </row>
    <row r="5" spans="1:7">
      <c r="A5" s="22"/>
    </row>
    <row r="6" spans="1:7">
      <c r="A6" s="22"/>
    </row>
    <row r="7" spans="1:7">
      <c r="A7" s="22"/>
    </row>
    <row r="8" spans="1:7">
      <c r="A8" s="22" t="s">
        <v>1641</v>
      </c>
    </row>
    <row r="9" spans="1:7">
      <c r="A9" s="22"/>
    </row>
    <row r="10" spans="1:7">
      <c r="A10" s="22"/>
    </row>
    <row r="11" spans="1:7">
      <c r="A11" s="22"/>
      <c r="G11" s="19"/>
    </row>
    <row r="12" spans="1:7">
      <c r="A12" s="22"/>
    </row>
    <row r="13" spans="1:7">
      <c r="A13" s="22"/>
    </row>
    <row r="14" spans="1:7">
      <c r="A14" s="22"/>
    </row>
    <row r="15" spans="1:7">
      <c r="A15" s="22"/>
    </row>
    <row r="16" spans="1:7">
      <c r="A16" s="23"/>
    </row>
    <row r="17" spans="1:1">
      <c r="A17" s="23"/>
    </row>
    <row r="18" spans="1:1">
      <c r="A18" s="22"/>
    </row>
    <row r="19" spans="1:1">
      <c r="A19" s="23" t="s">
        <v>126</v>
      </c>
    </row>
    <row r="20" spans="1:1">
      <c r="A20" s="23"/>
    </row>
    <row r="21" spans="1:1">
      <c r="A21" s="23" t="s">
        <v>1644</v>
      </c>
    </row>
    <row r="22" spans="1:1">
      <c r="A22" s="23"/>
    </row>
    <row r="23" spans="1:1">
      <c r="A23" s="23"/>
    </row>
    <row r="24" spans="1:1">
      <c r="A24" s="24" t="s">
        <v>1683</v>
      </c>
    </row>
    <row r="25" spans="1:1">
      <c r="A25" s="23"/>
    </row>
    <row r="26" spans="1:1">
      <c r="A26" s="23"/>
    </row>
    <row r="27" spans="1:1">
      <c r="A27" s="23"/>
    </row>
    <row r="28" spans="1:1">
      <c r="A28" s="23"/>
    </row>
    <row r="29" spans="1:1">
      <c r="A29" s="23"/>
    </row>
    <row r="30" spans="1:1">
      <c r="A30" s="1011" t="s">
        <v>2167</v>
      </c>
    </row>
    <row r="31" spans="1:1">
      <c r="A31" s="40"/>
    </row>
    <row r="32" spans="1:1">
      <c r="A32" s="19"/>
    </row>
    <row r="33" spans="1:1">
      <c r="A33" s="19"/>
    </row>
    <row r="34" spans="1:1">
      <c r="A34" s="19"/>
    </row>
    <row r="35" spans="1:1">
      <c r="A35" s="19"/>
    </row>
    <row r="36" spans="1:1">
      <c r="A36" s="19"/>
    </row>
  </sheetData>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I66"/>
  <sheetViews>
    <sheetView topLeftCell="A7" workbookViewId="0">
      <selection activeCell="H34" sqref="H34"/>
    </sheetView>
  </sheetViews>
  <sheetFormatPr defaultRowHeight="15.75"/>
  <cols>
    <col min="1" max="1" width="3.28515625" style="6" bestFit="1" customWidth="1"/>
    <col min="2" max="2" width="2.85546875" style="6" customWidth="1"/>
    <col min="3" max="3" width="31.140625" style="6" customWidth="1"/>
    <col min="4" max="4" width="1.7109375" style="6" customWidth="1"/>
    <col min="5" max="5" width="1.42578125" style="6" customWidth="1"/>
    <col min="6" max="6" width="1.140625" style="6" customWidth="1"/>
    <col min="7" max="7" width="14.140625" style="6" customWidth="1"/>
    <col min="8" max="8" width="10.42578125" style="6" customWidth="1"/>
    <col min="9" max="9" width="16.42578125" style="6" bestFit="1" customWidth="1"/>
    <col min="10" max="10" width="12.42578125" style="6" customWidth="1"/>
    <col min="11" max="11" width="6" style="6" customWidth="1"/>
    <col min="12" max="12" width="11.42578125" style="6" bestFit="1" customWidth="1"/>
    <col min="13" max="13" width="12" style="152" bestFit="1" customWidth="1"/>
    <col min="14" max="14" width="13.28515625" style="6" bestFit="1" customWidth="1"/>
    <col min="15" max="16" width="11" style="6" bestFit="1" customWidth="1"/>
    <col min="17" max="17" width="12" style="6" bestFit="1" customWidth="1"/>
    <col min="18" max="18" width="12.7109375" style="6" bestFit="1" customWidth="1"/>
    <col min="19" max="19" width="12.5703125" style="6" customWidth="1"/>
    <col min="20" max="20" width="12.7109375" style="6" bestFit="1" customWidth="1"/>
    <col min="21" max="21" width="12.28515625" style="6" hidden="1" customWidth="1"/>
    <col min="22" max="25" width="9.28515625" style="6" hidden="1" customWidth="1"/>
    <col min="26" max="26" width="2.140625" style="6" customWidth="1"/>
    <col min="27" max="27" width="13.7109375" style="6" bestFit="1" customWidth="1"/>
    <col min="28" max="16384" width="9.140625" style="6"/>
  </cols>
  <sheetData>
    <row r="1" spans="1:28">
      <c r="A1" s="117"/>
      <c r="B1" s="117"/>
      <c r="C1" s="117"/>
      <c r="D1" s="117"/>
      <c r="E1" s="117"/>
      <c r="F1" s="117"/>
      <c r="G1" s="117"/>
      <c r="H1" s="117"/>
      <c r="I1" s="117"/>
      <c r="J1" s="117"/>
      <c r="K1" s="117"/>
      <c r="L1" s="117"/>
      <c r="M1" s="151"/>
      <c r="N1" s="117"/>
      <c r="O1" s="117"/>
      <c r="P1" s="117"/>
      <c r="Q1" s="117"/>
      <c r="R1" s="117"/>
      <c r="S1" s="117"/>
      <c r="T1" s="117"/>
      <c r="U1" s="117"/>
      <c r="V1" s="117"/>
      <c r="W1" s="117"/>
      <c r="X1" s="117"/>
      <c r="Y1" s="117"/>
      <c r="Z1" s="117"/>
      <c r="AA1" s="117"/>
    </row>
    <row r="2" spans="1:28">
      <c r="A2" s="6" t="s">
        <v>57</v>
      </c>
    </row>
    <row r="3" spans="1:28">
      <c r="N3" s="1025"/>
      <c r="O3" s="1025"/>
      <c r="P3" s="1025"/>
      <c r="Q3" s="1025"/>
      <c r="R3" s="1025"/>
      <c r="S3" s="1025"/>
      <c r="T3" s="1025"/>
      <c r="U3" s="1025"/>
      <c r="V3" s="1025"/>
      <c r="W3" s="1025"/>
      <c r="X3" s="1025"/>
      <c r="Y3" s="1025"/>
      <c r="Z3" s="1025"/>
      <c r="AA3" s="1025"/>
      <c r="AB3" s="1025"/>
    </row>
    <row r="4" spans="1:28">
      <c r="N4" s="1025"/>
      <c r="O4" s="1025"/>
      <c r="P4" s="1025"/>
      <c r="Q4" s="1025"/>
      <c r="R4" s="1025"/>
      <c r="S4" s="1025"/>
      <c r="T4" s="1025"/>
      <c r="U4" s="1025"/>
      <c r="V4" s="1025"/>
      <c r="W4" s="1025"/>
      <c r="X4" s="1025"/>
      <c r="Y4" s="1025"/>
      <c r="Z4" s="1025"/>
      <c r="AA4" s="1025"/>
      <c r="AB4" s="1025"/>
    </row>
    <row r="5" spans="1:28">
      <c r="B5" s="1018" t="s">
        <v>120</v>
      </c>
      <c r="C5" s="1018"/>
      <c r="D5" s="1018"/>
      <c r="E5" s="1018"/>
      <c r="F5" s="1018"/>
      <c r="G5" s="1018"/>
      <c r="H5" s="1018"/>
      <c r="I5" s="1018"/>
      <c r="J5" s="1018"/>
      <c r="K5" s="1018"/>
      <c r="L5" s="1018"/>
      <c r="M5" s="1018"/>
      <c r="N5" s="1024"/>
      <c r="O5" s="1024"/>
      <c r="P5" s="1024"/>
      <c r="Q5" s="1024"/>
      <c r="R5" s="1024"/>
      <c r="S5" s="1024"/>
      <c r="T5" s="1024"/>
      <c r="U5" s="1024"/>
      <c r="V5" s="1024"/>
      <c r="W5" s="1024"/>
      <c r="X5" s="1024"/>
      <c r="Y5" s="1024"/>
      <c r="Z5" s="1024"/>
      <c r="AA5" s="1024"/>
    </row>
    <row r="6" spans="1:28">
      <c r="A6" s="19"/>
      <c r="B6" s="1018" t="s">
        <v>921</v>
      </c>
      <c r="C6" s="1018"/>
      <c r="D6" s="1018"/>
      <c r="E6" s="1018"/>
      <c r="F6" s="1018"/>
      <c r="G6" s="1018"/>
      <c r="H6" s="1018"/>
      <c r="I6" s="1018"/>
      <c r="J6" s="1018"/>
      <c r="K6" s="1018"/>
      <c r="L6" s="1018"/>
      <c r="M6" s="1018"/>
      <c r="N6" s="1025"/>
      <c r="O6" s="1025"/>
      <c r="P6" s="1025"/>
      <c r="Q6" s="1025"/>
      <c r="R6" s="1025"/>
      <c r="S6" s="1025"/>
      <c r="T6" s="1025"/>
      <c r="U6" s="1025"/>
      <c r="V6" s="1025"/>
      <c r="W6" s="1025"/>
      <c r="X6" s="1025"/>
      <c r="Y6" s="1025"/>
      <c r="Z6" s="1025"/>
      <c r="AA6" s="1025"/>
    </row>
    <row r="7" spans="1:28">
      <c r="A7" s="153" t="s">
        <v>57</v>
      </c>
      <c r="B7" s="1018" t="s">
        <v>985</v>
      </c>
      <c r="C7" s="1018"/>
      <c r="D7" s="1018"/>
      <c r="E7" s="1018"/>
      <c r="F7" s="1018"/>
      <c r="G7" s="1018"/>
      <c r="H7" s="1018"/>
      <c r="I7" s="1018"/>
      <c r="J7" s="1018"/>
      <c r="K7" s="1018"/>
      <c r="L7" s="1018"/>
      <c r="M7" s="1018"/>
      <c r="N7" s="5"/>
      <c r="O7" s="5"/>
      <c r="P7" s="5"/>
      <c r="Q7" s="5"/>
      <c r="R7" s="5"/>
      <c r="S7" s="5"/>
      <c r="T7" s="5"/>
      <c r="U7" s="5"/>
      <c r="V7" s="5"/>
      <c r="W7" s="5"/>
      <c r="X7" s="154"/>
      <c r="Y7" s="154"/>
      <c r="Z7" s="154"/>
      <c r="AA7" s="154"/>
    </row>
    <row r="8" spans="1:28">
      <c r="A8" s="153"/>
      <c r="B8" s="155"/>
      <c r="C8" s="155"/>
      <c r="D8" s="155"/>
      <c r="E8" s="155"/>
      <c r="F8" s="155"/>
      <c r="G8" s="155"/>
      <c r="H8" s="155"/>
      <c r="I8" s="155"/>
      <c r="J8" s="155"/>
      <c r="K8" s="155"/>
      <c r="L8" s="155"/>
      <c r="M8" s="155"/>
      <c r="N8" s="5"/>
      <c r="O8" s="5"/>
      <c r="P8" s="5"/>
      <c r="Q8" s="5"/>
      <c r="R8" s="5"/>
      <c r="S8" s="5"/>
      <c r="T8" s="5"/>
      <c r="U8" s="5"/>
      <c r="V8" s="5"/>
      <c r="W8" s="5"/>
      <c r="X8" s="154"/>
      <c r="Y8" s="154"/>
      <c r="Z8" s="154"/>
      <c r="AA8" s="154"/>
    </row>
    <row r="9" spans="1:28" ht="16.5" thickBot="1">
      <c r="A9" s="118"/>
      <c r="B9" s="118"/>
      <c r="C9" s="118"/>
      <c r="D9" s="118"/>
      <c r="E9" s="118"/>
      <c r="F9" s="117"/>
      <c r="G9" s="156"/>
      <c r="H9" s="117"/>
      <c r="I9" s="117"/>
      <c r="J9" s="117"/>
      <c r="K9" s="117"/>
      <c r="L9" s="117"/>
      <c r="M9" s="151"/>
      <c r="N9" s="117"/>
      <c r="O9" s="117"/>
      <c r="P9" s="117"/>
      <c r="Q9" s="117"/>
      <c r="R9" s="117"/>
      <c r="S9" s="117"/>
      <c r="T9" s="117"/>
      <c r="U9" s="117"/>
      <c r="V9" s="117"/>
      <c r="W9" s="117"/>
      <c r="X9" s="117"/>
      <c r="Y9" s="117"/>
      <c r="Z9" s="117"/>
      <c r="AA9" s="117"/>
    </row>
    <row r="10" spans="1:28">
      <c r="A10" s="157"/>
      <c r="B10" s="158"/>
      <c r="C10" s="159"/>
      <c r="D10" s="160"/>
      <c r="E10" s="161"/>
      <c r="F10" s="117"/>
      <c r="G10" s="162" t="s">
        <v>889</v>
      </c>
      <c r="H10" s="162" t="s">
        <v>62</v>
      </c>
      <c r="I10" s="162" t="s">
        <v>973</v>
      </c>
      <c r="J10" s="162" t="s">
        <v>1123</v>
      </c>
      <c r="K10" s="162"/>
      <c r="L10" s="162" t="s">
        <v>64</v>
      </c>
      <c r="M10" s="163" t="s">
        <v>930</v>
      </c>
      <c r="N10" s="162" t="s">
        <v>930</v>
      </c>
      <c r="O10" s="164" t="s">
        <v>67</v>
      </c>
      <c r="P10" s="164" t="s">
        <v>930</v>
      </c>
      <c r="Q10" s="164" t="s">
        <v>1022</v>
      </c>
      <c r="R10" s="164" t="s">
        <v>1118</v>
      </c>
      <c r="S10" s="164" t="s">
        <v>1147</v>
      </c>
      <c r="T10" s="164" t="s">
        <v>930</v>
      </c>
      <c r="U10" s="164"/>
      <c r="V10" s="164"/>
      <c r="W10" s="164"/>
      <c r="X10" s="164"/>
      <c r="Y10" s="164"/>
      <c r="Z10" s="156"/>
      <c r="AA10" s="165" t="s">
        <v>59</v>
      </c>
    </row>
    <row r="11" spans="1:28">
      <c r="A11" s="157"/>
      <c r="B11" s="166"/>
      <c r="C11" s="167"/>
      <c r="D11" s="157"/>
      <c r="E11" s="161"/>
      <c r="F11" s="117"/>
      <c r="G11" s="168" t="s">
        <v>890</v>
      </c>
      <c r="H11" s="169" t="s">
        <v>58</v>
      </c>
      <c r="I11" s="170" t="s">
        <v>969</v>
      </c>
      <c r="J11" s="170" t="s">
        <v>1124</v>
      </c>
      <c r="K11" s="170"/>
      <c r="L11" s="170" t="s">
        <v>65</v>
      </c>
      <c r="M11" s="171" t="s">
        <v>934</v>
      </c>
      <c r="N11" s="170" t="s">
        <v>974</v>
      </c>
      <c r="O11" s="172" t="s">
        <v>68</v>
      </c>
      <c r="P11" s="172" t="s">
        <v>1145</v>
      </c>
      <c r="Q11" s="172" t="s">
        <v>1023</v>
      </c>
      <c r="R11" s="172" t="s">
        <v>1119</v>
      </c>
      <c r="S11" s="172" t="s">
        <v>63</v>
      </c>
      <c r="T11" s="172" t="s">
        <v>969</v>
      </c>
      <c r="U11" s="172"/>
      <c r="V11" s="172"/>
      <c r="W11" s="172"/>
      <c r="X11" s="172"/>
      <c r="Y11" s="172"/>
      <c r="Z11" s="156"/>
      <c r="AA11" s="173" t="s">
        <v>1</v>
      </c>
    </row>
    <row r="12" spans="1:28">
      <c r="A12" s="157"/>
      <c r="B12" s="166"/>
      <c r="C12" s="161"/>
      <c r="D12" s="157"/>
      <c r="E12" s="161"/>
      <c r="F12" s="117"/>
      <c r="G12" s="170" t="s">
        <v>63</v>
      </c>
      <c r="H12" s="170" t="s">
        <v>63</v>
      </c>
      <c r="I12" s="170" t="s">
        <v>63</v>
      </c>
      <c r="J12" s="170" t="s">
        <v>1125</v>
      </c>
      <c r="K12" s="170"/>
      <c r="L12" s="170" t="s">
        <v>63</v>
      </c>
      <c r="M12" s="171" t="s">
        <v>63</v>
      </c>
      <c r="N12" s="170" t="s">
        <v>66</v>
      </c>
      <c r="O12" s="172"/>
      <c r="P12" s="172" t="s">
        <v>1146</v>
      </c>
      <c r="Q12" s="172" t="s">
        <v>1024</v>
      </c>
      <c r="R12" s="172" t="s">
        <v>1120</v>
      </c>
      <c r="S12" s="172"/>
      <c r="T12" s="172"/>
      <c r="U12" s="172"/>
      <c r="V12" s="172"/>
      <c r="W12" s="172"/>
      <c r="X12" s="172"/>
      <c r="Y12" s="172"/>
      <c r="Z12" s="156"/>
      <c r="AA12" s="173"/>
    </row>
    <row r="13" spans="1:28">
      <c r="A13" s="157"/>
      <c r="B13" s="166"/>
      <c r="C13" s="161"/>
      <c r="D13" s="157"/>
      <c r="E13" s="161"/>
      <c r="F13" s="117"/>
      <c r="G13" s="172" t="s">
        <v>922</v>
      </c>
      <c r="H13" s="172" t="s">
        <v>923</v>
      </c>
      <c r="I13" s="170" t="s">
        <v>972</v>
      </c>
      <c r="J13" s="172" t="s">
        <v>1144</v>
      </c>
      <c r="K13" s="172"/>
      <c r="L13" s="172" t="s">
        <v>924</v>
      </c>
      <c r="M13" s="174" t="s">
        <v>925</v>
      </c>
      <c r="N13" s="170" t="s">
        <v>1148</v>
      </c>
      <c r="O13" s="172" t="s">
        <v>926</v>
      </c>
      <c r="P13" s="172" t="s">
        <v>927</v>
      </c>
      <c r="Q13" s="172" t="s">
        <v>928</v>
      </c>
      <c r="R13" s="172" t="s">
        <v>929</v>
      </c>
      <c r="S13" s="172" t="s">
        <v>1149</v>
      </c>
      <c r="T13" s="172" t="s">
        <v>1150</v>
      </c>
      <c r="U13" s="172"/>
      <c r="V13" s="172"/>
      <c r="W13" s="172"/>
      <c r="X13" s="172"/>
      <c r="Y13" s="172"/>
      <c r="Z13" s="156"/>
      <c r="AA13" s="173"/>
    </row>
    <row r="14" spans="1:28">
      <c r="A14" s="157"/>
      <c r="B14" s="175"/>
      <c r="C14" s="176"/>
      <c r="D14" s="177"/>
      <c r="E14" s="161"/>
      <c r="F14" s="117"/>
      <c r="G14" s="178"/>
      <c r="H14" s="178"/>
      <c r="I14" s="179"/>
      <c r="J14" s="178"/>
      <c r="K14" s="178"/>
      <c r="L14" s="178"/>
      <c r="M14" s="180"/>
      <c r="N14" s="179"/>
      <c r="O14" s="178"/>
      <c r="P14" s="178"/>
      <c r="Q14" s="178"/>
      <c r="R14" s="178"/>
      <c r="S14" s="178"/>
      <c r="T14" s="178"/>
      <c r="U14" s="178"/>
      <c r="V14" s="178"/>
      <c r="W14" s="178"/>
      <c r="X14" s="178"/>
      <c r="Y14" s="178"/>
      <c r="Z14" s="181"/>
      <c r="AA14" s="182"/>
    </row>
    <row r="15" spans="1:28">
      <c r="A15" s="157">
        <v>1</v>
      </c>
      <c r="B15" s="161"/>
      <c r="C15" s="41" t="s">
        <v>11</v>
      </c>
      <c r="D15" s="157"/>
      <c r="E15" s="161"/>
      <c r="F15" s="117"/>
      <c r="G15" s="175"/>
      <c r="H15" s="183"/>
      <c r="I15" s="184"/>
      <c r="J15" s="185"/>
      <c r="K15" s="185"/>
      <c r="L15" s="181"/>
      <c r="M15" s="186"/>
      <c r="N15" s="183"/>
      <c r="O15" s="183"/>
      <c r="P15" s="183"/>
      <c r="Q15" s="183"/>
      <c r="R15" s="183"/>
      <c r="S15" s="185"/>
      <c r="T15" s="181"/>
      <c r="U15" s="181"/>
      <c r="V15" s="183"/>
      <c r="W15" s="181"/>
      <c r="X15" s="183"/>
      <c r="Y15" s="181"/>
      <c r="Z15" s="181"/>
      <c r="AA15" s="187"/>
    </row>
    <row r="16" spans="1:28">
      <c r="A16" s="188">
        <v>2</v>
      </c>
      <c r="B16" s="118"/>
      <c r="C16" s="69" t="s">
        <v>31</v>
      </c>
      <c r="D16" s="188"/>
      <c r="E16" s="118"/>
      <c r="F16" s="189"/>
      <c r="G16" s="190">
        <f>+'Weather Normalization'!F21</f>
        <v>15472031.784460001</v>
      </c>
      <c r="H16" s="190"/>
      <c r="I16" s="191">
        <f>+'Restate Revenues'!M28</f>
        <v>-8383168.3755000383</v>
      </c>
      <c r="J16" s="190"/>
      <c r="K16" s="190"/>
      <c r="L16" s="190"/>
      <c r="M16" s="192"/>
      <c r="N16" s="190"/>
      <c r="O16" s="190">
        <v>0</v>
      </c>
      <c r="P16" s="190"/>
      <c r="Q16" s="190"/>
      <c r="R16" s="190">
        <v>0</v>
      </c>
      <c r="S16" s="190"/>
      <c r="T16" s="190">
        <f>+'Revenue Adjustment'!G21+'Revenue Adjustment'!G22</f>
        <v>3286574</v>
      </c>
      <c r="U16" s="190">
        <v>0</v>
      </c>
      <c r="V16" s="190">
        <v>0</v>
      </c>
      <c r="W16" s="190">
        <v>0</v>
      </c>
      <c r="X16" s="190">
        <v>0</v>
      </c>
      <c r="Y16" s="190">
        <v>0</v>
      </c>
      <c r="Z16" s="190"/>
      <c r="AA16" s="193">
        <f>SUM(G16:Z16)</f>
        <v>10375437.408959962</v>
      </c>
    </row>
    <row r="17" spans="1:28">
      <c r="A17" s="188">
        <v>3</v>
      </c>
      <c r="B17" s="118"/>
      <c r="C17" s="69" t="s">
        <v>32</v>
      </c>
      <c r="D17" s="188"/>
      <c r="E17" s="118"/>
      <c r="F17" s="189"/>
      <c r="G17" s="194"/>
      <c r="H17" s="194"/>
      <c r="I17" s="194">
        <f>+'Restate Revenues'!M29</f>
        <v>-346008.79999999795</v>
      </c>
      <c r="J17" s="194"/>
      <c r="K17" s="194"/>
      <c r="L17" s="194"/>
      <c r="M17" s="194"/>
      <c r="N17" s="194">
        <f>+'Pro Forma Plant Additions'!E14</f>
        <v>199943.9</v>
      </c>
      <c r="O17" s="194">
        <v>0</v>
      </c>
      <c r="P17" s="194"/>
      <c r="Q17" s="194"/>
      <c r="R17" s="194">
        <v>0</v>
      </c>
      <c r="S17" s="194"/>
      <c r="T17" s="194">
        <f>+'Revenue Adjustment'!G23</f>
        <v>1933517</v>
      </c>
      <c r="U17" s="194">
        <v>0</v>
      </c>
      <c r="V17" s="194">
        <v>0</v>
      </c>
      <c r="W17" s="194">
        <v>0</v>
      </c>
      <c r="X17" s="194">
        <v>0</v>
      </c>
      <c r="Y17" s="194">
        <v>0</v>
      </c>
      <c r="Z17" s="195"/>
      <c r="AA17" s="195">
        <f>SUM(G17:Z17)</f>
        <v>1787452.100000002</v>
      </c>
    </row>
    <row r="18" spans="1:28">
      <c r="A18" s="188">
        <v>4</v>
      </c>
      <c r="B18" s="118"/>
      <c r="C18" s="69" t="s">
        <v>33</v>
      </c>
      <c r="D18" s="188"/>
      <c r="E18" s="118"/>
      <c r="F18" s="189"/>
      <c r="G18" s="194"/>
      <c r="H18" s="194"/>
      <c r="I18" s="196"/>
      <c r="J18" s="194"/>
      <c r="K18" s="194"/>
      <c r="L18" s="194"/>
      <c r="M18" s="194"/>
      <c r="N18" s="194"/>
      <c r="O18" s="194">
        <v>0</v>
      </c>
      <c r="P18" s="194"/>
      <c r="Q18" s="194"/>
      <c r="R18" s="194">
        <f>+'Miscellaneous Charges'!M16</f>
        <v>-101645</v>
      </c>
      <c r="S18" s="194"/>
      <c r="T18" s="194">
        <v>0</v>
      </c>
      <c r="U18" s="194">
        <v>0</v>
      </c>
      <c r="V18" s="194">
        <v>0</v>
      </c>
      <c r="W18" s="194">
        <v>0</v>
      </c>
      <c r="X18" s="194">
        <v>0</v>
      </c>
      <c r="Y18" s="194">
        <v>0</v>
      </c>
      <c r="Z18" s="195"/>
      <c r="AA18" s="195">
        <f>SUM(G18:Z18)</f>
        <v>-101645</v>
      </c>
    </row>
    <row r="19" spans="1:28" ht="16.5" thickBot="1">
      <c r="A19" s="188">
        <v>5</v>
      </c>
      <c r="B19" s="197"/>
      <c r="C19" s="82" t="s">
        <v>1371</v>
      </c>
      <c r="D19" s="198"/>
      <c r="E19" s="197"/>
      <c r="F19" s="199"/>
      <c r="G19" s="200">
        <f t="shared" ref="G19:Y19" si="0">+G16+G17+G18</f>
        <v>15472031.784460001</v>
      </c>
      <c r="H19" s="200">
        <f t="shared" si="0"/>
        <v>0</v>
      </c>
      <c r="I19" s="201">
        <f>+I16+I17+I18</f>
        <v>-8729177.1755000353</v>
      </c>
      <c r="J19" s="202"/>
      <c r="K19" s="200"/>
      <c r="L19" s="200">
        <f t="shared" si="0"/>
        <v>0</v>
      </c>
      <c r="M19" s="200">
        <f t="shared" si="0"/>
        <v>0</v>
      </c>
      <c r="N19" s="200">
        <f t="shared" si="0"/>
        <v>199943.9</v>
      </c>
      <c r="O19" s="200">
        <f t="shared" si="0"/>
        <v>0</v>
      </c>
      <c r="P19" s="200"/>
      <c r="Q19" s="200"/>
      <c r="R19" s="200">
        <f t="shared" si="0"/>
        <v>-101645</v>
      </c>
      <c r="S19" s="200"/>
      <c r="T19" s="200">
        <f t="shared" si="0"/>
        <v>5220091</v>
      </c>
      <c r="U19" s="200">
        <f t="shared" si="0"/>
        <v>0</v>
      </c>
      <c r="V19" s="200">
        <f t="shared" si="0"/>
        <v>0</v>
      </c>
      <c r="W19" s="200">
        <f t="shared" si="0"/>
        <v>0</v>
      </c>
      <c r="X19" s="200">
        <f t="shared" si="0"/>
        <v>0</v>
      </c>
      <c r="Y19" s="200">
        <f t="shared" si="0"/>
        <v>0</v>
      </c>
      <c r="Z19" s="200"/>
      <c r="AA19" s="200">
        <f>+AA18+AA17+AA16</f>
        <v>12061244.508959964</v>
      </c>
    </row>
    <row r="20" spans="1:28">
      <c r="A20" s="188"/>
      <c r="B20" s="197"/>
      <c r="C20" s="82"/>
      <c r="D20" s="198"/>
      <c r="E20" s="197"/>
      <c r="F20" s="199"/>
      <c r="G20" s="203">
        <f>G16-G22</f>
        <v>5420395.6576899998</v>
      </c>
      <c r="H20" s="203"/>
      <c r="I20" s="204"/>
      <c r="J20" s="205"/>
      <c r="K20" s="203"/>
      <c r="L20" s="203"/>
      <c r="M20" s="203"/>
      <c r="N20" s="203"/>
      <c r="O20" s="203"/>
      <c r="P20" s="203"/>
      <c r="Q20" s="203"/>
      <c r="R20" s="203"/>
      <c r="S20" s="203"/>
      <c r="T20" s="203"/>
      <c r="U20" s="203"/>
      <c r="V20" s="203"/>
      <c r="W20" s="203"/>
      <c r="X20" s="203"/>
      <c r="Y20" s="203"/>
      <c r="Z20" s="206"/>
      <c r="AA20" s="206"/>
    </row>
    <row r="21" spans="1:28">
      <c r="A21" s="188"/>
      <c r="B21" s="197"/>
      <c r="C21" s="82" t="s">
        <v>12</v>
      </c>
      <c r="D21" s="198"/>
      <c r="E21" s="197"/>
      <c r="F21" s="199"/>
      <c r="G21" s="203"/>
      <c r="H21" s="203"/>
      <c r="I21" s="204"/>
      <c r="J21" s="205"/>
      <c r="K21" s="203"/>
      <c r="L21" s="203"/>
      <c r="M21" s="203"/>
      <c r="N21" s="203"/>
      <c r="O21" s="203"/>
      <c r="P21" s="203"/>
      <c r="Q21" s="203"/>
      <c r="R21" s="203"/>
      <c r="S21" s="203"/>
      <c r="T21" s="203"/>
      <c r="U21" s="203"/>
      <c r="V21" s="203"/>
      <c r="W21" s="203"/>
      <c r="X21" s="203"/>
      <c r="Y21" s="203"/>
      <c r="Z21" s="206"/>
      <c r="AA21" s="206"/>
    </row>
    <row r="22" spans="1:28">
      <c r="A22" s="188">
        <v>6</v>
      </c>
      <c r="B22" s="161"/>
      <c r="C22" s="69" t="s">
        <v>1369</v>
      </c>
      <c r="D22" s="157"/>
      <c r="E22" s="161"/>
      <c r="F22" s="117"/>
      <c r="G22" s="194">
        <f>+'Weather Normalization'!F37</f>
        <v>10051636.126770001</v>
      </c>
      <c r="H22" s="194"/>
      <c r="I22" s="196">
        <f>+'Restate Revenues'!M48</f>
        <v>-6033097.8530900329</v>
      </c>
      <c r="J22" s="194"/>
      <c r="K22" s="194"/>
      <c r="L22" s="194"/>
      <c r="M22" s="194"/>
      <c r="N22" s="194"/>
      <c r="O22" s="194"/>
      <c r="P22" s="194"/>
      <c r="Q22" s="194"/>
      <c r="R22" s="194"/>
      <c r="S22" s="194"/>
      <c r="T22" s="194"/>
      <c r="U22" s="194"/>
      <c r="V22" s="194"/>
      <c r="W22" s="194"/>
      <c r="X22" s="194"/>
      <c r="Y22" s="194"/>
      <c r="Z22" s="207"/>
      <c r="AA22" s="208">
        <f>SUM(G22:Z22)</f>
        <v>4018538.273679968</v>
      </c>
    </row>
    <row r="23" spans="1:28">
      <c r="A23" s="188">
        <v>7</v>
      </c>
      <c r="B23" s="161"/>
      <c r="C23" s="69" t="s">
        <v>1370</v>
      </c>
      <c r="D23" s="157"/>
      <c r="E23" s="161"/>
      <c r="F23" s="117"/>
      <c r="G23" s="194">
        <f>+G16*('Exh MPP-4 - Conversion Factor'!C9+'Exh MPP-4 - Conversion Factor'!C10)</f>
        <v>626926.7279063192</v>
      </c>
      <c r="H23" s="194"/>
      <c r="I23" s="196">
        <f>+I19*('Exh MPP-4 - Conversion Factor'!C9+'Exh MPP-4 - Conversion Factor'!C10)</f>
        <v>-353706.25915126142</v>
      </c>
      <c r="J23" s="194"/>
      <c r="K23" s="194"/>
      <c r="L23" s="194"/>
      <c r="M23" s="194"/>
      <c r="N23" s="196">
        <f>+N19*('Exh MPP-4 - Conversion Factor'!C9+'Exh MPP-4 - Conversion Factor'!C10)</f>
        <v>8101.7268279999998</v>
      </c>
      <c r="O23" s="194"/>
      <c r="P23" s="194"/>
      <c r="Q23" s="194"/>
      <c r="R23" s="194">
        <f>+R19*('Exh MPP-4 - Conversion Factor'!C9+'Exh MPP-4 - Conversion Factor'!C10)</f>
        <v>-4118.6553999999996</v>
      </c>
      <c r="S23" s="194"/>
      <c r="T23" s="194">
        <f>+T19*('Exh MPP-4 - Conversion Factor'!C9+'Exh MPP-4 - Conversion Factor'!C10)</f>
        <v>211518.08731999999</v>
      </c>
      <c r="U23" s="194"/>
      <c r="V23" s="194"/>
      <c r="W23" s="194"/>
      <c r="X23" s="194"/>
      <c r="Y23" s="194"/>
      <c r="Z23" s="207"/>
      <c r="AA23" s="208">
        <f>SUM(G23:Z23)</f>
        <v>488721.62750305777</v>
      </c>
    </row>
    <row r="24" spans="1:28">
      <c r="A24" s="188">
        <v>8</v>
      </c>
      <c r="B24" s="161"/>
      <c r="C24" s="88" t="s">
        <v>35</v>
      </c>
      <c r="D24" s="157"/>
      <c r="E24" s="161"/>
      <c r="F24" s="117"/>
      <c r="G24" s="194"/>
      <c r="H24" s="194"/>
      <c r="I24" s="196"/>
      <c r="J24" s="194"/>
      <c r="K24" s="194"/>
      <c r="L24" s="194"/>
      <c r="M24" s="194">
        <f>+'Operating Report'!N56</f>
        <v>16165.959663484771</v>
      </c>
      <c r="N24" s="194"/>
      <c r="O24" s="194"/>
      <c r="P24" s="194"/>
      <c r="Q24" s="194"/>
      <c r="R24" s="194"/>
      <c r="S24" s="194"/>
      <c r="T24" s="194"/>
      <c r="U24" s="194"/>
      <c r="V24" s="194"/>
      <c r="W24" s="194"/>
      <c r="X24" s="194"/>
      <c r="Y24" s="194"/>
      <c r="Z24" s="207"/>
      <c r="AA24" s="190">
        <f t="shared" ref="AA24:AA34" si="1">SUM(G24:Z24)</f>
        <v>16165.959663484771</v>
      </c>
    </row>
    <row r="25" spans="1:28">
      <c r="A25" s="188">
        <v>9</v>
      </c>
      <c r="B25" s="161"/>
      <c r="C25" s="88" t="s">
        <v>13</v>
      </c>
      <c r="D25" s="157"/>
      <c r="E25" s="161"/>
      <c r="F25" s="117"/>
      <c r="G25" s="194"/>
      <c r="H25" s="194"/>
      <c r="I25" s="196"/>
      <c r="J25" s="194"/>
      <c r="K25" s="194"/>
      <c r="L25" s="194"/>
      <c r="M25" s="194">
        <f>+'Operating Report'!N84</f>
        <v>801024.53843530081</v>
      </c>
      <c r="N25" s="194"/>
      <c r="O25" s="194"/>
      <c r="P25" s="194">
        <f>+'Pro Forma Compliance Department'!L15</f>
        <v>183761.99296</v>
      </c>
      <c r="Q25" s="194">
        <f>+'MAOP UG-160787 Deferral'!D13</f>
        <v>959086.83400000003</v>
      </c>
      <c r="R25" s="194"/>
      <c r="S25" s="194"/>
      <c r="T25" s="194"/>
      <c r="U25" s="194"/>
      <c r="V25" s="194"/>
      <c r="W25" s="194"/>
      <c r="X25" s="194"/>
      <c r="Y25" s="194"/>
      <c r="Z25" s="207"/>
      <c r="AA25" s="190">
        <f t="shared" si="1"/>
        <v>1943873.3653953008</v>
      </c>
    </row>
    <row r="26" spans="1:28">
      <c r="A26" s="188">
        <v>10</v>
      </c>
      <c r="B26" s="161"/>
      <c r="C26" s="88" t="s">
        <v>36</v>
      </c>
      <c r="D26" s="157"/>
      <c r="E26" s="161"/>
      <c r="F26" s="117"/>
      <c r="G26" s="209">
        <f>+G19*'Exh MPP-4 - Conversion Factor'!C8</f>
        <v>58685.9549560913</v>
      </c>
      <c r="H26" s="210"/>
      <c r="I26" s="211">
        <f>+I19*'Exh MPP-4 - Conversion Factor'!C8</f>
        <v>-33110.072785635421</v>
      </c>
      <c r="J26" s="212"/>
      <c r="K26" s="210"/>
      <c r="L26" s="209"/>
      <c r="M26" s="213">
        <f>+'Operating Report'!N92</f>
        <v>87064.767914023963</v>
      </c>
      <c r="N26" s="211">
        <f>+N19*'Exh MPP-4 - Conversion Factor'!C8</f>
        <v>758.39417037203009</v>
      </c>
      <c r="O26" s="209"/>
      <c r="P26" s="209"/>
      <c r="Q26" s="209"/>
      <c r="R26" s="209">
        <f>+R19*'Exh MPP-4 - Conversion Factor'!C8</f>
        <v>-385.54302205501142</v>
      </c>
      <c r="S26" s="209">
        <f>+S19*'Exh MPP-4 - Conversion Factor'!D8</f>
        <v>0</v>
      </c>
      <c r="T26" s="209">
        <f>+T19*'Exh MPP-4 - Conversion Factor'!C8</f>
        <v>19799.986812358373</v>
      </c>
      <c r="U26" s="209"/>
      <c r="V26" s="209"/>
      <c r="W26" s="209"/>
      <c r="X26" s="209"/>
      <c r="Y26" s="209"/>
      <c r="Z26" s="214"/>
      <c r="AA26" s="190">
        <f t="shared" si="1"/>
        <v>132813.48804515525</v>
      </c>
    </row>
    <row r="27" spans="1:28">
      <c r="A27" s="188">
        <v>11</v>
      </c>
      <c r="B27" s="161"/>
      <c r="C27" s="88" t="s">
        <v>14</v>
      </c>
      <c r="D27" s="157"/>
      <c r="E27" s="161"/>
      <c r="F27" s="117"/>
      <c r="G27" s="215"/>
      <c r="H27" s="194"/>
      <c r="I27" s="196"/>
      <c r="J27" s="196">
        <f>-'Low-Income Bill Assistance'!F20</f>
        <v>-533333.36</v>
      </c>
      <c r="K27" s="194"/>
      <c r="L27" s="194"/>
      <c r="M27" s="194"/>
      <c r="N27" s="194"/>
      <c r="O27" s="194"/>
      <c r="P27" s="194"/>
      <c r="Q27" s="194"/>
      <c r="R27" s="194"/>
      <c r="S27" s="194"/>
      <c r="T27" s="194"/>
      <c r="U27" s="194"/>
      <c r="V27" s="194"/>
      <c r="W27" s="194"/>
      <c r="X27" s="194"/>
      <c r="Y27" s="194"/>
      <c r="Z27" s="216"/>
      <c r="AA27" s="190">
        <f t="shared" si="1"/>
        <v>-533333.36</v>
      </c>
    </row>
    <row r="28" spans="1:28">
      <c r="A28" s="188">
        <v>12</v>
      </c>
      <c r="B28" s="161"/>
      <c r="C28" s="88" t="s">
        <v>15</v>
      </c>
      <c r="D28" s="157"/>
      <c r="E28" s="161"/>
      <c r="F28" s="117"/>
      <c r="G28" s="194"/>
      <c r="H28" s="194">
        <f>-'Advertising Adj'!F29</f>
        <v>-4916.5899999999992</v>
      </c>
      <c r="I28" s="196"/>
      <c r="J28" s="194"/>
      <c r="K28" s="194"/>
      <c r="L28" s="194"/>
      <c r="M28" s="194"/>
      <c r="N28" s="194"/>
      <c r="O28" s="194"/>
      <c r="P28" s="194"/>
      <c r="Q28" s="194"/>
      <c r="R28" s="194"/>
      <c r="S28" s="194"/>
      <c r="T28" s="194"/>
      <c r="U28" s="194"/>
      <c r="V28" s="194"/>
      <c r="W28" s="194"/>
      <c r="X28" s="194"/>
      <c r="Y28" s="194"/>
      <c r="Z28" s="216"/>
      <c r="AA28" s="190">
        <f t="shared" si="1"/>
        <v>-4916.5899999999992</v>
      </c>
    </row>
    <row r="29" spans="1:28" ht="16.5" thickBot="1">
      <c r="A29" s="188">
        <v>13</v>
      </c>
      <c r="B29" s="197"/>
      <c r="C29" s="88" t="s">
        <v>16</v>
      </c>
      <c r="D29" s="198"/>
      <c r="E29" s="197"/>
      <c r="F29" s="199"/>
      <c r="G29" s="194"/>
      <c r="H29" s="194">
        <f>-'Advertising Adj'!F75</f>
        <v>-49800.45</v>
      </c>
      <c r="I29" s="196"/>
      <c r="J29" s="194"/>
      <c r="K29" s="194"/>
      <c r="L29" s="194"/>
      <c r="M29" s="194">
        <f>+'Operating Report'!N122</f>
        <v>450657.88931101491</v>
      </c>
      <c r="N29" s="194"/>
      <c r="O29" s="194">
        <f>+'Rate Case Costs'!G15</f>
        <v>298511.64</v>
      </c>
      <c r="P29" s="194">
        <f>+'Pro Forma Compliance Department'!L16</f>
        <v>82692.896831999999</v>
      </c>
      <c r="Q29" s="194"/>
      <c r="R29" s="194"/>
      <c r="S29" s="194"/>
      <c r="T29" s="194"/>
      <c r="U29" s="194"/>
      <c r="V29" s="194"/>
      <c r="W29" s="194"/>
      <c r="X29" s="194"/>
      <c r="Y29" s="194"/>
      <c r="Z29" s="217"/>
      <c r="AA29" s="190">
        <f t="shared" si="1"/>
        <v>782061.97614301485</v>
      </c>
    </row>
    <row r="30" spans="1:28">
      <c r="A30" s="188">
        <v>14</v>
      </c>
      <c r="B30" s="161"/>
      <c r="C30" s="88" t="s">
        <v>37</v>
      </c>
      <c r="D30" s="157"/>
      <c r="E30" s="161"/>
      <c r="F30" s="117"/>
      <c r="G30" s="218"/>
      <c r="H30" s="218"/>
      <c r="I30" s="219"/>
      <c r="J30" s="218"/>
      <c r="K30" s="218"/>
      <c r="L30" s="218"/>
      <c r="M30" s="194"/>
      <c r="N30" s="194">
        <f>+'Pro Forma Plant Additions'!F18</f>
        <v>410853.14640118089</v>
      </c>
      <c r="O30" s="194"/>
      <c r="P30" s="194"/>
      <c r="Q30" s="194"/>
      <c r="R30" s="194"/>
      <c r="S30" s="194">
        <f>+'CRM Adjustment (a)'!E16</f>
        <v>78010.890174750049</v>
      </c>
      <c r="T30" s="194"/>
      <c r="U30" s="194"/>
      <c r="V30" s="194"/>
      <c r="W30" s="194"/>
      <c r="X30" s="194"/>
      <c r="Y30" s="194"/>
      <c r="Z30" s="220"/>
      <c r="AA30" s="190">
        <f t="shared" si="1"/>
        <v>488864.03657593095</v>
      </c>
    </row>
    <row r="31" spans="1:28">
      <c r="A31" s="188">
        <v>15</v>
      </c>
      <c r="B31" s="161"/>
      <c r="C31" s="88" t="s">
        <v>38</v>
      </c>
      <c r="D31" s="157"/>
      <c r="E31" s="161"/>
      <c r="F31" s="117"/>
      <c r="G31" s="194"/>
      <c r="H31" s="194"/>
      <c r="I31" s="196"/>
      <c r="J31" s="194"/>
      <c r="K31" s="194"/>
      <c r="L31" s="194"/>
      <c r="M31" s="194"/>
      <c r="N31" s="194"/>
      <c r="O31" s="194"/>
      <c r="P31" s="194"/>
      <c r="Q31" s="194"/>
      <c r="R31" s="194"/>
      <c r="S31" s="194"/>
      <c r="T31" s="194"/>
      <c r="U31" s="194"/>
      <c r="V31" s="194"/>
      <c r="W31" s="194"/>
      <c r="X31" s="194"/>
      <c r="Y31" s="194"/>
      <c r="Z31" s="216"/>
      <c r="AA31" s="190">
        <f t="shared" si="1"/>
        <v>0</v>
      </c>
    </row>
    <row r="32" spans="1:28">
      <c r="A32" s="188">
        <v>16</v>
      </c>
      <c r="B32" s="161"/>
      <c r="C32" s="88" t="s">
        <v>39</v>
      </c>
      <c r="D32" s="157"/>
      <c r="E32" s="161"/>
      <c r="F32" s="117"/>
      <c r="G32" s="194"/>
      <c r="H32" s="194"/>
      <c r="I32" s="196"/>
      <c r="J32" s="194"/>
      <c r="K32" s="194"/>
      <c r="L32" s="194"/>
      <c r="M32" s="194">
        <f>+'Pro Forma Wage Adjustment'!P17</f>
        <v>82922.448313984569</v>
      </c>
      <c r="N32" s="194">
        <f>+'Pro Forma Plant Additions'!E12</f>
        <v>211115.02764378799</v>
      </c>
      <c r="O32" s="194"/>
      <c r="P32" s="194">
        <f>+'Pro Forma Compliance Department'!L17</f>
        <v>13138.982496639999</v>
      </c>
      <c r="Q32" s="194"/>
      <c r="R32" s="194"/>
      <c r="S32" s="194"/>
      <c r="T32" s="194"/>
      <c r="U32" s="194"/>
      <c r="V32" s="194"/>
      <c r="W32" s="194"/>
      <c r="X32" s="194"/>
      <c r="Y32" s="194"/>
      <c r="Z32" s="216"/>
      <c r="AA32" s="190">
        <f t="shared" si="1"/>
        <v>307176.45845441258</v>
      </c>
      <c r="AB32" s="117"/>
    </row>
    <row r="33" spans="1:139">
      <c r="A33" s="188">
        <v>17</v>
      </c>
      <c r="B33" s="161"/>
      <c r="C33" s="88" t="s">
        <v>40</v>
      </c>
      <c r="D33" s="157"/>
      <c r="E33" s="161"/>
      <c r="F33" s="117"/>
      <c r="G33" s="196">
        <f>(+G19-SUM(G22:G32))*'Exh MPP-4 - Conversion Factor'!$C$33</f>
        <v>1657174.0411896561</v>
      </c>
      <c r="H33" s="196">
        <f>(+H19-SUM(H22:H32))*'Exh MPP-4 - Conversion Factor'!$C$33+0.5</f>
        <v>19151.463999999996</v>
      </c>
      <c r="I33" s="196">
        <f>(+I19-SUM(I22:I32))*'Exh MPP-4 - Conversion Factor'!$C$33</f>
        <v>-808242.04666558688</v>
      </c>
      <c r="J33" s="196">
        <f>(+J19-SUM(J22:J32))*'Exh MPP-4 - Conversion Factor'!$C$33</f>
        <v>186666.67599999998</v>
      </c>
      <c r="K33" s="196"/>
      <c r="L33" s="196">
        <f>+'Interest Coord. Adj.'!H16</f>
        <v>274826.90323425876</v>
      </c>
      <c r="M33" s="196">
        <f>(+M19-SUM(M22:M32))*'Exh MPP-4 - Conversion Factor'!$C$33</f>
        <v>-503242.46127323312</v>
      </c>
      <c r="N33" s="196">
        <f>(+N19-SUM(N22:N32))*'Exh MPP-4 - Conversion Factor'!$C$33</f>
        <v>-150809.53826516928</v>
      </c>
      <c r="O33" s="196">
        <f>(+O19-SUM(O22:O32))*'Exh MPP-4 - Conversion Factor'!$C$33</f>
        <v>-104479.07399999999</v>
      </c>
      <c r="P33" s="196">
        <f>(+P19-SUM(P22:P32))*'Exh MPP-4 - Conversion Factor'!$C$33</f>
        <v>-97857.855301023999</v>
      </c>
      <c r="Q33" s="196">
        <f>(+Q19-SUM(Q22:Q32))*'Exh MPP-4 - Conversion Factor'!$C$33</f>
        <v>-335680.39189999999</v>
      </c>
      <c r="R33" s="196">
        <f>(+R19-SUM(R22:R32))*'Exh MPP-4 - Conversion Factor'!$C$33</f>
        <v>-33999.280552280747</v>
      </c>
      <c r="S33" s="196">
        <f>(+S19-SUM(S22:S32))*'Exh MPP-4 - Conversion Factor'!$C$33</f>
        <v>-27303.811561162514</v>
      </c>
      <c r="T33" s="196">
        <f>(+T19-SUM(T22:T32))*'Exh MPP-4 - Conversion Factor'!$C$33</f>
        <v>1746070.5240536744</v>
      </c>
      <c r="U33" s="196">
        <f>(+U19-SUM(U24:U32))*'Exh MPP-4 - Conversion Factor'!$C$33</f>
        <v>0</v>
      </c>
      <c r="V33" s="196">
        <f>(+V19-SUM(V24:V32))*'Exh MPP-4 - Conversion Factor'!$C$33</f>
        <v>0</v>
      </c>
      <c r="W33" s="196">
        <f>(+W19-SUM(W24:W32))*'Exh MPP-4 - Conversion Factor'!$C$33</f>
        <v>0</v>
      </c>
      <c r="X33" s="196">
        <f>(+X19-SUM(X24:X32))*'Exh MPP-4 - Conversion Factor'!$C$33</f>
        <v>0</v>
      </c>
      <c r="Y33" s="196">
        <f>(+Y19-SUM(Y24:Y32))*'Exh MPP-4 - Conversion Factor'!$C$33</f>
        <v>0</v>
      </c>
      <c r="Z33" s="216"/>
      <c r="AA33" s="190">
        <f t="shared" si="1"/>
        <v>1822275.1489591328</v>
      </c>
      <c r="AB33" s="117"/>
    </row>
    <row r="34" spans="1:139">
      <c r="A34" s="188">
        <v>18</v>
      </c>
      <c r="B34" s="161"/>
      <c r="C34" s="94" t="s">
        <v>41</v>
      </c>
      <c r="D34" s="157"/>
      <c r="E34" s="161"/>
      <c r="F34" s="117"/>
      <c r="G34" s="195">
        <f>SUM(G22:G33)</f>
        <v>12394422.850822067</v>
      </c>
      <c r="H34" s="195">
        <f t="shared" ref="H34:J34" si="2">SUM(H22:H33)</f>
        <v>-35565.576000000001</v>
      </c>
      <c r="I34" s="195">
        <f t="shared" si="2"/>
        <v>-7228156.2316925162</v>
      </c>
      <c r="J34" s="195">
        <f t="shared" si="2"/>
        <v>-346666.68400000001</v>
      </c>
      <c r="K34" s="195"/>
      <c r="L34" s="195">
        <f>SUM(L24:L33)</f>
        <v>274826.90323425876</v>
      </c>
      <c r="M34" s="195">
        <f t="shared" ref="M34:T34" si="3">SUM(M22:M33)</f>
        <v>934593.14236457576</v>
      </c>
      <c r="N34" s="195">
        <f t="shared" si="3"/>
        <v>480018.75677817164</v>
      </c>
      <c r="O34" s="195">
        <f t="shared" si="3"/>
        <v>194032.56600000002</v>
      </c>
      <c r="P34" s="195">
        <f t="shared" si="3"/>
        <v>181736.01698761602</v>
      </c>
      <c r="Q34" s="195">
        <f t="shared" si="3"/>
        <v>623406.4421000001</v>
      </c>
      <c r="R34" s="195">
        <f t="shared" si="3"/>
        <v>-38503.478974335754</v>
      </c>
      <c r="S34" s="195">
        <f>SUM(S22:S33)</f>
        <v>50707.078613587539</v>
      </c>
      <c r="T34" s="195">
        <f t="shared" si="3"/>
        <v>1977388.5981860328</v>
      </c>
      <c r="U34" s="195">
        <f t="shared" ref="U34:Y34" si="4">SUM(U24:U33)</f>
        <v>0</v>
      </c>
      <c r="V34" s="195">
        <f t="shared" si="4"/>
        <v>0</v>
      </c>
      <c r="W34" s="195">
        <f t="shared" si="4"/>
        <v>0</v>
      </c>
      <c r="X34" s="195">
        <f t="shared" si="4"/>
        <v>0</v>
      </c>
      <c r="Y34" s="195">
        <f t="shared" si="4"/>
        <v>0</v>
      </c>
      <c r="Z34" s="216"/>
      <c r="AA34" s="190">
        <f t="shared" si="1"/>
        <v>9462240.384419458</v>
      </c>
      <c r="AB34" s="117"/>
    </row>
    <row r="35" spans="1:139" ht="16.5" thickBot="1">
      <c r="A35" s="188">
        <v>19</v>
      </c>
      <c r="B35" s="161"/>
      <c r="C35" s="94" t="s">
        <v>17</v>
      </c>
      <c r="D35" s="157"/>
      <c r="E35" s="161"/>
      <c r="F35" s="117"/>
      <c r="G35" s="221">
        <f>+G19-G34</f>
        <v>3077608.9336379338</v>
      </c>
      <c r="H35" s="221">
        <f t="shared" ref="H35:J35" si="5">+H19-H34</f>
        <v>35565.576000000001</v>
      </c>
      <c r="I35" s="221">
        <f t="shared" si="5"/>
        <v>-1501020.943807519</v>
      </c>
      <c r="J35" s="221">
        <f t="shared" si="5"/>
        <v>346666.68400000001</v>
      </c>
      <c r="K35" s="221"/>
      <c r="L35" s="221">
        <f t="shared" ref="L35:T35" si="6">+L19-L34</f>
        <v>-274826.90323425876</v>
      </c>
      <c r="M35" s="221">
        <f t="shared" si="6"/>
        <v>-934593.14236457576</v>
      </c>
      <c r="N35" s="221">
        <f t="shared" si="6"/>
        <v>-280074.85677817161</v>
      </c>
      <c r="O35" s="221">
        <f t="shared" si="6"/>
        <v>-194032.56600000002</v>
      </c>
      <c r="P35" s="221">
        <f t="shared" si="6"/>
        <v>-181736.01698761602</v>
      </c>
      <c r="Q35" s="221">
        <f t="shared" si="6"/>
        <v>-623406.4421000001</v>
      </c>
      <c r="R35" s="221">
        <f t="shared" si="6"/>
        <v>-63141.521025664246</v>
      </c>
      <c r="S35" s="221">
        <f t="shared" si="6"/>
        <v>-50707.078613587539</v>
      </c>
      <c r="T35" s="221">
        <f t="shared" si="6"/>
        <v>3242702.4018139672</v>
      </c>
      <c r="U35" s="221">
        <f t="shared" ref="U35" si="7">+U19-U34</f>
        <v>0</v>
      </c>
      <c r="V35" s="221">
        <f t="shared" ref="V35" si="8">+V19-V34</f>
        <v>0</v>
      </c>
      <c r="W35" s="221">
        <f t="shared" ref="W35" si="9">+W19-W34</f>
        <v>0</v>
      </c>
      <c r="X35" s="221">
        <f t="shared" ref="X35" si="10">+X19-X34</f>
        <v>0</v>
      </c>
      <c r="Y35" s="221">
        <f t="shared" ref="Y35" si="11">+Y19-Y34</f>
        <v>0</v>
      </c>
      <c r="Z35" s="221"/>
      <c r="AA35" s="221">
        <f>+AA19-AA34</f>
        <v>2599004.1245405059</v>
      </c>
      <c r="AB35" s="117"/>
    </row>
    <row r="36" spans="1:139" ht="16.5" thickBot="1">
      <c r="A36" s="188"/>
      <c r="B36" s="161"/>
      <c r="C36" s="94"/>
      <c r="D36" s="157"/>
      <c r="E36" s="161"/>
      <c r="F36" s="117"/>
      <c r="G36" s="222"/>
      <c r="H36" s="222"/>
      <c r="I36" s="223"/>
      <c r="J36" s="222"/>
      <c r="K36" s="222"/>
      <c r="L36" s="222"/>
      <c r="M36" s="224"/>
      <c r="N36" s="222"/>
      <c r="O36" s="222"/>
      <c r="P36" s="222"/>
      <c r="Q36" s="222"/>
      <c r="R36" s="222"/>
      <c r="S36" s="222"/>
      <c r="T36" s="222"/>
      <c r="U36" s="222"/>
      <c r="V36" s="222"/>
      <c r="W36" s="222"/>
      <c r="X36" s="222"/>
      <c r="Y36" s="222"/>
      <c r="Z36" s="225"/>
      <c r="AA36" s="222"/>
      <c r="AB36" s="226"/>
    </row>
    <row r="37" spans="1:139" ht="16.5" thickTop="1">
      <c r="A37" s="188">
        <v>20</v>
      </c>
      <c r="B37" s="161"/>
      <c r="C37" s="94" t="s">
        <v>42</v>
      </c>
      <c r="D37" s="157"/>
      <c r="E37" s="161"/>
      <c r="F37" s="117"/>
      <c r="G37" s="207"/>
      <c r="H37" s="207"/>
      <c r="I37" s="227"/>
      <c r="J37" s="207"/>
      <c r="K37" s="207"/>
      <c r="L37" s="207"/>
      <c r="M37" s="220"/>
      <c r="N37" s="207"/>
      <c r="O37" s="207"/>
      <c r="P37" s="207"/>
      <c r="Q37" s="207"/>
      <c r="R37" s="207"/>
      <c r="S37" s="207"/>
      <c r="T37" s="207"/>
      <c r="U37" s="207"/>
      <c r="V37" s="207"/>
      <c r="W37" s="207"/>
      <c r="X37" s="207"/>
      <c r="Y37" s="207"/>
      <c r="Z37" s="207"/>
      <c r="AA37" s="228"/>
      <c r="AB37" s="117"/>
    </row>
    <row r="38" spans="1:139">
      <c r="A38" s="188">
        <v>21</v>
      </c>
      <c r="B38" s="161"/>
      <c r="C38" s="69" t="s">
        <v>44</v>
      </c>
      <c r="D38" s="157"/>
      <c r="E38" s="161"/>
      <c r="F38" s="117"/>
      <c r="G38" s="218"/>
      <c r="H38" s="218"/>
      <c r="I38" s="219"/>
      <c r="J38" s="218"/>
      <c r="K38" s="218"/>
      <c r="L38" s="218"/>
      <c r="M38" s="194"/>
      <c r="N38" s="194">
        <f>+'Pro Forma Plant Additions'!E16</f>
        <v>18072319.657660004</v>
      </c>
      <c r="O38" s="194"/>
      <c r="P38" s="194"/>
      <c r="Q38" s="194"/>
      <c r="R38" s="194"/>
      <c r="S38" s="194">
        <f>+'CRM Adjustment (a)'!C14</f>
        <v>3023677.9137500022</v>
      </c>
      <c r="T38" s="194"/>
      <c r="U38" s="194"/>
      <c r="V38" s="194"/>
      <c r="W38" s="194"/>
      <c r="X38" s="194"/>
      <c r="Y38" s="194"/>
      <c r="Z38" s="214"/>
      <c r="AA38" s="229">
        <f t="shared" ref="AA38:AA42" si="12">SUM(G38:Z38)</f>
        <v>21095997.571410008</v>
      </c>
      <c r="AB38" s="117"/>
    </row>
    <row r="39" spans="1:139">
      <c r="A39" s="188">
        <v>22</v>
      </c>
      <c r="B39" s="161"/>
      <c r="C39" s="69" t="s">
        <v>45</v>
      </c>
      <c r="D39" s="157"/>
      <c r="E39" s="161"/>
      <c r="F39" s="117"/>
      <c r="G39" s="230"/>
      <c r="H39" s="230"/>
      <c r="I39" s="231"/>
      <c r="J39" s="230"/>
      <c r="K39" s="230"/>
      <c r="L39" s="230"/>
      <c r="M39" s="230"/>
      <c r="N39" s="230">
        <f>-'Pro Forma Plant Additions'!E19</f>
        <v>-205426.57320059044</v>
      </c>
      <c r="O39" s="230"/>
      <c r="P39" s="230"/>
      <c r="Q39" s="230"/>
      <c r="R39" s="230"/>
      <c r="S39" s="230">
        <f>-'CRM Adjustment (a)'!C17</f>
        <v>-39005.445087375025</v>
      </c>
      <c r="T39" s="230"/>
      <c r="U39" s="194"/>
      <c r="V39" s="194"/>
      <c r="W39" s="230"/>
      <c r="X39" s="230"/>
      <c r="Y39" s="230"/>
      <c r="Z39" s="216"/>
      <c r="AA39" s="229">
        <f t="shared" si="12"/>
        <v>-244432.01828796547</v>
      </c>
      <c r="AB39" s="117"/>
    </row>
    <row r="40" spans="1:139">
      <c r="A40" s="188">
        <v>23</v>
      </c>
      <c r="B40" s="161"/>
      <c r="C40" s="80" t="s">
        <v>18</v>
      </c>
      <c r="D40" s="157"/>
      <c r="E40" s="161"/>
      <c r="F40" s="117"/>
      <c r="G40" s="230"/>
      <c r="H40" s="230"/>
      <c r="I40" s="231"/>
      <c r="J40" s="230"/>
      <c r="K40" s="230"/>
      <c r="L40" s="230"/>
      <c r="M40" s="230"/>
      <c r="N40" s="230"/>
      <c r="O40" s="230"/>
      <c r="P40" s="230"/>
      <c r="Q40" s="230"/>
      <c r="R40" s="230"/>
      <c r="S40" s="230"/>
      <c r="T40" s="230"/>
      <c r="U40" s="230"/>
      <c r="V40" s="230"/>
      <c r="W40" s="230"/>
      <c r="X40" s="230"/>
      <c r="Y40" s="230"/>
      <c r="Z40" s="216"/>
      <c r="AA40" s="229">
        <f t="shared" si="12"/>
        <v>0</v>
      </c>
      <c r="AB40" s="117"/>
    </row>
    <row r="41" spans="1:139" ht="16.5" thickBot="1">
      <c r="A41" s="188">
        <v>24</v>
      </c>
      <c r="B41" s="161"/>
      <c r="C41" s="80" t="s">
        <v>46</v>
      </c>
      <c r="D41" s="157"/>
      <c r="E41" s="161"/>
      <c r="F41" s="117"/>
      <c r="G41" s="230"/>
      <c r="H41" s="230"/>
      <c r="I41" s="231"/>
      <c r="J41" s="230"/>
      <c r="K41" s="230"/>
      <c r="L41" s="230"/>
      <c r="M41" s="230"/>
      <c r="N41" s="230">
        <f>-'Pro Forma Plant Additions'!E22</f>
        <v>-46700.297133187109</v>
      </c>
      <c r="O41" s="230"/>
      <c r="P41" s="230"/>
      <c r="Q41" s="230"/>
      <c r="R41" s="230"/>
      <c r="S41" s="230">
        <f>-'CRM Adjustment (a)'!C20</f>
        <v>-6190.9805284031308</v>
      </c>
      <c r="T41" s="230"/>
      <c r="U41" s="230"/>
      <c r="V41" s="230"/>
      <c r="W41" s="230"/>
      <c r="X41" s="230"/>
      <c r="Y41" s="230"/>
      <c r="Z41" s="232"/>
      <c r="AA41" s="229">
        <f t="shared" si="12"/>
        <v>-52891.27766159024</v>
      </c>
      <c r="AB41" s="117"/>
    </row>
    <row r="42" spans="1:139">
      <c r="A42" s="188">
        <v>25</v>
      </c>
      <c r="B42" s="161"/>
      <c r="C42" s="80" t="s">
        <v>47</v>
      </c>
      <c r="D42" s="157"/>
      <c r="E42" s="161"/>
      <c r="F42" s="117"/>
      <c r="G42" s="230"/>
      <c r="H42" s="230"/>
      <c r="I42" s="231"/>
      <c r="J42" s="230"/>
      <c r="K42" s="230"/>
      <c r="L42" s="230"/>
      <c r="M42" s="230"/>
      <c r="N42" s="230"/>
      <c r="O42" s="230"/>
      <c r="P42" s="230"/>
      <c r="Q42" s="230"/>
      <c r="R42" s="230"/>
      <c r="S42" s="230"/>
      <c r="T42" s="230"/>
      <c r="U42" s="230"/>
      <c r="V42" s="230"/>
      <c r="W42" s="230"/>
      <c r="X42" s="230"/>
      <c r="Y42" s="230"/>
      <c r="Z42" s="216"/>
      <c r="AA42" s="229">
        <f t="shared" si="12"/>
        <v>0</v>
      </c>
      <c r="AB42" s="117"/>
    </row>
    <row r="43" spans="1:139" ht="16.5" thickBot="1">
      <c r="A43" s="188">
        <v>26</v>
      </c>
      <c r="B43" s="161"/>
      <c r="C43" s="94" t="s">
        <v>43</v>
      </c>
      <c r="D43" s="157"/>
      <c r="E43" s="161"/>
      <c r="F43" s="117"/>
      <c r="G43" s="233">
        <f>SUM(G38:G42)</f>
        <v>0</v>
      </c>
      <c r="H43" s="233">
        <f>SUM(H38:H42)</f>
        <v>0</v>
      </c>
      <c r="I43" s="233">
        <f>SUM(I38:I42)</f>
        <v>0</v>
      </c>
      <c r="J43" s="233">
        <f>SUM(J38:J42)</f>
        <v>0</v>
      </c>
      <c r="K43" s="233"/>
      <c r="L43" s="233">
        <f>SUM(L38:L42)</f>
        <v>0</v>
      </c>
      <c r="M43" s="233">
        <f>SUM(M38:M42)</f>
        <v>0</v>
      </c>
      <c r="N43" s="233">
        <f>SUM(N38:N42)</f>
        <v>17820192.787326224</v>
      </c>
      <c r="O43" s="233">
        <f>SUM(O38:O42)</f>
        <v>0</v>
      </c>
      <c r="P43" s="233"/>
      <c r="Q43" s="233"/>
      <c r="R43" s="233">
        <f t="shared" ref="R43:Y43" si="13">SUM(R38:R42)</f>
        <v>0</v>
      </c>
      <c r="S43" s="233">
        <f t="shared" si="13"/>
        <v>2978481.488134224</v>
      </c>
      <c r="T43" s="233">
        <f t="shared" si="13"/>
        <v>0</v>
      </c>
      <c r="U43" s="233">
        <f t="shared" si="13"/>
        <v>0</v>
      </c>
      <c r="V43" s="233">
        <f t="shared" si="13"/>
        <v>0</v>
      </c>
      <c r="W43" s="233">
        <f t="shared" si="13"/>
        <v>0</v>
      </c>
      <c r="X43" s="233">
        <f t="shared" si="13"/>
        <v>0</v>
      </c>
      <c r="Y43" s="233">
        <f t="shared" si="13"/>
        <v>0</v>
      </c>
      <c r="Z43" s="232"/>
      <c r="AA43" s="233">
        <f>SUM(AA38:AA42)</f>
        <v>20798674.275460452</v>
      </c>
      <c r="AB43" s="117"/>
    </row>
    <row r="44" spans="1:139" ht="16.5" thickBot="1">
      <c r="A44" s="188"/>
      <c r="B44" s="197"/>
      <c r="C44" s="234"/>
      <c r="D44" s="198"/>
      <c r="E44" s="197"/>
      <c r="F44" s="199"/>
      <c r="G44" s="200"/>
      <c r="H44" s="200"/>
      <c r="I44" s="201"/>
      <c r="J44" s="200"/>
      <c r="K44" s="200"/>
      <c r="L44" s="200"/>
      <c r="M44" s="235"/>
      <c r="N44" s="236"/>
      <c r="O44" s="200"/>
      <c r="P44" s="200"/>
      <c r="Q44" s="200"/>
      <c r="R44" s="200"/>
      <c r="S44" s="236"/>
      <c r="T44" s="200"/>
      <c r="U44" s="200"/>
      <c r="V44" s="200"/>
      <c r="W44" s="200"/>
      <c r="X44" s="200"/>
      <c r="Y44" s="200"/>
      <c r="Z44" s="217"/>
      <c r="AA44" s="237"/>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c r="CC44" s="238"/>
      <c r="CD44" s="238"/>
      <c r="CE44" s="238"/>
      <c r="CF44" s="238"/>
      <c r="CG44" s="238"/>
      <c r="CH44" s="238"/>
      <c r="CI44" s="238"/>
      <c r="CJ44" s="238"/>
      <c r="CK44" s="238"/>
      <c r="CL44" s="238"/>
      <c r="CM44" s="238"/>
      <c r="CN44" s="238"/>
      <c r="CO44" s="238"/>
      <c r="CP44" s="238"/>
      <c r="CQ44" s="238"/>
      <c r="CR44" s="238"/>
      <c r="CS44" s="238"/>
      <c r="CT44" s="238"/>
      <c r="CU44" s="238"/>
      <c r="CV44" s="238"/>
      <c r="CW44" s="238"/>
      <c r="CX44" s="238"/>
      <c r="CY44" s="238"/>
      <c r="CZ44" s="238"/>
      <c r="DA44" s="238"/>
      <c r="DB44" s="238"/>
      <c r="DC44" s="238"/>
      <c r="DD44" s="238"/>
      <c r="DE44" s="238"/>
      <c r="DF44" s="238"/>
      <c r="DG44" s="238"/>
      <c r="DH44" s="238"/>
      <c r="DI44" s="238"/>
      <c r="DJ44" s="238"/>
      <c r="DK44" s="238"/>
      <c r="DL44" s="238"/>
      <c r="DM44" s="238"/>
      <c r="DN44" s="238"/>
      <c r="DO44" s="238"/>
      <c r="DP44" s="238"/>
      <c r="DQ44" s="238"/>
      <c r="DR44" s="238"/>
      <c r="DS44" s="238"/>
      <c r="DT44" s="238"/>
      <c r="DU44" s="238"/>
      <c r="DV44" s="238"/>
      <c r="DW44" s="238"/>
      <c r="DX44" s="238"/>
      <c r="DY44" s="238"/>
      <c r="DZ44" s="238"/>
      <c r="EA44" s="238"/>
      <c r="EB44" s="238"/>
      <c r="EC44" s="238"/>
      <c r="ED44" s="238"/>
      <c r="EE44" s="238"/>
      <c r="EF44" s="238"/>
      <c r="EG44" s="238"/>
      <c r="EH44" s="238"/>
      <c r="EI44" s="238"/>
    </row>
    <row r="45" spans="1:139">
      <c r="A45" s="188">
        <v>27</v>
      </c>
      <c r="B45" s="239"/>
      <c r="C45" s="240" t="s">
        <v>60</v>
      </c>
      <c r="D45" s="241"/>
      <c r="E45" s="197"/>
      <c r="F45" s="199"/>
      <c r="G45" s="242">
        <f>((+G43*'Capital Structure Calculation'!$J$14)-'Exh MPP-5 - Summary of Adj'!G35)/'Exh MPP-4 - Conversion Factor'!$C$25</f>
        <v>-4954324.1115854466</v>
      </c>
      <c r="H45" s="242">
        <f>((+H43*'Capital Structure Calculation'!$J$14)-'Exh MPP-5 - Summary of Adj'!H35)/'Exh MPP-4 - Conversion Factor'!$C$25</f>
        <v>-57253.340017745795</v>
      </c>
      <c r="I45" s="243">
        <f>((+I43*'Capital Structure Calculation'!$J$14)-'Exh MPP-5 - Summary of Adj'!I35)/'Exh MPP-4 - Conversion Factor'!$C$25</f>
        <v>2416338.2724230192</v>
      </c>
      <c r="J45" s="244">
        <f>((+J43*'Capital Structure Calculation'!$J$14)-'Exh MPP-5 - Summary of Adj'!J35)/'Exh MPP-4 - Conversion Factor'!$C$25</f>
        <v>-558062.81703061506</v>
      </c>
      <c r="K45" s="242"/>
      <c r="L45" s="242">
        <f>((+L43*'Capital Structure Calculation'!$J$14)-'Exh MPP-5 - Summary of Adj'!L35)/'Exh MPP-4 - Conversion Factor'!$C$25</f>
        <v>442415.38888320373</v>
      </c>
      <c r="M45" s="242">
        <f>((+M43*'Capital Structure Calculation'!$J$14)-'Exh MPP-5 - Summary of Adj'!M35)/'Exh MPP-4 - Conversion Factor'!$C$25</f>
        <v>1504504.7761366935</v>
      </c>
      <c r="N45" s="242">
        <f>((+N43*'Capital Structure Calculation'!$J$14)-'Exh MPP-5 - Summary of Adj'!N35)/'Exh MPP-4 - Conversion Factor'!$C$25</f>
        <v>2630492.9804548281</v>
      </c>
      <c r="O45" s="242">
        <f>((+O43*'Capital Structure Calculation'!$J$14)-'Exh MPP-5 - Summary of Adj'!O35)/'Exh MPP-4 - Conversion Factor'!$C$25</f>
        <v>312352.94701015676</v>
      </c>
      <c r="P45" s="242">
        <f>((+P43*'Capital Structure Calculation'!$J$14)-'Exh MPP-5 - Summary of Adj'!P35)/'Exh MPP-4 - Conversion Factor'!$C$25</f>
        <v>292558.00536065566</v>
      </c>
      <c r="Q45" s="242">
        <f>((+Q43*'Capital Structure Calculation'!$J$14)-'Exh MPP-5 - Summary of Adj'!Q35)/'Exh MPP-4 - Conversion Factor'!$C$25</f>
        <v>1003557.5129952756</v>
      </c>
      <c r="R45" s="242">
        <f>((+R43*'Capital Structure Calculation'!$J$14)-'Exh MPP-5 - Summary of Adj'!R35)/'Exh MPP-4 - Conversion Factor'!$C$25</f>
        <v>101645</v>
      </c>
      <c r="S45" s="242">
        <f>((+S43*'Capital Structure Calculation'!$J$14)-'Exh MPP-5 - Summary of Adj'!S35)/'Exh MPP-4 - Conversion Factor'!$C$25</f>
        <v>445933.11435565492</v>
      </c>
      <c r="T45" s="242">
        <f>((+T43*'Capital Structure Calculation'!$J$14)-'Exh MPP-5 - Summary of Adj'!T35)/'Exh MPP-4 - Conversion Factor'!$C$25</f>
        <v>-5220091</v>
      </c>
      <c r="U45" s="242">
        <f>((+U43*'Capital Structure Calculation'!$J$14)-'Exh MPP-5 - Summary of Adj'!U35)/'Exh MPP-4 - Conversion Factor'!$C$25</f>
        <v>0</v>
      </c>
      <c r="V45" s="242">
        <f>((+V43*'Capital Structure Calculation'!$J$14)-'Exh MPP-5 - Summary of Adj'!V35)/'Exh MPP-4 - Conversion Factor'!$C$25</f>
        <v>0</v>
      </c>
      <c r="W45" s="242">
        <f>((+W43*'Capital Structure Calculation'!$J$14)-'Exh MPP-5 - Summary of Adj'!W35)/'Exh MPP-4 - Conversion Factor'!$C$25</f>
        <v>0</v>
      </c>
      <c r="X45" s="242">
        <f>((+X43*'Capital Structure Calculation'!$J$14)-'Exh MPP-5 - Summary of Adj'!X35)/'Exh MPP-4 - Conversion Factor'!$C$25</f>
        <v>0</v>
      </c>
      <c r="Y45" s="242">
        <f>((+Y43*'Capital Structure Calculation'!$J$14)-'Exh MPP-5 - Summary of Adj'!Y35)/'Exh MPP-4 - Conversion Factor'!$C$25</f>
        <v>0</v>
      </c>
      <c r="Z45" s="242"/>
      <c r="AA45" s="242">
        <f>((+AA43*'Capital Structure Calculation'!$J$14)-'Exh MPP-5 - Summary of Adj'!AA35)/'Exh MPP-4 - Conversion Factor'!$C$25</f>
        <v>-1639933.2710143162</v>
      </c>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5"/>
      <c r="BR45" s="245"/>
      <c r="BS45" s="245"/>
      <c r="BT45" s="245"/>
      <c r="BU45" s="245"/>
      <c r="BV45" s="245"/>
      <c r="BW45" s="245"/>
      <c r="BX45" s="245"/>
      <c r="BY45" s="245"/>
      <c r="BZ45" s="245"/>
      <c r="CA45" s="245"/>
      <c r="CB45" s="245"/>
      <c r="CC45" s="245"/>
      <c r="CD45" s="245"/>
      <c r="CE45" s="245"/>
      <c r="CF45" s="245"/>
      <c r="CG45" s="245"/>
      <c r="CH45" s="245"/>
      <c r="CI45" s="245"/>
      <c r="CJ45" s="245"/>
      <c r="CK45" s="245"/>
      <c r="CL45" s="245"/>
      <c r="CM45" s="245"/>
      <c r="CN45" s="245"/>
      <c r="CO45" s="245"/>
      <c r="CP45" s="245"/>
      <c r="CQ45" s="245"/>
      <c r="CR45" s="245"/>
      <c r="CS45" s="245"/>
      <c r="CT45" s="245"/>
      <c r="CU45" s="245"/>
      <c r="CV45" s="245"/>
      <c r="CW45" s="245"/>
      <c r="CX45" s="245"/>
      <c r="CY45" s="245"/>
      <c r="CZ45" s="245"/>
      <c r="DA45" s="245"/>
      <c r="DB45" s="245"/>
      <c r="DC45" s="245"/>
      <c r="DD45" s="245"/>
      <c r="DE45" s="245"/>
      <c r="DF45" s="245"/>
      <c r="DG45" s="245"/>
      <c r="DH45" s="245"/>
      <c r="DI45" s="245"/>
      <c r="DJ45" s="245"/>
      <c r="DK45" s="245"/>
      <c r="DL45" s="245"/>
      <c r="DM45" s="245"/>
      <c r="DN45" s="245"/>
      <c r="DO45" s="245"/>
      <c r="DP45" s="245"/>
      <c r="DQ45" s="245"/>
      <c r="DR45" s="245"/>
      <c r="DS45" s="245"/>
      <c r="DT45" s="245"/>
      <c r="DU45" s="245"/>
      <c r="DV45" s="245"/>
      <c r="DW45" s="245"/>
      <c r="DX45" s="245"/>
      <c r="DY45" s="245"/>
      <c r="DZ45" s="245"/>
      <c r="EA45" s="245"/>
      <c r="EB45" s="245"/>
      <c r="EC45" s="245"/>
      <c r="ED45" s="245"/>
      <c r="EE45" s="245"/>
      <c r="EF45" s="245"/>
      <c r="EG45" s="245"/>
      <c r="EH45" s="245"/>
      <c r="EI45" s="245"/>
    </row>
    <row r="46" spans="1:139">
      <c r="A46" s="117"/>
      <c r="B46" s="117"/>
      <c r="C46" s="117"/>
      <c r="D46" s="117"/>
      <c r="E46" s="117"/>
      <c r="F46" s="117"/>
      <c r="G46" s="246"/>
      <c r="H46" s="246"/>
      <c r="I46" s="246"/>
      <c r="J46" s="246"/>
      <c r="K46" s="246"/>
      <c r="L46" s="246"/>
      <c r="M46" s="246"/>
      <c r="N46" s="246"/>
      <c r="O46" s="246"/>
      <c r="P46" s="246"/>
      <c r="Q46" s="246"/>
      <c r="R46" s="246"/>
      <c r="S46" s="246"/>
      <c r="T46" s="246"/>
      <c r="U46" s="246"/>
      <c r="V46" s="246"/>
      <c r="W46" s="246"/>
      <c r="X46" s="246"/>
      <c r="Y46" s="246"/>
      <c r="Z46" s="246"/>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row>
    <row r="47" spans="1:139">
      <c r="A47" s="117"/>
      <c r="B47" s="117"/>
      <c r="C47" s="117"/>
      <c r="D47" s="117"/>
      <c r="E47" s="117"/>
      <c r="F47" s="117"/>
      <c r="G47" s="247"/>
      <c r="H47" s="247"/>
      <c r="I47" s="247"/>
      <c r="J47" s="247"/>
      <c r="K47" s="247"/>
      <c r="L47" s="247"/>
      <c r="M47" s="247"/>
      <c r="N47" s="247"/>
      <c r="O47" s="247"/>
      <c r="P47" s="247"/>
      <c r="Q47" s="247"/>
      <c r="R47" s="247"/>
      <c r="S47" s="247"/>
      <c r="T47" s="247"/>
      <c r="U47" s="248"/>
      <c r="V47" s="248"/>
      <c r="W47" s="248"/>
      <c r="X47" s="248"/>
      <c r="Y47" s="248"/>
      <c r="Z47" s="248"/>
      <c r="AA47" s="118"/>
      <c r="AB47" s="118"/>
      <c r="AC47" s="118"/>
      <c r="AD47" s="118"/>
      <c r="AE47" s="118"/>
      <c r="AF47" s="118"/>
      <c r="AG47" s="118"/>
      <c r="AH47" s="118"/>
      <c r="AI47" s="118"/>
      <c r="AJ47" s="118"/>
      <c r="AK47" s="118"/>
      <c r="AL47" s="118"/>
      <c r="AM47" s="118"/>
      <c r="AN47" s="118"/>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row>
    <row r="48" spans="1:139">
      <c r="A48" s="117"/>
      <c r="B48" s="117"/>
      <c r="C48" s="117"/>
      <c r="D48" s="117"/>
      <c r="E48" s="117"/>
      <c r="F48" s="117"/>
      <c r="G48" s="118"/>
      <c r="H48" s="118"/>
      <c r="I48" s="118"/>
      <c r="J48" s="118"/>
      <c r="K48" s="118"/>
      <c r="L48" s="118"/>
      <c r="M48" s="249"/>
      <c r="N48" s="118"/>
      <c r="O48" s="118"/>
      <c r="P48" s="118"/>
      <c r="Q48" s="118"/>
      <c r="R48" s="118"/>
      <c r="S48" s="118"/>
      <c r="T48" s="118"/>
      <c r="U48" s="118"/>
      <c r="V48" s="118"/>
      <c r="W48" s="118"/>
      <c r="X48" s="118"/>
      <c r="Y48" s="118"/>
      <c r="Z48" s="118"/>
      <c r="AA48" s="250"/>
      <c r="AB48" s="118"/>
      <c r="AC48" s="118"/>
      <c r="AD48" s="118"/>
      <c r="AE48" s="118"/>
      <c r="AF48" s="118"/>
      <c r="AG48" s="118"/>
      <c r="AH48" s="118"/>
      <c r="AI48" s="118"/>
      <c r="AJ48" s="118"/>
      <c r="AK48" s="118"/>
      <c r="AL48" s="118"/>
      <c r="AM48" s="118"/>
      <c r="AN48" s="118"/>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row>
    <row r="49" spans="1:139">
      <c r="A49" s="117"/>
      <c r="B49" s="117"/>
      <c r="C49" s="117"/>
      <c r="D49" s="117"/>
      <c r="E49" s="117"/>
      <c r="F49" s="117"/>
      <c r="G49" s="118"/>
      <c r="H49" s="118"/>
      <c r="I49" s="118"/>
      <c r="J49" s="118"/>
      <c r="K49" s="118"/>
      <c r="L49" s="118"/>
      <c r="M49" s="251"/>
      <c r="N49" s="118"/>
      <c r="O49" s="118"/>
      <c r="P49" s="118"/>
      <c r="Q49" s="118"/>
      <c r="R49" s="118"/>
      <c r="S49" s="118"/>
      <c r="T49" s="118"/>
      <c r="U49" s="118"/>
      <c r="V49" s="118"/>
      <c r="W49" s="118"/>
      <c r="X49" s="118"/>
      <c r="Y49" s="118"/>
      <c r="Z49" s="118"/>
      <c r="AA49" s="252"/>
      <c r="AB49" s="118"/>
      <c r="AC49" s="118"/>
      <c r="AD49" s="118"/>
      <c r="AE49" s="118"/>
      <c r="AF49" s="118"/>
      <c r="AG49" s="118"/>
      <c r="AH49" s="118"/>
      <c r="AI49" s="118"/>
      <c r="AJ49" s="118"/>
      <c r="AK49" s="118"/>
      <c r="AL49" s="118"/>
      <c r="AM49" s="118"/>
      <c r="AN49" s="118"/>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row>
    <row r="50" spans="1:139">
      <c r="A50" s="117"/>
      <c r="B50" s="117"/>
      <c r="C50" s="117"/>
      <c r="D50" s="117"/>
      <c r="E50" s="117"/>
      <c r="F50" s="117"/>
      <c r="G50" s="118"/>
      <c r="H50" s="253"/>
      <c r="I50" s="253"/>
      <c r="J50" s="253"/>
      <c r="K50" s="253"/>
      <c r="L50" s="253"/>
      <c r="M50" s="251"/>
      <c r="N50" s="253"/>
      <c r="O50" s="253"/>
      <c r="P50" s="253"/>
      <c r="Q50" s="253"/>
      <c r="R50" s="253"/>
      <c r="S50" s="253"/>
      <c r="T50" s="253"/>
      <c r="U50" s="253"/>
      <c r="V50" s="253"/>
      <c r="W50" s="253"/>
      <c r="X50" s="253"/>
      <c r="Y50" s="253"/>
      <c r="Z50" s="118"/>
      <c r="AA50" s="118"/>
      <c r="AB50" s="118"/>
      <c r="AC50" s="118"/>
      <c r="AD50" s="118"/>
      <c r="AE50" s="118"/>
      <c r="AF50" s="118"/>
      <c r="AG50" s="118"/>
      <c r="AH50" s="118"/>
      <c r="AI50" s="118"/>
      <c r="AJ50" s="118"/>
      <c r="AK50" s="118"/>
      <c r="AL50" s="118"/>
      <c r="AM50" s="118"/>
      <c r="AN50" s="118"/>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row>
    <row r="51" spans="1:139">
      <c r="A51" s="117"/>
      <c r="B51" s="117"/>
      <c r="C51" s="117"/>
      <c r="D51" s="117"/>
      <c r="E51" s="117"/>
      <c r="F51" s="117"/>
      <c r="G51" s="118"/>
      <c r="H51" s="118"/>
      <c r="I51" s="118"/>
      <c r="J51" s="118"/>
      <c r="K51" s="118"/>
      <c r="L51" s="118"/>
      <c r="M51" s="251"/>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row>
    <row r="52" spans="1:139">
      <c r="A52" s="117"/>
      <c r="B52" s="117"/>
      <c r="C52" s="117"/>
      <c r="D52" s="117"/>
      <c r="E52" s="117"/>
      <c r="F52" s="117"/>
      <c r="G52" s="118"/>
      <c r="H52" s="253"/>
      <c r="I52" s="253"/>
      <c r="J52" s="253"/>
      <c r="K52" s="253"/>
      <c r="L52" s="253"/>
      <c r="M52" s="251"/>
      <c r="N52" s="253"/>
      <c r="O52" s="253"/>
      <c r="P52" s="253"/>
      <c r="Q52" s="253"/>
      <c r="R52" s="253"/>
      <c r="S52" s="253"/>
      <c r="T52" s="253"/>
      <c r="U52" s="253"/>
      <c r="V52" s="253"/>
      <c r="W52" s="253"/>
      <c r="X52" s="253"/>
      <c r="Y52" s="253"/>
      <c r="Z52" s="118"/>
      <c r="AA52" s="118"/>
      <c r="AB52" s="118"/>
      <c r="AC52" s="118"/>
      <c r="AD52" s="118"/>
      <c r="AE52" s="118"/>
      <c r="AF52" s="118"/>
      <c r="AG52" s="118"/>
      <c r="AH52" s="118"/>
      <c r="AI52" s="118"/>
      <c r="AJ52" s="118"/>
      <c r="AK52" s="118"/>
      <c r="AL52" s="118"/>
      <c r="AM52" s="118"/>
      <c r="AN52" s="118"/>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row>
    <row r="53" spans="1:139">
      <c r="A53" s="117"/>
      <c r="B53" s="117"/>
      <c r="C53" s="117"/>
      <c r="D53" s="117"/>
      <c r="E53" s="117"/>
      <c r="F53" s="117"/>
      <c r="G53" s="118"/>
      <c r="H53" s="254"/>
      <c r="I53" s="254"/>
      <c r="J53" s="254"/>
      <c r="K53" s="254"/>
      <c r="L53" s="254"/>
      <c r="M53" s="251"/>
      <c r="N53" s="254"/>
      <c r="O53" s="254"/>
      <c r="P53" s="254"/>
      <c r="Q53" s="254"/>
      <c r="R53" s="254"/>
      <c r="S53" s="254"/>
      <c r="T53" s="254"/>
      <c r="U53" s="254"/>
      <c r="V53" s="254"/>
      <c r="W53" s="254"/>
      <c r="X53" s="254"/>
      <c r="Y53" s="254"/>
      <c r="Z53" s="118"/>
      <c r="AA53" s="118"/>
      <c r="AB53" s="118"/>
      <c r="AC53" s="118"/>
      <c r="AD53" s="118"/>
      <c r="AE53" s="118"/>
      <c r="AF53" s="118"/>
      <c r="AG53" s="118"/>
      <c r="AH53" s="118"/>
      <c r="AI53" s="118"/>
      <c r="AJ53" s="118"/>
      <c r="AK53" s="118"/>
      <c r="AL53" s="118"/>
      <c r="AM53" s="118"/>
      <c r="AN53" s="118"/>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row>
    <row r="54" spans="1:139">
      <c r="A54" s="117"/>
      <c r="B54" s="117"/>
      <c r="C54" s="117"/>
      <c r="D54" s="117"/>
      <c r="E54" s="117"/>
      <c r="F54" s="117"/>
      <c r="G54" s="118"/>
      <c r="H54" s="254"/>
      <c r="I54" s="254"/>
      <c r="J54" s="254"/>
      <c r="K54" s="254"/>
      <c r="L54" s="254"/>
      <c r="M54" s="251"/>
      <c r="N54" s="254"/>
      <c r="O54" s="254"/>
      <c r="P54" s="254"/>
      <c r="Q54" s="254"/>
      <c r="R54" s="254"/>
      <c r="S54" s="254"/>
      <c r="T54" s="254"/>
      <c r="U54" s="254"/>
      <c r="V54" s="254"/>
      <c r="W54" s="254"/>
      <c r="X54" s="254"/>
      <c r="Y54" s="254"/>
      <c r="Z54" s="118"/>
      <c r="AA54" s="118"/>
      <c r="AB54" s="118"/>
      <c r="AC54" s="118"/>
      <c r="AD54" s="118"/>
      <c r="AE54" s="118"/>
      <c r="AF54" s="118"/>
      <c r="AG54" s="118"/>
      <c r="AH54" s="118"/>
      <c r="AI54" s="118"/>
      <c r="AJ54" s="118"/>
      <c r="AK54" s="118"/>
      <c r="AL54" s="118"/>
      <c r="AM54" s="118"/>
      <c r="AN54" s="118"/>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row>
    <row r="55" spans="1:139">
      <c r="A55" s="117"/>
      <c r="B55" s="117"/>
      <c r="C55" s="117"/>
      <c r="D55" s="117"/>
      <c r="E55" s="117"/>
      <c r="F55" s="117"/>
      <c r="G55" s="118"/>
      <c r="H55" s="254"/>
      <c r="I55" s="254"/>
      <c r="J55" s="254"/>
      <c r="K55" s="254"/>
      <c r="L55" s="254"/>
      <c r="M55" s="251"/>
      <c r="N55" s="254"/>
      <c r="O55" s="254"/>
      <c r="P55" s="254"/>
      <c r="Q55" s="254"/>
      <c r="R55" s="254"/>
      <c r="S55" s="254"/>
      <c r="T55" s="254"/>
      <c r="U55" s="254"/>
      <c r="V55" s="254"/>
      <c r="W55" s="254"/>
      <c r="X55" s="254"/>
      <c r="Y55" s="254"/>
      <c r="Z55" s="118"/>
      <c r="AA55" s="118"/>
      <c r="AB55" s="118"/>
      <c r="AC55" s="118"/>
      <c r="AD55" s="118"/>
      <c r="AE55" s="118"/>
      <c r="AF55" s="118"/>
      <c r="AG55" s="118"/>
      <c r="AH55" s="118"/>
      <c r="AI55" s="118"/>
      <c r="AJ55" s="118"/>
      <c r="AK55" s="118"/>
      <c r="AL55" s="118"/>
      <c r="AM55" s="118"/>
      <c r="AN55" s="118"/>
    </row>
    <row r="56" spans="1:139">
      <c r="A56" s="117"/>
      <c r="B56" s="117"/>
      <c r="C56" s="117"/>
      <c r="D56" s="117"/>
      <c r="E56" s="117"/>
      <c r="F56" s="117"/>
      <c r="G56" s="118"/>
      <c r="H56" s="254"/>
      <c r="I56" s="254"/>
      <c r="J56" s="254"/>
      <c r="K56" s="254"/>
      <c r="L56" s="254"/>
      <c r="M56" s="251"/>
      <c r="N56" s="254"/>
      <c r="O56" s="254"/>
      <c r="P56" s="254"/>
      <c r="Q56" s="254"/>
      <c r="R56" s="254"/>
      <c r="S56" s="254"/>
      <c r="T56" s="254"/>
      <c r="U56" s="254"/>
      <c r="V56" s="254"/>
      <c r="W56" s="254"/>
      <c r="X56" s="254"/>
      <c r="Y56" s="254"/>
      <c r="Z56" s="118"/>
      <c r="AA56" s="118"/>
      <c r="AB56" s="118"/>
      <c r="AC56" s="118"/>
      <c r="AD56" s="118"/>
      <c r="AE56" s="118"/>
      <c r="AF56" s="118"/>
      <c r="AG56" s="118"/>
      <c r="AH56" s="118"/>
      <c r="AI56" s="118"/>
      <c r="AJ56" s="118"/>
      <c r="AK56" s="118"/>
      <c r="AL56" s="118"/>
      <c r="AM56" s="118"/>
      <c r="AN56" s="118"/>
    </row>
    <row r="57" spans="1:139">
      <c r="A57" s="117"/>
      <c r="B57" s="117"/>
      <c r="C57" s="117"/>
      <c r="D57" s="117"/>
      <c r="E57" s="117"/>
      <c r="F57" s="117"/>
      <c r="G57" s="118"/>
      <c r="H57" s="118"/>
      <c r="I57" s="118"/>
      <c r="J57" s="118"/>
      <c r="K57" s="118"/>
      <c r="L57" s="118"/>
      <c r="M57" s="251"/>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row>
    <row r="58" spans="1:139">
      <c r="A58" s="117"/>
      <c r="B58" s="117"/>
      <c r="C58" s="117"/>
      <c r="D58" s="117"/>
      <c r="E58" s="117"/>
      <c r="F58" s="117"/>
      <c r="G58" s="118"/>
      <c r="H58" s="254"/>
      <c r="I58" s="254"/>
      <c r="J58" s="254"/>
      <c r="K58" s="254"/>
      <c r="L58" s="254"/>
      <c r="M58" s="251"/>
      <c r="N58" s="254"/>
      <c r="O58" s="254"/>
      <c r="P58" s="254"/>
      <c r="Q58" s="254"/>
      <c r="R58" s="254"/>
      <c r="S58" s="254"/>
      <c r="T58" s="254"/>
      <c r="U58" s="254"/>
      <c r="V58" s="254"/>
      <c r="W58" s="254"/>
      <c r="X58" s="254"/>
      <c r="Y58" s="254"/>
      <c r="Z58" s="118"/>
      <c r="AA58" s="118"/>
      <c r="AB58" s="118"/>
      <c r="AC58" s="118"/>
      <c r="AD58" s="118"/>
      <c r="AE58" s="118"/>
      <c r="AF58" s="118"/>
      <c r="AG58" s="118"/>
      <c r="AH58" s="118"/>
      <c r="AI58" s="118"/>
      <c r="AJ58" s="118"/>
      <c r="AK58" s="118"/>
      <c r="AL58" s="118"/>
      <c r="AM58" s="118"/>
      <c r="AN58" s="118"/>
    </row>
    <row r="59" spans="1:139">
      <c r="A59" s="117"/>
      <c r="B59" s="117"/>
      <c r="C59" s="117"/>
      <c r="D59" s="117"/>
      <c r="E59" s="117"/>
      <c r="F59" s="117"/>
      <c r="G59" s="118"/>
      <c r="H59" s="255"/>
      <c r="I59" s="255"/>
      <c r="J59" s="255"/>
      <c r="K59" s="255"/>
      <c r="L59" s="255"/>
      <c r="M59" s="251"/>
      <c r="N59" s="255"/>
      <c r="O59" s="255"/>
      <c r="P59" s="255"/>
      <c r="Q59" s="255"/>
      <c r="R59" s="255"/>
      <c r="S59" s="255"/>
      <c r="T59" s="255"/>
      <c r="U59" s="255"/>
      <c r="V59" s="255"/>
      <c r="W59" s="255"/>
      <c r="X59" s="255"/>
      <c r="Y59" s="255"/>
      <c r="Z59" s="118"/>
      <c r="AA59" s="118"/>
      <c r="AB59" s="118"/>
      <c r="AC59" s="118"/>
      <c r="AD59" s="118"/>
      <c r="AE59" s="118"/>
      <c r="AF59" s="118"/>
      <c r="AG59" s="118"/>
      <c r="AH59" s="118"/>
      <c r="AI59" s="118"/>
      <c r="AJ59" s="118"/>
      <c r="AK59" s="118"/>
      <c r="AL59" s="118"/>
      <c r="AM59" s="118"/>
      <c r="AN59" s="118"/>
    </row>
    <row r="60" spans="1:139">
      <c r="A60" s="117"/>
      <c r="B60" s="117"/>
      <c r="C60" s="117"/>
      <c r="D60" s="117"/>
      <c r="E60" s="117"/>
      <c r="F60" s="117"/>
      <c r="G60" s="118"/>
      <c r="H60" s="255"/>
      <c r="I60" s="255"/>
      <c r="J60" s="255"/>
      <c r="K60" s="255"/>
      <c r="L60" s="255"/>
      <c r="M60" s="251"/>
      <c r="N60" s="255"/>
      <c r="O60" s="255"/>
      <c r="P60" s="255"/>
      <c r="Q60" s="255"/>
      <c r="R60" s="255"/>
      <c r="S60" s="255"/>
      <c r="T60" s="255"/>
      <c r="U60" s="255"/>
      <c r="V60" s="255"/>
      <c r="W60" s="255"/>
      <c r="X60" s="255"/>
      <c r="Y60" s="255"/>
      <c r="Z60" s="118"/>
      <c r="AA60" s="118"/>
      <c r="AB60" s="118"/>
      <c r="AC60" s="118"/>
      <c r="AD60" s="118"/>
      <c r="AE60" s="118"/>
      <c r="AF60" s="118"/>
      <c r="AG60" s="118"/>
      <c r="AH60" s="118"/>
      <c r="AI60" s="118"/>
      <c r="AJ60" s="118"/>
      <c r="AK60" s="118"/>
      <c r="AL60" s="118"/>
      <c r="AM60" s="118"/>
      <c r="AN60" s="118"/>
    </row>
    <row r="61" spans="1:139">
      <c r="A61" s="117"/>
      <c r="B61" s="117"/>
      <c r="C61" s="117"/>
      <c r="D61" s="117"/>
      <c r="E61" s="117"/>
      <c r="F61" s="117"/>
      <c r="G61" s="118"/>
      <c r="H61" s="118"/>
      <c r="I61" s="118"/>
      <c r="J61" s="118"/>
      <c r="K61" s="118"/>
      <c r="L61" s="118"/>
      <c r="M61" s="251"/>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row>
    <row r="62" spans="1:139">
      <c r="A62" s="117"/>
      <c r="B62" s="117"/>
      <c r="C62" s="117"/>
      <c r="D62" s="117"/>
      <c r="E62" s="117"/>
      <c r="F62" s="117"/>
      <c r="G62" s="118"/>
      <c r="H62" s="254"/>
      <c r="I62" s="254"/>
      <c r="J62" s="254"/>
      <c r="K62" s="254"/>
      <c r="L62" s="254"/>
      <c r="M62" s="256"/>
      <c r="N62" s="254"/>
      <c r="O62" s="254"/>
      <c r="P62" s="254"/>
      <c r="Q62" s="254"/>
      <c r="R62" s="254"/>
      <c r="S62" s="254"/>
      <c r="T62" s="254"/>
      <c r="U62" s="254"/>
      <c r="V62" s="254"/>
      <c r="W62" s="254"/>
      <c r="X62" s="254"/>
      <c r="Y62" s="254"/>
      <c r="Z62" s="118"/>
      <c r="AA62" s="118"/>
      <c r="AB62" s="118"/>
      <c r="AC62" s="118"/>
      <c r="AD62" s="118"/>
      <c r="AE62" s="118"/>
      <c r="AF62" s="118"/>
      <c r="AG62" s="118"/>
      <c r="AH62" s="118"/>
      <c r="AI62" s="118"/>
      <c r="AJ62" s="118"/>
      <c r="AK62" s="118"/>
      <c r="AL62" s="118"/>
      <c r="AM62" s="118"/>
      <c r="AN62" s="118"/>
    </row>
    <row r="63" spans="1:139">
      <c r="A63" s="117"/>
      <c r="B63" s="117"/>
      <c r="C63" s="117"/>
      <c r="D63" s="117"/>
      <c r="E63" s="117"/>
      <c r="F63" s="117"/>
      <c r="G63" s="118"/>
      <c r="H63" s="254"/>
      <c r="I63" s="254"/>
      <c r="J63" s="254"/>
      <c r="K63" s="254"/>
      <c r="L63" s="254"/>
      <c r="M63" s="251"/>
      <c r="N63" s="254"/>
      <c r="O63" s="254"/>
      <c r="P63" s="254"/>
      <c r="Q63" s="254"/>
      <c r="R63" s="254"/>
      <c r="S63" s="254"/>
      <c r="T63" s="254"/>
      <c r="U63" s="254"/>
      <c r="V63" s="254"/>
      <c r="W63" s="254"/>
      <c r="X63" s="254"/>
      <c r="Y63" s="254"/>
      <c r="Z63" s="118"/>
      <c r="AA63" s="118"/>
      <c r="AB63" s="118"/>
      <c r="AC63" s="118"/>
      <c r="AD63" s="118"/>
      <c r="AE63" s="118"/>
      <c r="AF63" s="118"/>
      <c r="AG63" s="118"/>
      <c r="AH63" s="118"/>
      <c r="AI63" s="118"/>
      <c r="AJ63" s="118"/>
      <c r="AK63" s="118"/>
      <c r="AL63" s="118"/>
      <c r="AM63" s="118"/>
      <c r="AN63" s="118"/>
    </row>
    <row r="64" spans="1:139">
      <c r="A64" s="117"/>
      <c r="B64" s="117"/>
      <c r="C64" s="117"/>
      <c r="D64" s="117"/>
      <c r="E64" s="117"/>
      <c r="F64" s="117"/>
      <c r="G64" s="118"/>
      <c r="H64" s="118"/>
      <c r="I64" s="118"/>
      <c r="J64" s="118"/>
      <c r="K64" s="118"/>
      <c r="L64" s="118"/>
      <c r="M64" s="251"/>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row>
    <row r="65" spans="1:40">
      <c r="A65" s="117"/>
      <c r="B65" s="117"/>
      <c r="C65" s="117"/>
      <c r="D65" s="117"/>
      <c r="E65" s="117"/>
      <c r="F65" s="117"/>
      <c r="G65" s="118"/>
      <c r="H65" s="118"/>
      <c r="I65" s="118"/>
      <c r="J65" s="118"/>
      <c r="K65" s="118"/>
      <c r="L65" s="118"/>
      <c r="M65" s="251"/>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row>
    <row r="66" spans="1:40">
      <c r="A66" s="117"/>
      <c r="B66" s="117"/>
      <c r="C66" s="117"/>
      <c r="D66" s="117"/>
      <c r="E66" s="117"/>
      <c r="F66" s="117"/>
      <c r="G66" s="118"/>
      <c r="H66" s="118"/>
      <c r="I66" s="118"/>
      <c r="J66" s="118"/>
      <c r="K66" s="118"/>
      <c r="L66" s="118"/>
      <c r="M66" s="251"/>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row>
  </sheetData>
  <mergeCells count="7">
    <mergeCell ref="B7:M7"/>
    <mergeCell ref="N5:AA5"/>
    <mergeCell ref="B6:M6"/>
    <mergeCell ref="N3:AB3"/>
    <mergeCell ref="N4:AB4"/>
    <mergeCell ref="B5:M5"/>
    <mergeCell ref="N6:AA6"/>
  </mergeCells>
  <printOptions horizontalCentered="1"/>
  <pageMargins left="0" right="0" top="0.5" bottom="0.5" header="0.3" footer="0.3"/>
  <pageSetup scale="57" orientation="landscape" r:id="rId1"/>
  <headerFooter scaleWithDoc="0" alignWithMargins="0">
    <oddHeader>&amp;RDocket No. UG-17_____
Exhibit _____ (MPP-5)
Page 1 o f 1</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6"/>
  <sheetViews>
    <sheetView workbookViewId="0">
      <selection activeCell="A31" sqref="A31"/>
    </sheetView>
  </sheetViews>
  <sheetFormatPr defaultRowHeight="15.75"/>
  <cols>
    <col min="1" max="1" width="98.7109375" style="148" customWidth="1"/>
    <col min="2" max="2" width="29.42578125" style="148" customWidth="1"/>
    <col min="3" max="16384" width="9.140625" style="148"/>
  </cols>
  <sheetData>
    <row r="1" spans="1:7">
      <c r="A1" s="20" t="s">
        <v>1648</v>
      </c>
    </row>
    <row r="2" spans="1:7">
      <c r="A2" s="20" t="s">
        <v>1687</v>
      </c>
    </row>
    <row r="3" spans="1:7">
      <c r="A3" s="20" t="s">
        <v>1643</v>
      </c>
    </row>
    <row r="4" spans="1:7">
      <c r="A4" s="21"/>
    </row>
    <row r="5" spans="1:7">
      <c r="A5" s="22"/>
    </row>
    <row r="6" spans="1:7">
      <c r="A6" s="22"/>
    </row>
    <row r="7" spans="1:7">
      <c r="A7" s="22"/>
    </row>
    <row r="8" spans="1:7">
      <c r="A8" s="22" t="s">
        <v>1641</v>
      </c>
    </row>
    <row r="9" spans="1:7">
      <c r="A9" s="22"/>
    </row>
    <row r="10" spans="1:7">
      <c r="A10" s="22"/>
    </row>
    <row r="11" spans="1:7">
      <c r="A11" s="22"/>
      <c r="G11" s="149"/>
    </row>
    <row r="12" spans="1:7">
      <c r="A12" s="22"/>
    </row>
    <row r="13" spans="1:7">
      <c r="A13" s="22"/>
    </row>
    <row r="14" spans="1:7">
      <c r="A14" s="22"/>
    </row>
    <row r="15" spans="1:7">
      <c r="A15" s="22"/>
    </row>
    <row r="16" spans="1:7">
      <c r="A16" s="23"/>
    </row>
    <row r="17" spans="1:1">
      <c r="A17" s="23"/>
    </row>
    <row r="18" spans="1:1">
      <c r="A18" s="22"/>
    </row>
    <row r="19" spans="1:1">
      <c r="A19" s="23" t="s">
        <v>126</v>
      </c>
    </row>
    <row r="20" spans="1:1">
      <c r="A20" s="23"/>
    </row>
    <row r="21" spans="1:1">
      <c r="A21" s="23" t="s">
        <v>1644</v>
      </c>
    </row>
    <row r="22" spans="1:1">
      <c r="A22" s="23"/>
    </row>
    <row r="23" spans="1:1">
      <c r="A23" s="23"/>
    </row>
    <row r="24" spans="1:1">
      <c r="A24" s="24" t="s">
        <v>1684</v>
      </c>
    </row>
    <row r="25" spans="1:1">
      <c r="A25" s="23"/>
    </row>
    <row r="26" spans="1:1">
      <c r="A26" s="23"/>
    </row>
    <row r="27" spans="1:1">
      <c r="A27" s="23"/>
    </row>
    <row r="28" spans="1:1">
      <c r="A28" s="23"/>
    </row>
    <row r="29" spans="1:1">
      <c r="A29" s="23"/>
    </row>
    <row r="30" spans="1:1">
      <c r="A30" s="1011" t="s">
        <v>2167</v>
      </c>
    </row>
    <row r="31" spans="1:1">
      <c r="A31" s="150"/>
    </row>
    <row r="32" spans="1:1">
      <c r="A32" s="149"/>
    </row>
    <row r="33" spans="1:1">
      <c r="A33" s="149"/>
    </row>
    <row r="34" spans="1:1">
      <c r="A34" s="149"/>
    </row>
    <row r="35" spans="1:1">
      <c r="A35" s="149"/>
    </row>
    <row r="36" spans="1:1">
      <c r="A36" s="149"/>
    </row>
  </sheetData>
  <pageMargins left="0.7" right="0.7" top="0.75" bottom="0.75" header="0.3" footer="0.3"/>
  <pageSetup scale="91" firstPageNumber="0" fitToHeight="0" orientation="portrait" useFirstPageNumber="1"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206095F44BB694BA20BDD0C7793D36E" ma:contentTypeVersion="92" ma:contentTypeDescription="" ma:contentTypeScope="" ma:versionID="f96814c37ae029d81a1e8c3d1b37a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Date1 xmlns="dc463f71-b30c-4ab2-9473-d307f9d35888">2017-08-31T07:00:00+00:00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170929</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82359BD3-9A7A-4E2A-8104-0F5ECA5F3FC1}"/>
</file>

<file path=customXml/itemProps2.xml><?xml version="1.0" encoding="utf-8"?>
<ds:datastoreItem xmlns:ds="http://schemas.openxmlformats.org/officeDocument/2006/customXml" ds:itemID="{103A9214-F7B5-4AC6-9970-5CF747B149E8}"/>
</file>

<file path=customXml/itemProps3.xml><?xml version="1.0" encoding="utf-8"?>
<ds:datastoreItem xmlns:ds="http://schemas.openxmlformats.org/officeDocument/2006/customXml" ds:itemID="{8AFCDB72-E2F2-4EF2-8BDB-E183E3FE89A2}"/>
</file>

<file path=customXml/itemProps4.xml><?xml version="1.0" encoding="utf-8"?>
<ds:datastoreItem xmlns:ds="http://schemas.openxmlformats.org/officeDocument/2006/customXml" ds:itemID="{C6C74119-D346-4138-9C68-2C33E9BC78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24</vt:i4>
      </vt:variant>
    </vt:vector>
  </HeadingPairs>
  <TitlesOfParts>
    <vt:vector size="60" baseType="lpstr">
      <vt:lpstr>Cover Page MPP-2</vt:lpstr>
      <vt:lpstr>Exh MPP-2 - ROO Summary Sheet</vt:lpstr>
      <vt:lpstr>Cover Page MPP-3</vt:lpstr>
      <vt:lpstr>Exh MPP-3 - Rev Req Calc</vt:lpstr>
      <vt:lpstr>Cover Page MPP-4</vt:lpstr>
      <vt:lpstr>Exh MPP-4 - Conversion Factor</vt:lpstr>
      <vt:lpstr>Cover Page MPP-5</vt:lpstr>
      <vt:lpstr>Exh MPP-5 - Summary of Adj</vt:lpstr>
      <vt:lpstr>Cover Page MPP-6</vt:lpstr>
      <vt:lpstr>MPP-6 - Plant Additions</vt:lpstr>
      <vt:lpstr>MPP-6 - Supporting Explanations</vt:lpstr>
      <vt:lpstr>Workpaper - Support Documents &gt;</vt:lpstr>
      <vt:lpstr>Index</vt:lpstr>
      <vt:lpstr>Operating Report</vt:lpstr>
      <vt:lpstr>Rate Base</vt:lpstr>
      <vt:lpstr>Plant in Serv &amp; Accum Depr</vt:lpstr>
      <vt:lpstr>Adv for Const. &amp; Def Tax</vt:lpstr>
      <vt:lpstr>Working Capital</vt:lpstr>
      <vt:lpstr>Capital Structure Calculation</vt:lpstr>
      <vt:lpstr>State Allocation Formulas</vt:lpstr>
      <vt:lpstr>Adjustment Workpapers---&gt;</vt:lpstr>
      <vt:lpstr>Weather Normalization</vt:lpstr>
      <vt:lpstr>Advertising Adj</vt:lpstr>
      <vt:lpstr>Restate Revenues</vt:lpstr>
      <vt:lpstr>Low-Income Bill Assistance</vt:lpstr>
      <vt:lpstr>Interest Coord. Adj.</vt:lpstr>
      <vt:lpstr>Pro Forma Wage Adjustment</vt:lpstr>
      <vt:lpstr>Pro Forma Plant Additions</vt:lpstr>
      <vt:lpstr>Rate Case Costs</vt:lpstr>
      <vt:lpstr>Pro Forma Compliance Department</vt:lpstr>
      <vt:lpstr>MAOP UG-160787 Deferral</vt:lpstr>
      <vt:lpstr>Miscellaneous Charges</vt:lpstr>
      <vt:lpstr>CRM Adjustment (a)</vt:lpstr>
      <vt:lpstr>CRM Adjustment (b)</vt:lpstr>
      <vt:lpstr>Revenue Adjustment</vt:lpstr>
      <vt:lpstr>Working Capital Work Paper</vt:lpstr>
      <vt:lpstr>'Capital Structure Calculation'!Print_Area</vt:lpstr>
      <vt:lpstr>'CRM Adjustment (a)'!Print_Area</vt:lpstr>
      <vt:lpstr>'Exh MPP-2 - ROO Summary Sheet'!Print_Area</vt:lpstr>
      <vt:lpstr>'Exh MPP-5 - Summary of Adj'!Print_Area</vt:lpstr>
      <vt:lpstr>Index!Print_Area</vt:lpstr>
      <vt:lpstr>'Miscellaneous Charges'!Print_Area</vt:lpstr>
      <vt:lpstr>'Operating Report'!Print_Area</vt:lpstr>
      <vt:lpstr>'Pro Forma Plant Additions'!Print_Area</vt:lpstr>
      <vt:lpstr>'Pro Forma Wage Adjustment'!Print_Area</vt:lpstr>
      <vt:lpstr>'Revenue Adjustment'!Print_Area</vt:lpstr>
      <vt:lpstr>'State Allocation Formulas'!Print_Area</vt:lpstr>
      <vt:lpstr>'Weather Normalization'!Print_Area</vt:lpstr>
      <vt:lpstr>'Working Capital Work Paper'!Print_Area</vt:lpstr>
      <vt:lpstr>'Workpaper - Support Documents &gt;'!Print_Area</vt:lpstr>
      <vt:lpstr>'Adv for Const. &amp; Def Tax'!Print_Titles</vt:lpstr>
      <vt:lpstr>'Advertising Adj'!Print_Titles</vt:lpstr>
      <vt:lpstr>'CRM Adjustment (b)'!Print_Titles</vt:lpstr>
      <vt:lpstr>'MPP-6 - Plant Additions'!Print_Titles</vt:lpstr>
      <vt:lpstr>'MPP-6 - Supporting Explanations'!Print_Titles</vt:lpstr>
      <vt:lpstr>'Operating Report'!Print_Titles</vt:lpstr>
      <vt:lpstr>'Plant in Serv &amp; Accum Depr'!Print_Titles</vt:lpstr>
      <vt:lpstr>'Pro Forma Wage Adjustment'!Print_Titles</vt:lpstr>
      <vt:lpstr>'Restate Revenues'!Print_Titles</vt:lpstr>
      <vt:lpstr>'Working Capital Work Paper'!Print_Titles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2017-08-29T22:18:43Z</cp:lastPrinted>
  <dcterms:created xsi:type="dcterms:W3CDTF">2014-12-11T21:48:04Z</dcterms:created>
  <dcterms:modified xsi:type="dcterms:W3CDTF">2017-08-30T15:25:47Z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0x0101006E56B4D1795A2E4DB2F0B01679ED314A008206095F44BB694BA20BDD0C7793D36E</vt:lpwstr>
  </property>
  <property fmtid="{D5CDD505-2E9C-101B-9397-08002B2CF9AE}" pid="3" name="_docset_NoMedatataSyncRequired">
    <vt:lpwstr>False</vt:lpwstr>
  </property>
  <property fmtid="{D5CDD505-2E9C-101B-9397-08002B2CF9AE}" pid="4" name="IsEFSEC">
    <vt:bool>false</vt:bool>
  </property>
</Properties>
</file>