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hidePivotFieldList="1" defaultThemeVersion="124226"/>
  <mc:AlternateContent xmlns:mc="http://schemas.openxmlformats.org/markup-compatibility/2006">
    <mc:Choice Requires="x15">
      <x15ac:absPath xmlns:x15ac="http://schemas.microsoft.com/office/spreadsheetml/2010/11/ac" url="G:\Dept\Rates\2017 Rate Cases\WA\Testimony\Parvinen\"/>
    </mc:Choice>
  </mc:AlternateContent>
  <bookViews>
    <workbookView xWindow="480" yWindow="135" windowWidth="18195" windowHeight="6900" activeTab="5" xr2:uid="{00000000-000D-0000-FFFF-FFFF00000000}"/>
  </bookViews>
  <sheets>
    <sheet name="Cover Page MPP-2" sheetId="51" r:id="rId1"/>
    <sheet name="Exh MPP-2 - ROO Summary Sheet" sheetId="1" r:id="rId2"/>
    <sheet name="Cover Page MPP-3" sheetId="53" r:id="rId3"/>
    <sheet name="Exh MPP-3 - Rev Req Calc" sheetId="26" r:id="rId4"/>
    <sheet name="Cover Page MPP-4" sheetId="54" r:id="rId5"/>
    <sheet name="Exh MPP-4 - Conversion Factor" sheetId="2" r:id="rId6"/>
    <sheet name="Cover Page MPP-5" sheetId="55" r:id="rId7"/>
    <sheet name="Exh MPP-5 - Summary of Adj" sheetId="4" r:id="rId8"/>
    <sheet name="Cover Page MPP-6" sheetId="56" r:id="rId9"/>
    <sheet name="MPP-6 - Plant Additions" sheetId="49" r:id="rId10"/>
    <sheet name="MPP-6 - Supporting Explanations" sheetId="50" r:id="rId11"/>
    <sheet name="Workpaper - Support Documents &gt;" sheetId="37" r:id="rId12"/>
    <sheet name="Index" sheetId="57" r:id="rId13"/>
    <sheet name="Operating Report" sheetId="31" r:id="rId14"/>
    <sheet name="Rate Base" sheetId="32" r:id="rId15"/>
    <sheet name="Plant in Serv &amp; Accum Depr" sheetId="58" r:id="rId16"/>
    <sheet name="Adv for Const. &amp; Def Tax" sheetId="59" r:id="rId17"/>
    <sheet name="Working Capital" sheetId="33" r:id="rId18"/>
    <sheet name="Capital Structure Calculation" sheetId="3" r:id="rId19"/>
    <sheet name="State Allocation Formulas" sheetId="60" r:id="rId20"/>
    <sheet name="Adjustment Workpapers---&gt;" sheetId="30" r:id="rId21"/>
    <sheet name="Weather Normalization" sheetId="21" r:id="rId22"/>
    <sheet name="Advertising Adj" sheetId="18" r:id="rId23"/>
    <sheet name="Restate Revenues" sheetId="36" r:id="rId24"/>
    <sheet name="Low-Income Bill Assistance" sheetId="44" r:id="rId25"/>
    <sheet name="Interest Coord. Adj." sheetId="24" r:id="rId26"/>
    <sheet name="Pro Forma Wage Adjustment" sheetId="6" r:id="rId27"/>
    <sheet name="Pro Forma Plant Additions" sheetId="13" r:id="rId28"/>
    <sheet name="Rate Case Costs" sheetId="15" r:id="rId29"/>
    <sheet name="Pro Forma Compliance Department" sheetId="46" r:id="rId30"/>
    <sheet name="MAOP UG-160787 Deferral" sheetId="38" r:id="rId31"/>
    <sheet name="Miscellaneous Charges" sheetId="41" r:id="rId32"/>
    <sheet name="CRM Adjustment (a)" sheetId="47" r:id="rId33"/>
    <sheet name="CRM Adjustment (b)" sheetId="48" r:id="rId34"/>
    <sheet name="Revenue Adjustment" sheetId="5" r:id="rId35"/>
    <sheet name="Working Capital Work Paper" sheetId="34" r:id="rId36"/>
  </sheets>
  <externalReferences>
    <externalReference r:id="rId37"/>
  </externalReferences>
  <definedNames>
    <definedName name="first_day">'[1]Historic Data'!$K$3</definedName>
    <definedName name="_xlnm.Print_Area" localSheetId="18">'Capital Structure Calculation'!$A$1:$J$17</definedName>
    <definedName name="_xlnm.Print_Area" localSheetId="32">'CRM Adjustment (a)'!$A$1:$H$23</definedName>
    <definedName name="_xlnm.Print_Area" localSheetId="1">'Exh MPP-2 - ROO Summary Sheet'!$A$1:$Q$42</definedName>
    <definedName name="_xlnm.Print_Area" localSheetId="7">'Exh MPP-5 - Summary of Adj'!$A$1:$AB$45</definedName>
    <definedName name="_xlnm.Print_Area" localSheetId="12">Index!$A$1:$F$38</definedName>
    <definedName name="_xlnm.Print_Area" localSheetId="31">'Miscellaneous Charges'!$A$1:$O$19</definedName>
    <definedName name="_xlnm.Print_Area" localSheetId="13">'Operating Report'!$A$1:$H$186,'Operating Report'!$I$1:$Y$157</definedName>
    <definedName name="_xlnm.Print_Area" localSheetId="27">'Pro Forma Plant Additions'!$A$1:$F$34</definedName>
    <definedName name="_xlnm.Print_Area" localSheetId="26">'Pro Forma Wage Adjustment'!$A$1:$P$92</definedName>
    <definedName name="_xlnm.Print_Area" localSheetId="34">'Revenue Adjustment'!$A$1:$G$27</definedName>
    <definedName name="_xlnm.Print_Area" localSheetId="19">'State Allocation Formulas'!$A$1:$T$80</definedName>
    <definedName name="_xlnm.Print_Area" localSheetId="21">'Weather Normalization'!$A$1:$H$46</definedName>
    <definedName name="_xlnm.Print_Area" localSheetId="35">'Working Capital Work Paper'!$C$1:$X$344</definedName>
    <definedName name="_xlnm.Print_Area" localSheetId="11">'Workpaper - Support Documents &gt;'!$A$1:$I$31</definedName>
    <definedName name="_xlnm.Print_Titles" localSheetId="16">'Adv for Const. &amp; Def Tax'!$A:$A,'Adv for Const. &amp; Def Tax'!$1:$8</definedName>
    <definedName name="_xlnm.Print_Titles" localSheetId="22">'Advertising Adj'!$1:$5</definedName>
    <definedName name="_xlnm.Print_Titles" localSheetId="33">'CRM Adjustment (b)'!$A:$A,'CRM Adjustment (b)'!$1:$7</definedName>
    <definedName name="_xlnm.Print_Titles" localSheetId="9">'MPP-6 - Plant Additions'!$A:$A,'MPP-6 - Plant Additions'!$1:$7</definedName>
    <definedName name="_xlnm.Print_Titles" localSheetId="10">'MPP-6 - Supporting Explanations'!$A:$B,'MPP-6 - Supporting Explanations'!$1:$7</definedName>
    <definedName name="_xlnm.Print_Titles" localSheetId="13">'Operating Report'!$A:$A,'Operating Report'!$1:$13</definedName>
    <definedName name="_xlnm.Print_Titles" localSheetId="15">'Plant in Serv &amp; Accum Depr'!$A:$A,'Plant in Serv &amp; Accum Depr'!$1:$8</definedName>
    <definedName name="_xlnm.Print_Titles" localSheetId="26">'Pro Forma Wage Adjustment'!$1:$7</definedName>
    <definedName name="_xlnm.Print_Titles" localSheetId="23">'Restate Revenues'!$1:$8</definedName>
    <definedName name="_xlnm.Print_Titles" localSheetId="35">'Working Capital Work Paper'!$C:$C,'Working Capital Work Paper'!$1:$9</definedName>
  </definedNames>
  <calcPr calcId="171027"/>
  <fileRecoveryPr autoRecover="0"/>
</workbook>
</file>

<file path=xl/calcChain.xml><?xml version="1.0" encoding="utf-8"?>
<calcChain xmlns="http://schemas.openxmlformats.org/spreadsheetml/2006/main">
  <c r="H33" i="4" l="1"/>
  <c r="A19" i="57" l="1"/>
  <c r="K14" i="46" l="1"/>
  <c r="K13" i="46"/>
  <c r="K12" i="46"/>
  <c r="E30" i="13" l="1"/>
  <c r="C11" i="13" s="1"/>
  <c r="E33" i="13" l="1"/>
  <c r="E14" i="13" s="1"/>
  <c r="C21" i="60"/>
  <c r="F9" i="31" s="1"/>
  <c r="H10" i="31"/>
  <c r="H9" i="31"/>
  <c r="G10" i="31"/>
  <c r="G9" i="31"/>
  <c r="F10" i="31"/>
  <c r="S203" i="49"/>
  <c r="S201" i="49"/>
  <c r="S199" i="49"/>
  <c r="S198" i="49"/>
  <c r="S184" i="49"/>
  <c r="S180" i="49"/>
  <c r="S179" i="49"/>
  <c r="S178" i="49"/>
  <c r="S172" i="49"/>
  <c r="S171" i="49"/>
  <c r="S110" i="49"/>
  <c r="S49" i="49"/>
  <c r="S48" i="49"/>
  <c r="S21" i="49"/>
  <c r="S20" i="49"/>
  <c r="S19" i="49"/>
  <c r="S18" i="49"/>
  <c r="S17" i="49"/>
  <c r="S16" i="49"/>
  <c r="S15" i="49"/>
  <c r="S14" i="49"/>
  <c r="S13" i="49"/>
  <c r="S12" i="49"/>
  <c r="S11" i="49"/>
  <c r="S10" i="49"/>
  <c r="S9" i="49"/>
  <c r="S8" i="49"/>
  <c r="F11" i="60" l="1"/>
  <c r="K11" i="60"/>
  <c r="O11" i="60"/>
  <c r="R11" i="60"/>
  <c r="S17" i="60" s="1"/>
  <c r="P17" i="60"/>
  <c r="C18" i="60"/>
  <c r="D18" i="60"/>
  <c r="G18" i="60"/>
  <c r="N18" i="60"/>
  <c r="G19" i="60"/>
  <c r="G20" i="60"/>
  <c r="E21" i="60"/>
  <c r="G21" i="60"/>
  <c r="G22" i="60" s="1"/>
  <c r="G23" i="60" s="1"/>
  <c r="G24" i="60" s="1"/>
  <c r="G25" i="60" s="1"/>
  <c r="G26" i="60" s="1"/>
  <c r="G27" i="60" s="1"/>
  <c r="G28" i="60" s="1"/>
  <c r="G29" i="60" s="1"/>
  <c r="L25" i="60"/>
  <c r="M25" i="60"/>
  <c r="S25" i="60"/>
  <c r="T21" i="60" s="1"/>
  <c r="H32" i="60"/>
  <c r="I32" i="60"/>
  <c r="H35" i="60"/>
  <c r="I35" i="60"/>
  <c r="J35" i="60"/>
  <c r="H39" i="60"/>
  <c r="I39" i="60" s="1"/>
  <c r="R50" i="60"/>
  <c r="R51" i="60"/>
  <c r="R52" i="60"/>
  <c r="R53" i="60"/>
  <c r="R54" i="60"/>
  <c r="R55" i="60"/>
  <c r="R56" i="60"/>
  <c r="R57" i="60"/>
  <c r="R58" i="60"/>
  <c r="R59" i="60"/>
  <c r="R60" i="60"/>
  <c r="R61" i="60"/>
  <c r="P62" i="60"/>
  <c r="Q62" i="60"/>
  <c r="P18" i="60" s="1"/>
  <c r="T22" i="60" l="1"/>
  <c r="C29" i="60"/>
  <c r="D29" i="60" s="1"/>
  <c r="P21" i="60"/>
  <c r="Q17" i="60" s="1"/>
  <c r="C17" i="60"/>
  <c r="D17" i="60" s="1"/>
  <c r="K16" i="31"/>
  <c r="K15" i="31"/>
  <c r="C16" i="60" l="1"/>
  <c r="Q18" i="60"/>
  <c r="A14" i="57"/>
  <c r="A15" i="57" s="1"/>
  <c r="A16" i="57" s="1"/>
  <c r="A17" i="57" s="1"/>
  <c r="A18" i="57" s="1"/>
  <c r="A22" i="57" s="1"/>
  <c r="A23" i="57" s="1"/>
  <c r="A24" i="57" s="1"/>
  <c r="A25" i="57" s="1"/>
  <c r="A26" i="57" s="1"/>
  <c r="A27" i="57" s="1"/>
  <c r="A28" i="57" s="1"/>
  <c r="A29" i="57" s="1"/>
  <c r="A30" i="57" s="1"/>
  <c r="A31" i="57" s="1"/>
  <c r="A32" i="57" s="1"/>
  <c r="A13" i="57"/>
  <c r="D16" i="60" l="1"/>
  <c r="D21" i="60" s="1"/>
  <c r="E45" i="21"/>
  <c r="E44" i="21"/>
  <c r="E43" i="21"/>
  <c r="E42" i="21"/>
  <c r="F45" i="21"/>
  <c r="E19" i="21" s="1"/>
  <c r="F44" i="21"/>
  <c r="E32" i="21" s="1"/>
  <c r="F43" i="21"/>
  <c r="E15" i="21" s="1"/>
  <c r="F42" i="21"/>
  <c r="E12" i="21" s="1"/>
  <c r="F46" i="21" l="1"/>
  <c r="E26" i="21"/>
  <c r="E29" i="21"/>
  <c r="E18" i="21"/>
  <c r="E21" i="21" s="1"/>
  <c r="AW41" i="59" l="1"/>
  <c r="AW40" i="59"/>
  <c r="AW51" i="59"/>
  <c r="AW50" i="59"/>
  <c r="AT50" i="59"/>
  <c r="AT51" i="59"/>
  <c r="AW42" i="59"/>
  <c r="AT42" i="59"/>
  <c r="AT48" i="59" s="1"/>
  <c r="AQ42" i="59"/>
  <c r="AQ48" i="59" s="1"/>
  <c r="AN47" i="59"/>
  <c r="AN42" i="59"/>
  <c r="AN48" i="59" s="1"/>
  <c r="AK42" i="59"/>
  <c r="AK48" i="59" s="1"/>
  <c r="AH42" i="59"/>
  <c r="AH48" i="59" s="1"/>
  <c r="AE42" i="59"/>
  <c r="AE48" i="59" s="1"/>
  <c r="AB47" i="59"/>
  <c r="AB42" i="59"/>
  <c r="AB48" i="59" s="1"/>
  <c r="Y42" i="59"/>
  <c r="V42" i="59"/>
  <c r="V48" i="59" s="1"/>
  <c r="S48" i="59"/>
  <c r="S42" i="59"/>
  <c r="P47" i="59"/>
  <c r="P42" i="59"/>
  <c r="P48" i="59" s="1"/>
  <c r="M42" i="59"/>
  <c r="M48" i="59" s="1"/>
  <c r="AT38" i="59"/>
  <c r="AT47" i="59" s="1"/>
  <c r="AQ38" i="59"/>
  <c r="AQ47" i="59" s="1"/>
  <c r="AN38" i="59"/>
  <c r="AK38" i="59"/>
  <c r="AK47" i="59" s="1"/>
  <c r="AK49" i="59" s="1"/>
  <c r="AH38" i="59"/>
  <c r="AH47" i="59" s="1"/>
  <c r="AE38" i="59"/>
  <c r="AE47" i="59" s="1"/>
  <c r="AB38" i="59"/>
  <c r="Y38" i="59"/>
  <c r="Y47" i="59" s="1"/>
  <c r="V38" i="59"/>
  <c r="V47" i="59" s="1"/>
  <c r="S38" i="59"/>
  <c r="S47" i="59" s="1"/>
  <c r="S49" i="59" s="1"/>
  <c r="P38" i="59"/>
  <c r="M38" i="59"/>
  <c r="M47" i="59" s="1"/>
  <c r="AW37" i="59"/>
  <c r="AW36" i="59"/>
  <c r="AW35" i="59"/>
  <c r="AW34" i="59"/>
  <c r="AW33" i="59"/>
  <c r="AW32" i="59"/>
  <c r="AW38" i="59" s="1"/>
  <c r="AB49" i="59" l="1"/>
  <c r="P49" i="59"/>
  <c r="AN49" i="59"/>
  <c r="AT53" i="59"/>
  <c r="AT52" i="59"/>
  <c r="Y48" i="59"/>
  <c r="AT49" i="59"/>
  <c r="AQ49" i="59"/>
  <c r="AH49" i="59"/>
  <c r="AE49" i="59"/>
  <c r="V49" i="59"/>
  <c r="M49" i="59"/>
  <c r="Y49" i="59" l="1"/>
  <c r="AQ51" i="59"/>
  <c r="AQ53" i="59" s="1"/>
  <c r="AN51" i="59"/>
  <c r="AN53" i="59" s="1"/>
  <c r="AK51" i="59"/>
  <c r="AK53" i="59" s="1"/>
  <c r="AH51" i="59"/>
  <c r="AH53" i="59" s="1"/>
  <c r="AE51" i="59"/>
  <c r="AE53" i="59" s="1"/>
  <c r="AB51" i="59"/>
  <c r="AB53" i="59" s="1"/>
  <c r="Y51" i="59"/>
  <c r="Y53" i="59" s="1"/>
  <c r="V51" i="59"/>
  <c r="V53" i="59" s="1"/>
  <c r="S51" i="59"/>
  <c r="S53" i="59" s="1"/>
  <c r="P51" i="59"/>
  <c r="P53" i="59" s="1"/>
  <c r="M51" i="59"/>
  <c r="M53" i="59" s="1"/>
  <c r="AQ50" i="59"/>
  <c r="AQ52" i="59" s="1"/>
  <c r="AN50" i="59"/>
  <c r="AN52" i="59" s="1"/>
  <c r="AK50" i="59"/>
  <c r="AK52" i="59" s="1"/>
  <c r="AH50" i="59"/>
  <c r="AH52" i="59" s="1"/>
  <c r="AE50" i="59"/>
  <c r="AE52" i="59" s="1"/>
  <c r="AB50" i="59"/>
  <c r="AB52" i="59" s="1"/>
  <c r="Y50" i="59"/>
  <c r="Y52" i="59" s="1"/>
  <c r="V50" i="59"/>
  <c r="V52" i="59" s="1"/>
  <c r="S50" i="59"/>
  <c r="S52" i="59" s="1"/>
  <c r="P50" i="59"/>
  <c r="P52" i="59" s="1"/>
  <c r="M50" i="59"/>
  <c r="M52" i="59" s="1"/>
  <c r="J51" i="59"/>
  <c r="J50" i="59"/>
  <c r="J42" i="59"/>
  <c r="J48" i="59" s="1"/>
  <c r="J38" i="59"/>
  <c r="J47" i="59" s="1"/>
  <c r="J53" i="59" l="1"/>
  <c r="J49" i="59"/>
  <c r="J52" i="59"/>
  <c r="X274" i="34"/>
  <c r="AF140" i="58" l="1"/>
  <c r="AE139" i="58"/>
  <c r="AW24" i="59"/>
  <c r="AY29" i="59"/>
  <c r="AX29" i="59"/>
  <c r="AW29" i="59"/>
  <c r="AY28" i="59"/>
  <c r="AX28" i="59"/>
  <c r="AY27" i="59"/>
  <c r="AX27" i="59"/>
  <c r="AY26" i="59"/>
  <c r="AX26" i="59"/>
  <c r="AW28" i="59"/>
  <c r="AW27" i="59"/>
  <c r="AW48" i="59" s="1"/>
  <c r="AW53" i="59" s="1"/>
  <c r="AW26" i="59"/>
  <c r="AW47" i="59" s="1"/>
  <c r="AW52" i="59" s="1"/>
  <c r="J30" i="59"/>
  <c r="J44" i="59" s="1"/>
  <c r="K30" i="59"/>
  <c r="L30" i="59"/>
  <c r="M30" i="59"/>
  <c r="M44" i="59" s="1"/>
  <c r="N30" i="59"/>
  <c r="O30" i="59"/>
  <c r="P30" i="59"/>
  <c r="P44" i="59" s="1"/>
  <c r="Q30" i="59"/>
  <c r="R30" i="59"/>
  <c r="S30" i="59"/>
  <c r="S44" i="59" s="1"/>
  <c r="T30" i="59"/>
  <c r="U30" i="59"/>
  <c r="V30" i="59"/>
  <c r="V44" i="59" s="1"/>
  <c r="W30" i="59"/>
  <c r="X30" i="59"/>
  <c r="Y30" i="59"/>
  <c r="Y44" i="59" s="1"/>
  <c r="Z30" i="59"/>
  <c r="AA30" i="59"/>
  <c r="AB30" i="59"/>
  <c r="AB44" i="59" s="1"/>
  <c r="AC30" i="59"/>
  <c r="AD30" i="59"/>
  <c r="AE30" i="59"/>
  <c r="AE44" i="59" s="1"/>
  <c r="AF30" i="59"/>
  <c r="AG30" i="59"/>
  <c r="AH30" i="59"/>
  <c r="AH44" i="59" s="1"/>
  <c r="AI30" i="59"/>
  <c r="AJ30" i="59"/>
  <c r="AK30" i="59"/>
  <c r="AK44" i="59" s="1"/>
  <c r="AL30" i="59"/>
  <c r="AM30" i="59"/>
  <c r="AN30" i="59"/>
  <c r="AN44" i="59" s="1"/>
  <c r="AO30" i="59"/>
  <c r="AP30" i="59"/>
  <c r="AQ30" i="59"/>
  <c r="AQ44" i="59" s="1"/>
  <c r="AR30" i="59"/>
  <c r="AS30" i="59"/>
  <c r="AT30" i="59"/>
  <c r="AT44" i="59" s="1"/>
  <c r="AU30" i="59"/>
  <c r="AV30" i="59"/>
  <c r="AV23" i="59"/>
  <c r="AU23" i="59"/>
  <c r="AT23" i="59"/>
  <c r="AS23" i="59"/>
  <c r="AR23" i="59"/>
  <c r="AQ23" i="59"/>
  <c r="AP23" i="59"/>
  <c r="AO23" i="59"/>
  <c r="AN23" i="59"/>
  <c r="AM23" i="59"/>
  <c r="AL23" i="59"/>
  <c r="AK23" i="59"/>
  <c r="AJ23" i="59"/>
  <c r="AI23" i="59"/>
  <c r="AH23" i="59"/>
  <c r="AG23" i="59"/>
  <c r="AF23" i="59"/>
  <c r="AE23" i="59"/>
  <c r="AD23" i="59"/>
  <c r="AC23" i="59"/>
  <c r="AB23" i="59"/>
  <c r="AA23" i="59"/>
  <c r="Z23" i="59"/>
  <c r="Y23" i="59"/>
  <c r="X23" i="59"/>
  <c r="W23" i="59"/>
  <c r="V23" i="59"/>
  <c r="U23" i="59"/>
  <c r="T23" i="59"/>
  <c r="S23" i="59"/>
  <c r="R23" i="59"/>
  <c r="Q23" i="59"/>
  <c r="P23" i="59"/>
  <c r="O23" i="59"/>
  <c r="N23" i="59"/>
  <c r="M23" i="59"/>
  <c r="L23" i="59"/>
  <c r="K23" i="59"/>
  <c r="J23" i="59"/>
  <c r="AY22" i="59"/>
  <c r="AX22" i="59"/>
  <c r="AY21" i="59"/>
  <c r="AX21" i="59"/>
  <c r="AY20" i="59"/>
  <c r="AX20" i="59"/>
  <c r="AY19" i="59"/>
  <c r="AX19" i="59"/>
  <c r="AY18" i="59"/>
  <c r="AX18" i="59"/>
  <c r="AW22" i="59"/>
  <c r="AW21" i="59"/>
  <c r="AW20" i="59"/>
  <c r="AW19" i="59"/>
  <c r="AW18" i="59"/>
  <c r="AD151" i="58"/>
  <c r="AB151" i="58"/>
  <c r="Z151" i="58"/>
  <c r="X151" i="58"/>
  <c r="V151" i="58"/>
  <c r="T151" i="58"/>
  <c r="R151" i="58"/>
  <c r="P151" i="58"/>
  <c r="N151" i="58"/>
  <c r="L151" i="58"/>
  <c r="J151" i="58"/>
  <c r="H151" i="58"/>
  <c r="F151" i="58"/>
  <c r="AD150" i="58"/>
  <c r="AB150" i="58"/>
  <c r="Z150" i="58"/>
  <c r="X150" i="58"/>
  <c r="V150" i="58"/>
  <c r="T150" i="58"/>
  <c r="R150" i="58"/>
  <c r="P150" i="58"/>
  <c r="N150" i="58"/>
  <c r="L150" i="58"/>
  <c r="J150" i="58"/>
  <c r="H150" i="58"/>
  <c r="F150" i="58"/>
  <c r="AD145" i="58"/>
  <c r="AB145" i="58"/>
  <c r="Z145" i="58"/>
  <c r="X145" i="58"/>
  <c r="V145" i="58"/>
  <c r="T145" i="58"/>
  <c r="R145" i="58"/>
  <c r="P145" i="58"/>
  <c r="N145" i="58"/>
  <c r="L145" i="58"/>
  <c r="J145" i="58"/>
  <c r="H145" i="58"/>
  <c r="F145" i="58"/>
  <c r="AD144" i="58"/>
  <c r="AB144" i="58"/>
  <c r="Z144" i="58"/>
  <c r="X144" i="58"/>
  <c r="V144" i="58"/>
  <c r="T144" i="58"/>
  <c r="R144" i="58"/>
  <c r="P144" i="58"/>
  <c r="N144" i="58"/>
  <c r="L144" i="58"/>
  <c r="J144" i="58"/>
  <c r="H144" i="58"/>
  <c r="F144" i="58"/>
  <c r="AD135" i="58"/>
  <c r="AC135" i="58"/>
  <c r="AB135" i="58"/>
  <c r="AA135" i="58"/>
  <c r="Z135" i="58"/>
  <c r="Y135" i="58"/>
  <c r="X135" i="58"/>
  <c r="W135" i="58"/>
  <c r="V135" i="58"/>
  <c r="U135" i="58"/>
  <c r="T135" i="58"/>
  <c r="S135" i="58"/>
  <c r="R135" i="58"/>
  <c r="Q135" i="58"/>
  <c r="P135" i="58"/>
  <c r="O135" i="58"/>
  <c r="N135" i="58"/>
  <c r="M135" i="58"/>
  <c r="L135" i="58"/>
  <c r="K135" i="58"/>
  <c r="J135" i="58"/>
  <c r="I135" i="58"/>
  <c r="H135" i="58"/>
  <c r="G135" i="58"/>
  <c r="F135" i="58"/>
  <c r="E135" i="58"/>
  <c r="AF134" i="58"/>
  <c r="AE134" i="58"/>
  <c r="AF133" i="58"/>
  <c r="AE133" i="58"/>
  <c r="AF132" i="58"/>
  <c r="AE132" i="58"/>
  <c r="AD130" i="58"/>
  <c r="AC130" i="58"/>
  <c r="AB130" i="58"/>
  <c r="AA130" i="58"/>
  <c r="Z130" i="58"/>
  <c r="Y130" i="58"/>
  <c r="X130" i="58"/>
  <c r="W130" i="58"/>
  <c r="V130" i="58"/>
  <c r="U130" i="58"/>
  <c r="T130" i="58"/>
  <c r="S130" i="58"/>
  <c r="R130" i="58"/>
  <c r="Q130" i="58"/>
  <c r="P130" i="58"/>
  <c r="O130" i="58"/>
  <c r="N130" i="58"/>
  <c r="M130" i="58"/>
  <c r="L130" i="58"/>
  <c r="K130" i="58"/>
  <c r="J130" i="58"/>
  <c r="I130" i="58"/>
  <c r="H130" i="58"/>
  <c r="G130" i="58"/>
  <c r="F130" i="58"/>
  <c r="E130" i="58"/>
  <c r="AF129" i="58"/>
  <c r="AE129" i="58"/>
  <c r="D129" i="58"/>
  <c r="AF128" i="58"/>
  <c r="AE128" i="58"/>
  <c r="D128" i="58"/>
  <c r="AF127" i="58"/>
  <c r="AE127" i="58"/>
  <c r="D127" i="58"/>
  <c r="AF126" i="58"/>
  <c r="AE126" i="58"/>
  <c r="D126" i="58"/>
  <c r="AF125" i="58"/>
  <c r="AE125" i="58"/>
  <c r="D125" i="58"/>
  <c r="AF124" i="58"/>
  <c r="AE124" i="58"/>
  <c r="D124" i="58"/>
  <c r="AF123" i="58"/>
  <c r="AE123" i="58"/>
  <c r="D123" i="58"/>
  <c r="AF122" i="58"/>
  <c r="AE122" i="58"/>
  <c r="D122" i="58"/>
  <c r="AF121" i="58"/>
  <c r="AE121" i="58"/>
  <c r="D121" i="58"/>
  <c r="AF120" i="58"/>
  <c r="AE120" i="58"/>
  <c r="D120" i="58"/>
  <c r="AF119" i="58"/>
  <c r="AE119" i="58"/>
  <c r="D119" i="58"/>
  <c r="AF118" i="58"/>
  <c r="AE118" i="58"/>
  <c r="D118" i="58"/>
  <c r="AF117" i="58"/>
  <c r="AE117" i="58"/>
  <c r="D117" i="58"/>
  <c r="AF116" i="58"/>
  <c r="AE116" i="58"/>
  <c r="D116" i="58"/>
  <c r="AF115" i="58"/>
  <c r="AE115" i="58"/>
  <c r="D115" i="58"/>
  <c r="AF114" i="58"/>
  <c r="AE114" i="58"/>
  <c r="D114" i="58"/>
  <c r="AF113" i="58"/>
  <c r="AE113" i="58"/>
  <c r="D113" i="58"/>
  <c r="AF112" i="58"/>
  <c r="AE112" i="58"/>
  <c r="D112" i="58"/>
  <c r="AF111" i="58"/>
  <c r="AE111" i="58"/>
  <c r="D111" i="58"/>
  <c r="AF110" i="58"/>
  <c r="AE110" i="58"/>
  <c r="D110" i="58"/>
  <c r="AF109" i="58"/>
  <c r="AE109" i="58"/>
  <c r="D109" i="58"/>
  <c r="AF108" i="58"/>
  <c r="AE108" i="58"/>
  <c r="D108" i="58"/>
  <c r="AF107" i="58"/>
  <c r="AE107" i="58"/>
  <c r="D107" i="58"/>
  <c r="AF106" i="58"/>
  <c r="AE106" i="58"/>
  <c r="D106" i="58"/>
  <c r="AF105" i="58"/>
  <c r="AE105" i="58"/>
  <c r="AF104" i="58"/>
  <c r="AE104" i="58"/>
  <c r="AF103" i="58"/>
  <c r="AE103" i="58"/>
  <c r="AF102" i="58"/>
  <c r="AE102" i="58"/>
  <c r="AF101" i="58"/>
  <c r="AE101" i="58"/>
  <c r="AF100" i="58"/>
  <c r="AE100" i="58"/>
  <c r="AF99" i="58"/>
  <c r="AE99" i="58"/>
  <c r="AF98" i="58"/>
  <c r="AE98" i="58"/>
  <c r="AF97" i="58"/>
  <c r="AE97" i="58"/>
  <c r="AF96" i="58"/>
  <c r="AE96" i="58"/>
  <c r="AF95" i="58"/>
  <c r="AE95" i="58"/>
  <c r="AF94" i="58"/>
  <c r="AE94" i="58"/>
  <c r="AF93" i="58"/>
  <c r="AE93" i="58"/>
  <c r="AF92" i="58"/>
  <c r="AE92" i="58"/>
  <c r="AF91" i="58"/>
  <c r="AE91" i="58"/>
  <c r="D91" i="58"/>
  <c r="AD89" i="58"/>
  <c r="AD149" i="58" s="1"/>
  <c r="AD153" i="58" s="1"/>
  <c r="AC89" i="58"/>
  <c r="AD143" i="58" s="1"/>
  <c r="AB89" i="58"/>
  <c r="AB149" i="58" s="1"/>
  <c r="AB153" i="58" s="1"/>
  <c r="AA89" i="58"/>
  <c r="AB143" i="58" s="1"/>
  <c r="Z89" i="58"/>
  <c r="Z149" i="58" s="1"/>
  <c r="Y89" i="58"/>
  <c r="Z143" i="58" s="1"/>
  <c r="Z147" i="58" s="1"/>
  <c r="X89" i="58"/>
  <c r="X149" i="58" s="1"/>
  <c r="X153" i="58" s="1"/>
  <c r="W89" i="58"/>
  <c r="X143" i="58" s="1"/>
  <c r="X147" i="58" s="1"/>
  <c r="V89" i="58"/>
  <c r="V149" i="58" s="1"/>
  <c r="V153" i="58" s="1"/>
  <c r="U89" i="58"/>
  <c r="V143" i="58" s="1"/>
  <c r="T89" i="58"/>
  <c r="T149" i="58" s="1"/>
  <c r="T153" i="58" s="1"/>
  <c r="S89" i="58"/>
  <c r="T143" i="58" s="1"/>
  <c r="R89" i="58"/>
  <c r="R149" i="58" s="1"/>
  <c r="Q89" i="58"/>
  <c r="R143" i="58" s="1"/>
  <c r="R147" i="58" s="1"/>
  <c r="P89" i="58"/>
  <c r="P149" i="58" s="1"/>
  <c r="P153" i="58" s="1"/>
  <c r="O89" i="58"/>
  <c r="P143" i="58" s="1"/>
  <c r="P147" i="58" s="1"/>
  <c r="N89" i="58"/>
  <c r="N149" i="58" s="1"/>
  <c r="N153" i="58" s="1"/>
  <c r="M89" i="58"/>
  <c r="N143" i="58" s="1"/>
  <c r="L89" i="58"/>
  <c r="L149" i="58" s="1"/>
  <c r="L153" i="58" s="1"/>
  <c r="K89" i="58"/>
  <c r="L143" i="58" s="1"/>
  <c r="J89" i="58"/>
  <c r="J149" i="58" s="1"/>
  <c r="I89" i="58"/>
  <c r="J143" i="58" s="1"/>
  <c r="J147" i="58" s="1"/>
  <c r="H89" i="58"/>
  <c r="H149" i="58" s="1"/>
  <c r="H153" i="58" s="1"/>
  <c r="G89" i="58"/>
  <c r="H143" i="58" s="1"/>
  <c r="H147" i="58" s="1"/>
  <c r="F89" i="58"/>
  <c r="F149" i="58" s="1"/>
  <c r="F153" i="58" s="1"/>
  <c r="E89" i="58"/>
  <c r="F143" i="58" s="1"/>
  <c r="AF88" i="58"/>
  <c r="AE88" i="58"/>
  <c r="D88" i="58"/>
  <c r="AF87" i="58"/>
  <c r="AE87" i="58"/>
  <c r="D87" i="58"/>
  <c r="AF86" i="58"/>
  <c r="AE86" i="58"/>
  <c r="D86" i="58"/>
  <c r="AF85" i="58"/>
  <c r="AE85" i="58"/>
  <c r="D85" i="58"/>
  <c r="AF84" i="58"/>
  <c r="AE84" i="58"/>
  <c r="D84" i="58"/>
  <c r="AF83" i="58"/>
  <c r="AE83" i="58"/>
  <c r="D83" i="58"/>
  <c r="AF82" i="58"/>
  <c r="AE82" i="58"/>
  <c r="D82" i="58"/>
  <c r="AF81" i="58"/>
  <c r="AE81" i="58"/>
  <c r="D81" i="58"/>
  <c r="AF80" i="58"/>
  <c r="AE80" i="58"/>
  <c r="D80" i="58"/>
  <c r="AF79" i="58"/>
  <c r="AE79" i="58"/>
  <c r="D79" i="58"/>
  <c r="AF78" i="58"/>
  <c r="AE78" i="58"/>
  <c r="D78" i="58"/>
  <c r="AF77" i="58"/>
  <c r="AE77" i="58"/>
  <c r="D77" i="58"/>
  <c r="AF76" i="58"/>
  <c r="AE76" i="58"/>
  <c r="D76" i="58"/>
  <c r="AF75" i="58"/>
  <c r="AE75" i="58"/>
  <c r="D75" i="58"/>
  <c r="AF74" i="58"/>
  <c r="AE74" i="58"/>
  <c r="D74" i="58"/>
  <c r="AF73" i="58"/>
  <c r="AE73" i="58"/>
  <c r="D73" i="58"/>
  <c r="AF72" i="58"/>
  <c r="AE72" i="58"/>
  <c r="D72" i="58"/>
  <c r="AF71" i="58"/>
  <c r="AE71" i="58"/>
  <c r="D71" i="58"/>
  <c r="AF70" i="58"/>
  <c r="AE70" i="58"/>
  <c r="D70" i="58"/>
  <c r="AF69" i="58"/>
  <c r="AE69" i="58"/>
  <c r="D69" i="58"/>
  <c r="AF68" i="58"/>
  <c r="AE68" i="58"/>
  <c r="D68" i="58"/>
  <c r="AF67" i="58"/>
  <c r="AE67" i="58"/>
  <c r="D67" i="58"/>
  <c r="AF66" i="58"/>
  <c r="AE66" i="58"/>
  <c r="D66" i="58"/>
  <c r="AF65" i="58"/>
  <c r="AE65" i="58"/>
  <c r="D65" i="58"/>
  <c r="AF64" i="58"/>
  <c r="AE64" i="58"/>
  <c r="D64" i="58"/>
  <c r="AF63" i="58"/>
  <c r="AE63" i="58"/>
  <c r="D63" i="58"/>
  <c r="AF62" i="58"/>
  <c r="AE62" i="58"/>
  <c r="D62" i="58"/>
  <c r="AF61" i="58"/>
  <c r="AE61" i="58"/>
  <c r="D61" i="58"/>
  <c r="AF60" i="58"/>
  <c r="AE60" i="58"/>
  <c r="D60" i="58"/>
  <c r="AF59" i="58"/>
  <c r="AE59" i="58"/>
  <c r="D59" i="58"/>
  <c r="AF58" i="58"/>
  <c r="AE58" i="58"/>
  <c r="D58" i="58"/>
  <c r="AF57" i="58"/>
  <c r="AE57" i="58"/>
  <c r="D57" i="58"/>
  <c r="AF56" i="58"/>
  <c r="AE56" i="58"/>
  <c r="D56" i="58"/>
  <c r="AF55" i="58"/>
  <c r="AE55" i="58"/>
  <c r="D55" i="58"/>
  <c r="AF54" i="58"/>
  <c r="AE54" i="58"/>
  <c r="D54" i="58"/>
  <c r="AF53" i="58"/>
  <c r="AE53" i="58"/>
  <c r="D53" i="58"/>
  <c r="AF52" i="58"/>
  <c r="AE52" i="58"/>
  <c r="D52" i="58"/>
  <c r="AF51" i="58"/>
  <c r="AE51" i="58"/>
  <c r="AF50" i="58"/>
  <c r="AE50" i="58"/>
  <c r="AF49" i="58"/>
  <c r="AE49" i="58"/>
  <c r="AF48" i="58"/>
  <c r="AE48" i="58"/>
  <c r="D48" i="58"/>
  <c r="AD46" i="58"/>
  <c r="AC46" i="58"/>
  <c r="AB46" i="58"/>
  <c r="AA46" i="58"/>
  <c r="Z46" i="58"/>
  <c r="Y46" i="58"/>
  <c r="X46" i="58"/>
  <c r="W46" i="58"/>
  <c r="V46" i="58"/>
  <c r="U46" i="58"/>
  <c r="T46" i="58"/>
  <c r="S46" i="58"/>
  <c r="R46" i="58"/>
  <c r="Q46" i="58"/>
  <c r="P46" i="58"/>
  <c r="O46" i="58"/>
  <c r="N46" i="58"/>
  <c r="M46" i="58"/>
  <c r="L46" i="58"/>
  <c r="K46" i="58"/>
  <c r="J46" i="58"/>
  <c r="I46" i="58"/>
  <c r="H46" i="58"/>
  <c r="G46" i="58"/>
  <c r="F46" i="58"/>
  <c r="E46" i="58"/>
  <c r="AF45" i="58"/>
  <c r="AE45" i="58"/>
  <c r="D45" i="58"/>
  <c r="AF44" i="58"/>
  <c r="AE44" i="58"/>
  <c r="D44" i="58"/>
  <c r="AF43" i="58"/>
  <c r="AE43" i="58"/>
  <c r="D43" i="58"/>
  <c r="AF42" i="58"/>
  <c r="AE42" i="58"/>
  <c r="D42" i="58"/>
  <c r="AF41" i="58"/>
  <c r="AE41" i="58"/>
  <c r="D41" i="58"/>
  <c r="AF40" i="58"/>
  <c r="AE40" i="58"/>
  <c r="D40" i="58"/>
  <c r="AF39" i="58"/>
  <c r="AE39" i="58"/>
  <c r="D39" i="58"/>
  <c r="AF38" i="58"/>
  <c r="AE38" i="58"/>
  <c r="D38" i="58"/>
  <c r="AF37" i="58"/>
  <c r="AE37" i="58"/>
  <c r="D37" i="58"/>
  <c r="AF36" i="58"/>
  <c r="AE36" i="58"/>
  <c r="D36" i="58"/>
  <c r="AF35" i="58"/>
  <c r="AE35" i="58"/>
  <c r="D35" i="58"/>
  <c r="AF34" i="58"/>
  <c r="AE34" i="58"/>
  <c r="D34" i="58"/>
  <c r="AF33" i="58"/>
  <c r="AE33" i="58"/>
  <c r="D33" i="58"/>
  <c r="AF32" i="58"/>
  <c r="AE32" i="58"/>
  <c r="D32" i="58"/>
  <c r="AF31" i="58"/>
  <c r="AE31" i="58"/>
  <c r="D31" i="58"/>
  <c r="AF30" i="58"/>
  <c r="AE30" i="58"/>
  <c r="D30" i="58"/>
  <c r="AF29" i="58"/>
  <c r="AE29" i="58"/>
  <c r="D29" i="58"/>
  <c r="AF28" i="58"/>
  <c r="AE28" i="58"/>
  <c r="D28" i="58"/>
  <c r="AF27" i="58"/>
  <c r="AE27" i="58"/>
  <c r="D27" i="58"/>
  <c r="AF26" i="58"/>
  <c r="AE26" i="58"/>
  <c r="D26" i="58"/>
  <c r="AF25" i="58"/>
  <c r="AE25" i="58"/>
  <c r="D25" i="58"/>
  <c r="AF24" i="58"/>
  <c r="AE24" i="58"/>
  <c r="D24" i="58"/>
  <c r="AF23" i="58"/>
  <c r="AE23" i="58"/>
  <c r="D23" i="58"/>
  <c r="AF22" i="58"/>
  <c r="AE22" i="58"/>
  <c r="D22" i="58"/>
  <c r="AF21" i="58"/>
  <c r="AE21" i="58"/>
  <c r="D21" i="58"/>
  <c r="AF20" i="58"/>
  <c r="AE20" i="58"/>
  <c r="D20" i="58"/>
  <c r="AF19" i="58"/>
  <c r="AE19" i="58"/>
  <c r="D19" i="58"/>
  <c r="AF18" i="58"/>
  <c r="AE18" i="58"/>
  <c r="D18" i="58"/>
  <c r="AF17" i="58"/>
  <c r="AE17" i="58"/>
  <c r="D17" i="58"/>
  <c r="AF16" i="58"/>
  <c r="AE16" i="58"/>
  <c r="D16" i="58"/>
  <c r="AF15" i="58"/>
  <c r="AE15" i="58"/>
  <c r="D15" i="58"/>
  <c r="AF14" i="58"/>
  <c r="AE14" i="58"/>
  <c r="D14" i="58"/>
  <c r="AF13" i="58"/>
  <c r="AE13" i="58"/>
  <c r="D13" i="58"/>
  <c r="AF12" i="58"/>
  <c r="AE12" i="58"/>
  <c r="D12" i="58"/>
  <c r="AF11" i="58"/>
  <c r="AE11" i="58"/>
  <c r="AF10" i="58"/>
  <c r="AE10" i="58"/>
  <c r="D10" i="58"/>
  <c r="R340" i="34"/>
  <c r="Q340" i="34"/>
  <c r="P340" i="34"/>
  <c r="O340" i="34"/>
  <c r="N340" i="34"/>
  <c r="M340" i="34"/>
  <c r="L340" i="34"/>
  <c r="K340" i="34"/>
  <c r="J340" i="34"/>
  <c r="I340" i="34"/>
  <c r="H340" i="34"/>
  <c r="G340" i="34"/>
  <c r="R330" i="34"/>
  <c r="Q330" i="34"/>
  <c r="P330" i="34"/>
  <c r="O330" i="34"/>
  <c r="N330" i="34"/>
  <c r="M330" i="34"/>
  <c r="L330" i="34"/>
  <c r="K330" i="34"/>
  <c r="J330" i="34"/>
  <c r="I330" i="34"/>
  <c r="H330" i="34"/>
  <c r="G330" i="34"/>
  <c r="R318" i="34"/>
  <c r="Q318" i="34"/>
  <c r="P318" i="34"/>
  <c r="O318" i="34"/>
  <c r="N318" i="34"/>
  <c r="M318" i="34"/>
  <c r="L318" i="34"/>
  <c r="K318" i="34"/>
  <c r="J318" i="34"/>
  <c r="I318" i="34"/>
  <c r="H318" i="34"/>
  <c r="G318" i="34"/>
  <c r="R312" i="34"/>
  <c r="Q312" i="34"/>
  <c r="P312" i="34"/>
  <c r="O312" i="34"/>
  <c r="N312" i="34"/>
  <c r="M312" i="34"/>
  <c r="L312" i="34"/>
  <c r="K312" i="34"/>
  <c r="J312" i="34"/>
  <c r="I312" i="34"/>
  <c r="H312" i="34"/>
  <c r="G312" i="34"/>
  <c r="R295" i="34"/>
  <c r="Q295" i="34"/>
  <c r="P295" i="34"/>
  <c r="O295" i="34"/>
  <c r="N295" i="34"/>
  <c r="M295" i="34"/>
  <c r="L295" i="34"/>
  <c r="K295" i="34"/>
  <c r="J295" i="34"/>
  <c r="I295" i="34"/>
  <c r="H295" i="34"/>
  <c r="G295" i="34"/>
  <c r="R264" i="34"/>
  <c r="Q264" i="34"/>
  <c r="P264" i="34"/>
  <c r="O264" i="34"/>
  <c r="N264" i="34"/>
  <c r="M264" i="34"/>
  <c r="L264" i="34"/>
  <c r="K264" i="34"/>
  <c r="J264" i="34"/>
  <c r="I264" i="34"/>
  <c r="H264" i="34"/>
  <c r="G264" i="34"/>
  <c r="R259" i="34"/>
  <c r="R266" i="34" s="1"/>
  <c r="Q259" i="34"/>
  <c r="P259" i="34"/>
  <c r="P266" i="34" s="1"/>
  <c r="O259" i="34"/>
  <c r="O266" i="34" s="1"/>
  <c r="N259" i="34"/>
  <c r="N266" i="34" s="1"/>
  <c r="M259" i="34"/>
  <c r="L259" i="34"/>
  <c r="L266" i="34" s="1"/>
  <c r="K259" i="34"/>
  <c r="K266" i="34" s="1"/>
  <c r="J259" i="34"/>
  <c r="J266" i="34" s="1"/>
  <c r="I259" i="34"/>
  <c r="H259" i="34"/>
  <c r="H266" i="34" s="1"/>
  <c r="G259" i="34"/>
  <c r="G266" i="34" s="1"/>
  <c r="R234" i="34"/>
  <c r="Q234" i="34"/>
  <c r="P234" i="34"/>
  <c r="O234" i="34"/>
  <c r="N234" i="34"/>
  <c r="M234" i="34"/>
  <c r="L234" i="34"/>
  <c r="K234" i="34"/>
  <c r="J234" i="34"/>
  <c r="I234" i="34"/>
  <c r="H234" i="34"/>
  <c r="G234" i="34"/>
  <c r="R213" i="34"/>
  <c r="Q213" i="34"/>
  <c r="P213" i="34"/>
  <c r="O213" i="34"/>
  <c r="N213" i="34"/>
  <c r="M213" i="34"/>
  <c r="L213" i="34"/>
  <c r="K213" i="34"/>
  <c r="J213" i="34"/>
  <c r="I213" i="34"/>
  <c r="H213" i="34"/>
  <c r="G213" i="34"/>
  <c r="R197" i="34"/>
  <c r="Q197" i="34"/>
  <c r="P197" i="34"/>
  <c r="O197" i="34"/>
  <c r="N197" i="34"/>
  <c r="M197" i="34"/>
  <c r="L197" i="34"/>
  <c r="K197" i="34"/>
  <c r="J197" i="34"/>
  <c r="I197" i="34"/>
  <c r="H197" i="34"/>
  <c r="G197" i="34"/>
  <c r="R194" i="34"/>
  <c r="Q194" i="34"/>
  <c r="P194" i="34"/>
  <c r="O194" i="34"/>
  <c r="N194" i="34"/>
  <c r="M194" i="34"/>
  <c r="L194" i="34"/>
  <c r="K194" i="34"/>
  <c r="J194" i="34"/>
  <c r="I194" i="34"/>
  <c r="H194" i="34"/>
  <c r="G194" i="34"/>
  <c r="R182" i="34"/>
  <c r="Q182" i="34"/>
  <c r="P182" i="34"/>
  <c r="O182" i="34"/>
  <c r="N182" i="34"/>
  <c r="M182" i="34"/>
  <c r="L182" i="34"/>
  <c r="K182" i="34"/>
  <c r="J182" i="34"/>
  <c r="I182" i="34"/>
  <c r="H182" i="34"/>
  <c r="G182" i="34"/>
  <c r="R173" i="34"/>
  <c r="Q173" i="34"/>
  <c r="P173" i="34"/>
  <c r="O173" i="34"/>
  <c r="N173" i="34"/>
  <c r="M173" i="34"/>
  <c r="L173" i="34"/>
  <c r="K173" i="34"/>
  <c r="J173" i="34"/>
  <c r="I173" i="34"/>
  <c r="H173" i="34"/>
  <c r="G173" i="34"/>
  <c r="R164" i="34"/>
  <c r="Q164" i="34"/>
  <c r="P164" i="34"/>
  <c r="O164" i="34"/>
  <c r="N164" i="34"/>
  <c r="M164" i="34"/>
  <c r="L164" i="34"/>
  <c r="K164" i="34"/>
  <c r="J164" i="34"/>
  <c r="I164" i="34"/>
  <c r="H164" i="34"/>
  <c r="G164" i="34"/>
  <c r="R159" i="34"/>
  <c r="Q159" i="34"/>
  <c r="P159" i="34"/>
  <c r="O159" i="34"/>
  <c r="N159" i="34"/>
  <c r="M159" i="34"/>
  <c r="L159" i="34"/>
  <c r="K159" i="34"/>
  <c r="J159" i="34"/>
  <c r="I159" i="34"/>
  <c r="H159" i="34"/>
  <c r="G159" i="34"/>
  <c r="R153" i="34"/>
  <c r="Q153" i="34"/>
  <c r="P153" i="34"/>
  <c r="O153" i="34"/>
  <c r="N153" i="34"/>
  <c r="M153" i="34"/>
  <c r="L153" i="34"/>
  <c r="K153" i="34"/>
  <c r="J153" i="34"/>
  <c r="I153" i="34"/>
  <c r="H153" i="34"/>
  <c r="G153" i="34"/>
  <c r="R147" i="34"/>
  <c r="Q147" i="34"/>
  <c r="P147" i="34"/>
  <c r="O147" i="34"/>
  <c r="N147" i="34"/>
  <c r="M147" i="34"/>
  <c r="L147" i="34"/>
  <c r="K147" i="34"/>
  <c r="J147" i="34"/>
  <c r="I147" i="34"/>
  <c r="H147" i="34"/>
  <c r="G147" i="34"/>
  <c r="R132" i="34"/>
  <c r="Q132" i="34"/>
  <c r="P132" i="34"/>
  <c r="O132" i="34"/>
  <c r="N132" i="34"/>
  <c r="M132" i="34"/>
  <c r="L132" i="34"/>
  <c r="K132" i="34"/>
  <c r="J132" i="34"/>
  <c r="I132" i="34"/>
  <c r="H132" i="34"/>
  <c r="G132" i="34"/>
  <c r="R124" i="34"/>
  <c r="Q124" i="34"/>
  <c r="P124" i="34"/>
  <c r="O124" i="34"/>
  <c r="N124" i="34"/>
  <c r="M124" i="34"/>
  <c r="L124" i="34"/>
  <c r="K124" i="34"/>
  <c r="J124" i="34"/>
  <c r="I124" i="34"/>
  <c r="H124" i="34"/>
  <c r="G124" i="34"/>
  <c r="R104" i="34"/>
  <c r="Q104" i="34"/>
  <c r="P104" i="34"/>
  <c r="O104" i="34"/>
  <c r="N104" i="34"/>
  <c r="M104" i="34"/>
  <c r="L104" i="34"/>
  <c r="K104" i="34"/>
  <c r="J104" i="34"/>
  <c r="I104" i="34"/>
  <c r="H104" i="34"/>
  <c r="G104" i="34"/>
  <c r="R100" i="34"/>
  <c r="Q100" i="34"/>
  <c r="P100" i="34"/>
  <c r="O100" i="34"/>
  <c r="N100" i="34"/>
  <c r="M100" i="34"/>
  <c r="L100" i="34"/>
  <c r="K100" i="34"/>
  <c r="J100" i="34"/>
  <c r="I100" i="34"/>
  <c r="H100" i="34"/>
  <c r="G100" i="34"/>
  <c r="R90" i="34"/>
  <c r="Q90" i="34"/>
  <c r="P90" i="34"/>
  <c r="O90" i="34"/>
  <c r="N90" i="34"/>
  <c r="M90" i="34"/>
  <c r="L90" i="34"/>
  <c r="K90" i="34"/>
  <c r="J90" i="34"/>
  <c r="I90" i="34"/>
  <c r="H90" i="34"/>
  <c r="G90" i="34"/>
  <c r="R79" i="34"/>
  <c r="Q79" i="34"/>
  <c r="P79" i="34"/>
  <c r="O79" i="34"/>
  <c r="N79" i="34"/>
  <c r="M79" i="34"/>
  <c r="L79" i="34"/>
  <c r="K79" i="34"/>
  <c r="J79" i="34"/>
  <c r="I79" i="34"/>
  <c r="H79" i="34"/>
  <c r="G79" i="34"/>
  <c r="R69" i="34"/>
  <c r="Q69" i="34"/>
  <c r="P69" i="34"/>
  <c r="O69" i="34"/>
  <c r="N69" i="34"/>
  <c r="M69" i="34"/>
  <c r="L69" i="34"/>
  <c r="K69" i="34"/>
  <c r="J69" i="34"/>
  <c r="I69" i="34"/>
  <c r="H69" i="34"/>
  <c r="G69" i="34"/>
  <c r="R54" i="34"/>
  <c r="Q54" i="34"/>
  <c r="Q73" i="34" s="1"/>
  <c r="P54" i="34"/>
  <c r="O54" i="34"/>
  <c r="N54" i="34"/>
  <c r="M54" i="34"/>
  <c r="M73" i="34" s="1"/>
  <c r="L54" i="34"/>
  <c r="K54" i="34"/>
  <c r="J54" i="34"/>
  <c r="I54" i="34"/>
  <c r="I73" i="34" s="1"/>
  <c r="H54" i="34"/>
  <c r="G54" i="34"/>
  <c r="R49" i="34"/>
  <c r="Q49" i="34"/>
  <c r="P49" i="34"/>
  <c r="O49" i="34"/>
  <c r="N49" i="34"/>
  <c r="M49" i="34"/>
  <c r="L49" i="34"/>
  <c r="K49" i="34"/>
  <c r="J49" i="34"/>
  <c r="I49" i="34"/>
  <c r="H49" i="34"/>
  <c r="G49" i="34"/>
  <c r="R45" i="34"/>
  <c r="Q45" i="34"/>
  <c r="P45" i="34"/>
  <c r="O45" i="34"/>
  <c r="N45" i="34"/>
  <c r="M45" i="34"/>
  <c r="L45" i="34"/>
  <c r="K45" i="34"/>
  <c r="J45" i="34"/>
  <c r="I45" i="34"/>
  <c r="H45" i="34"/>
  <c r="G45" i="34"/>
  <c r="R39" i="34"/>
  <c r="Q39" i="34"/>
  <c r="P39" i="34"/>
  <c r="O39" i="34"/>
  <c r="N39" i="34"/>
  <c r="M39" i="34"/>
  <c r="L39" i="34"/>
  <c r="K39" i="34"/>
  <c r="J39" i="34"/>
  <c r="I39" i="34"/>
  <c r="H39" i="34"/>
  <c r="G39" i="34"/>
  <c r="R25" i="34"/>
  <c r="Q25" i="34"/>
  <c r="P25" i="34"/>
  <c r="O25" i="34"/>
  <c r="N25" i="34"/>
  <c r="M25" i="34"/>
  <c r="L25" i="34"/>
  <c r="K25" i="34"/>
  <c r="J25" i="34"/>
  <c r="I25" i="34"/>
  <c r="H25" i="34"/>
  <c r="G25" i="34"/>
  <c r="R21" i="34"/>
  <c r="Q21" i="34"/>
  <c r="P21" i="34"/>
  <c r="P27" i="34" s="1"/>
  <c r="O21" i="34"/>
  <c r="N21" i="34"/>
  <c r="M21" i="34"/>
  <c r="L21" i="34"/>
  <c r="L27" i="34" s="1"/>
  <c r="K21" i="34"/>
  <c r="J21" i="34"/>
  <c r="I21" i="34"/>
  <c r="H21" i="34"/>
  <c r="H27" i="34" s="1"/>
  <c r="G21" i="34"/>
  <c r="R15" i="34"/>
  <c r="Q15" i="34"/>
  <c r="P15" i="34"/>
  <c r="P29" i="34" s="1"/>
  <c r="O15" i="34"/>
  <c r="N15" i="34"/>
  <c r="M15" i="34"/>
  <c r="L15" i="34"/>
  <c r="L29" i="34" s="1"/>
  <c r="K15" i="34"/>
  <c r="J15" i="34"/>
  <c r="I15" i="34"/>
  <c r="H15" i="34"/>
  <c r="H29" i="34" s="1"/>
  <c r="G15" i="34"/>
  <c r="F340" i="34"/>
  <c r="F330" i="34"/>
  <c r="F318" i="34"/>
  <c r="F312" i="34"/>
  <c r="F295" i="34"/>
  <c r="F264" i="34"/>
  <c r="F259" i="34"/>
  <c r="F234" i="34"/>
  <c r="F213" i="34"/>
  <c r="F197" i="34"/>
  <c r="F194" i="34"/>
  <c r="F182" i="34"/>
  <c r="F173" i="34"/>
  <c r="F164" i="34"/>
  <c r="F159" i="34"/>
  <c r="F153" i="34"/>
  <c r="F147" i="34"/>
  <c r="F132" i="34"/>
  <c r="F124" i="34"/>
  <c r="F104" i="34"/>
  <c r="F100" i="34"/>
  <c r="F90" i="34"/>
  <c r="F79" i="34"/>
  <c r="F69" i="34"/>
  <c r="F54" i="34"/>
  <c r="F49" i="34"/>
  <c r="F45" i="34"/>
  <c r="F39" i="34"/>
  <c r="F33" i="34"/>
  <c r="S33" i="34" s="1"/>
  <c r="F25" i="34"/>
  <c r="F21" i="34"/>
  <c r="F15" i="34"/>
  <c r="S341" i="34"/>
  <c r="S339" i="34"/>
  <c r="S338" i="34"/>
  <c r="S337" i="34"/>
  <c r="S336" i="34"/>
  <c r="S335" i="34"/>
  <c r="S334" i="34"/>
  <c r="S333" i="34"/>
  <c r="S332" i="34"/>
  <c r="S331" i="34"/>
  <c r="S329" i="34"/>
  <c r="S328" i="34"/>
  <c r="S327" i="34"/>
  <c r="S326" i="34"/>
  <c r="S325" i="34"/>
  <c r="S324" i="34"/>
  <c r="S323" i="34"/>
  <c r="S322" i="34"/>
  <c r="S321" i="34"/>
  <c r="S320" i="34"/>
  <c r="S319" i="34"/>
  <c r="S317" i="34"/>
  <c r="S316" i="34"/>
  <c r="S315" i="34"/>
  <c r="S314" i="34"/>
  <c r="S313" i="34"/>
  <c r="S311" i="34"/>
  <c r="S310" i="34"/>
  <c r="S309" i="34"/>
  <c r="S308" i="34"/>
  <c r="S307" i="34"/>
  <c r="S306" i="34"/>
  <c r="S305" i="34"/>
  <c r="S304" i="34"/>
  <c r="S303" i="34"/>
  <c r="S302" i="34"/>
  <c r="S301" i="34"/>
  <c r="S300" i="34"/>
  <c r="S299" i="34"/>
  <c r="S298" i="34"/>
  <c r="S297" i="34"/>
  <c r="S296" i="34"/>
  <c r="S294" i="34"/>
  <c r="S293" i="34"/>
  <c r="S292" i="34"/>
  <c r="S291" i="34"/>
  <c r="S290" i="34"/>
  <c r="S289" i="34"/>
  <c r="S288" i="34"/>
  <c r="S287" i="34"/>
  <c r="S286" i="34"/>
  <c r="S285" i="34"/>
  <c r="S284" i="34"/>
  <c r="S283" i="34"/>
  <c r="S282" i="34"/>
  <c r="S281" i="34"/>
  <c r="S280" i="34"/>
  <c r="S279" i="34"/>
  <c r="S278" i="34"/>
  <c r="S277" i="34"/>
  <c r="S276" i="34"/>
  <c r="S275" i="34"/>
  <c r="S274" i="34"/>
  <c r="S273" i="34"/>
  <c r="S272" i="34"/>
  <c r="S271" i="34"/>
  <c r="S270" i="34"/>
  <c r="S269" i="34"/>
  <c r="S268" i="34"/>
  <c r="S267" i="34"/>
  <c r="S265" i="34"/>
  <c r="S263" i="34"/>
  <c r="S262" i="34"/>
  <c r="S261" i="34"/>
  <c r="S260" i="34"/>
  <c r="S258" i="34"/>
  <c r="S257" i="34"/>
  <c r="S256" i="34"/>
  <c r="S255" i="34"/>
  <c r="S254" i="34"/>
  <c r="S253" i="34"/>
  <c r="S252" i="34"/>
  <c r="S251" i="34"/>
  <c r="S250" i="34"/>
  <c r="S249" i="34"/>
  <c r="S248" i="34"/>
  <c r="S247" i="34"/>
  <c r="S246" i="34"/>
  <c r="S245" i="34"/>
  <c r="S244" i="34"/>
  <c r="S243" i="34"/>
  <c r="S242" i="34"/>
  <c r="S241" i="34"/>
  <c r="S240" i="34"/>
  <c r="S239" i="34"/>
  <c r="S238" i="34"/>
  <c r="S237" i="34"/>
  <c r="S236" i="34"/>
  <c r="S235" i="34"/>
  <c r="S233" i="34"/>
  <c r="S232" i="34"/>
  <c r="S231" i="34"/>
  <c r="S230" i="34"/>
  <c r="S229" i="34"/>
  <c r="S228" i="34"/>
  <c r="S227" i="34"/>
  <c r="S226" i="34"/>
  <c r="S225" i="34"/>
  <c r="S224" i="34"/>
  <c r="S223" i="34"/>
  <c r="S222" i="34"/>
  <c r="S221" i="34"/>
  <c r="S220" i="34"/>
  <c r="S219" i="34"/>
  <c r="S218" i="34"/>
  <c r="S217" i="34"/>
  <c r="S216" i="34"/>
  <c r="S215" i="34"/>
  <c r="S214" i="34"/>
  <c r="S212" i="34"/>
  <c r="S211" i="34"/>
  <c r="S210" i="34"/>
  <c r="S209" i="34"/>
  <c r="S208" i="34"/>
  <c r="S207" i="34"/>
  <c r="S206" i="34"/>
  <c r="S205" i="34"/>
  <c r="S204" i="34"/>
  <c r="S203" i="34"/>
  <c r="S202" i="34"/>
  <c r="S201" i="34"/>
  <c r="S200" i="34"/>
  <c r="S198" i="34"/>
  <c r="S196" i="34"/>
  <c r="S197" i="34" s="1"/>
  <c r="S195" i="34"/>
  <c r="S193" i="34"/>
  <c r="S192" i="34"/>
  <c r="S191" i="34"/>
  <c r="S190" i="34"/>
  <c r="S189" i="34"/>
  <c r="S188" i="34"/>
  <c r="S187" i="34"/>
  <c r="S186" i="34"/>
  <c r="S185" i="34"/>
  <c r="S184" i="34"/>
  <c r="S183" i="34"/>
  <c r="S181" i="34"/>
  <c r="S180" i="34"/>
  <c r="S179" i="34"/>
  <c r="S178" i="34"/>
  <c r="S177" i="34"/>
  <c r="S176" i="34"/>
  <c r="S175" i="34"/>
  <c r="S174" i="34"/>
  <c r="S172" i="34"/>
  <c r="S171" i="34"/>
  <c r="S170" i="34"/>
  <c r="S169" i="34"/>
  <c r="S168" i="34"/>
  <c r="S167" i="34"/>
  <c r="S166" i="34"/>
  <c r="S165" i="34"/>
  <c r="S163" i="34"/>
  <c r="S162" i="34"/>
  <c r="S161" i="34"/>
  <c r="S160" i="34"/>
  <c r="S158" i="34"/>
  <c r="S157" i="34"/>
  <c r="S159" i="34" s="1"/>
  <c r="S156" i="34"/>
  <c r="S155" i="34"/>
  <c r="S154" i="34"/>
  <c r="S152" i="34"/>
  <c r="S151" i="34"/>
  <c r="S150" i="34"/>
  <c r="S149" i="34"/>
  <c r="S148" i="34"/>
  <c r="S146" i="34"/>
  <c r="S145" i="34"/>
  <c r="S144" i="34"/>
  <c r="S143" i="34"/>
  <c r="S142" i="34"/>
  <c r="S141" i="34"/>
  <c r="S140" i="34"/>
  <c r="S139" i="34"/>
  <c r="S138" i="34"/>
  <c r="S137" i="34"/>
  <c r="S136" i="34"/>
  <c r="S135" i="34"/>
  <c r="S134" i="34"/>
  <c r="S133" i="34"/>
  <c r="S131" i="34"/>
  <c r="S130" i="34"/>
  <c r="S129" i="34"/>
  <c r="S128" i="34"/>
  <c r="S127" i="34"/>
  <c r="S126" i="34"/>
  <c r="S125" i="34"/>
  <c r="S123" i="34"/>
  <c r="S122" i="34"/>
  <c r="S121" i="34"/>
  <c r="S120" i="34"/>
  <c r="S119" i="34"/>
  <c r="S118" i="34"/>
  <c r="S117" i="34"/>
  <c r="S116" i="34"/>
  <c r="S115" i="34"/>
  <c r="S114" i="34"/>
  <c r="S113" i="34"/>
  <c r="S112" i="34"/>
  <c r="S111" i="34"/>
  <c r="S110" i="34"/>
  <c r="S109" i="34"/>
  <c r="S108" i="34"/>
  <c r="S107" i="34"/>
  <c r="S106" i="34"/>
  <c r="S105" i="34"/>
  <c r="S103" i="34"/>
  <c r="S102" i="34"/>
  <c r="S101" i="34"/>
  <c r="S99" i="34"/>
  <c r="S98" i="34"/>
  <c r="S97" i="34"/>
  <c r="S96" i="34"/>
  <c r="S95" i="34"/>
  <c r="S94" i="34"/>
  <c r="S93" i="34"/>
  <c r="S92" i="34"/>
  <c r="S91" i="34"/>
  <c r="S89" i="34"/>
  <c r="S88" i="34"/>
  <c r="S87" i="34"/>
  <c r="S86" i="34"/>
  <c r="S85" i="34"/>
  <c r="S84" i="34"/>
  <c r="S83" i="34"/>
  <c r="S82" i="34"/>
  <c r="S78" i="34"/>
  <c r="S77" i="34"/>
  <c r="S76" i="34"/>
  <c r="S75" i="34"/>
  <c r="S74" i="34"/>
  <c r="S72" i="34"/>
  <c r="S71" i="34"/>
  <c r="S70" i="34"/>
  <c r="S68" i="34"/>
  <c r="S67" i="34"/>
  <c r="S66" i="34"/>
  <c r="S65" i="34"/>
  <c r="S64" i="34"/>
  <c r="S63" i="34"/>
  <c r="S62" i="34"/>
  <c r="S61" i="34"/>
  <c r="S60" i="34"/>
  <c r="S59" i="34"/>
  <c r="S58" i="34"/>
  <c r="S57" i="34"/>
  <c r="S56" i="34"/>
  <c r="S55" i="34"/>
  <c r="S53" i="34"/>
  <c r="S52" i="34"/>
  <c r="S51" i="34"/>
  <c r="S50" i="34"/>
  <c r="S48" i="34"/>
  <c r="S47" i="34"/>
  <c r="S49" i="34" s="1"/>
  <c r="S46" i="34"/>
  <c r="S44" i="34"/>
  <c r="S43" i="34"/>
  <c r="S42" i="34"/>
  <c r="S41" i="34"/>
  <c r="S40" i="34"/>
  <c r="S38" i="34"/>
  <c r="S37" i="34"/>
  <c r="S36" i="34"/>
  <c r="S35" i="34"/>
  <c r="S34" i="34"/>
  <c r="S32" i="34"/>
  <c r="S31" i="34"/>
  <c r="S30" i="34"/>
  <c r="S28" i="34"/>
  <c r="S26" i="34"/>
  <c r="S24" i="34"/>
  <c r="S23" i="34"/>
  <c r="S22" i="34"/>
  <c r="S20" i="34"/>
  <c r="S19" i="34"/>
  <c r="S18" i="34"/>
  <c r="S17" i="34"/>
  <c r="S16" i="34"/>
  <c r="S14" i="34"/>
  <c r="S13" i="34"/>
  <c r="S12" i="34"/>
  <c r="S11" i="34"/>
  <c r="F147" i="58" l="1"/>
  <c r="N147" i="58"/>
  <c r="AF147" i="58" s="1"/>
  <c r="D13" i="32" s="1"/>
  <c r="V147" i="58"/>
  <c r="AD147" i="58"/>
  <c r="J153" i="58"/>
  <c r="R153" i="58"/>
  <c r="AF153" i="58" s="1"/>
  <c r="D14" i="32" s="1"/>
  <c r="Z153" i="58"/>
  <c r="L147" i="58"/>
  <c r="T147" i="58"/>
  <c r="AB147" i="58"/>
  <c r="AF89" i="58"/>
  <c r="AE130" i="58"/>
  <c r="AE135" i="58"/>
  <c r="K137" i="58"/>
  <c r="S137" i="58"/>
  <c r="AA137" i="58"/>
  <c r="AE46" i="58"/>
  <c r="AF130" i="58"/>
  <c r="AF135" i="58"/>
  <c r="H137" i="58"/>
  <c r="L137" i="58"/>
  <c r="P137" i="58"/>
  <c r="T137" i="58"/>
  <c r="X137" i="58"/>
  <c r="AB137" i="58"/>
  <c r="G137" i="58"/>
  <c r="O137" i="58"/>
  <c r="W137" i="58"/>
  <c r="AF46" i="58"/>
  <c r="AE89" i="58"/>
  <c r="AE137" i="58" s="1"/>
  <c r="E137" i="58"/>
  <c r="I137" i="58"/>
  <c r="M137" i="58"/>
  <c r="Q137" i="58"/>
  <c r="U137" i="58"/>
  <c r="Y137" i="58"/>
  <c r="AC137" i="58"/>
  <c r="F137" i="58"/>
  <c r="J137" i="58"/>
  <c r="N137" i="58"/>
  <c r="R137" i="58"/>
  <c r="V137" i="58"/>
  <c r="Z137" i="58"/>
  <c r="AD137" i="58"/>
  <c r="AW49" i="59"/>
  <c r="AY30" i="59"/>
  <c r="AW23" i="59"/>
  <c r="AX30" i="59"/>
  <c r="D17" i="32" s="1"/>
  <c r="AW30" i="59"/>
  <c r="AW44" i="59" s="1"/>
  <c r="AX23" i="59"/>
  <c r="D16" i="32" s="1"/>
  <c r="AY23" i="59"/>
  <c r="S164" i="34"/>
  <c r="R27" i="34"/>
  <c r="S79" i="34"/>
  <c r="G73" i="34"/>
  <c r="G81" i="34" s="1"/>
  <c r="K73" i="34"/>
  <c r="S25" i="34"/>
  <c r="S182" i="34"/>
  <c r="S312" i="34"/>
  <c r="J27" i="34"/>
  <c r="N27" i="34"/>
  <c r="N29" i="34" s="1"/>
  <c r="F266" i="34"/>
  <c r="F342" i="34" s="1"/>
  <c r="J29" i="34"/>
  <c r="N73" i="34"/>
  <c r="S15" i="34"/>
  <c r="S124" i="34"/>
  <c r="S173" i="34"/>
  <c r="S234" i="34"/>
  <c r="S295" i="34"/>
  <c r="S330" i="34"/>
  <c r="K27" i="34"/>
  <c r="K29" i="34" s="1"/>
  <c r="M266" i="34"/>
  <c r="M342" i="34" s="1"/>
  <c r="N342" i="34"/>
  <c r="S21" i="34"/>
  <c r="S153" i="34"/>
  <c r="H73" i="34"/>
  <c r="H81" i="34" s="1"/>
  <c r="L73" i="34"/>
  <c r="L81" i="34" s="1"/>
  <c r="L199" i="34" s="1"/>
  <c r="P73" i="34"/>
  <c r="P81" i="34" s="1"/>
  <c r="P199" i="34" s="1"/>
  <c r="G342" i="34"/>
  <c r="K342" i="34"/>
  <c r="O342" i="34"/>
  <c r="S69" i="34"/>
  <c r="R29" i="34"/>
  <c r="J73" i="34"/>
  <c r="R73" i="34"/>
  <c r="S45" i="34"/>
  <c r="S54" i="34"/>
  <c r="S73" i="34" s="1"/>
  <c r="S132" i="34"/>
  <c r="S147" i="34"/>
  <c r="S194" i="34"/>
  <c r="S318" i="34"/>
  <c r="S340" i="34"/>
  <c r="F73" i="34"/>
  <c r="F81" i="34" s="1"/>
  <c r="O29" i="34"/>
  <c r="G27" i="34"/>
  <c r="G29" i="34" s="1"/>
  <c r="O27" i="34"/>
  <c r="I266" i="34"/>
  <c r="I342" i="34" s="1"/>
  <c r="Q266" i="34"/>
  <c r="Q342" i="34" s="1"/>
  <c r="J342" i="34"/>
  <c r="R342" i="34"/>
  <c r="S90" i="34"/>
  <c r="S100" i="34"/>
  <c r="S39" i="34"/>
  <c r="S104" i="34"/>
  <c r="S213" i="34"/>
  <c r="S259" i="34"/>
  <c r="S264" i="34"/>
  <c r="F27" i="34"/>
  <c r="F29" i="34" s="1"/>
  <c r="I27" i="34"/>
  <c r="I29" i="34" s="1"/>
  <c r="M27" i="34"/>
  <c r="M29" i="34" s="1"/>
  <c r="Q27" i="34"/>
  <c r="Q29" i="34" s="1"/>
  <c r="H342" i="34"/>
  <c r="L342" i="34"/>
  <c r="P342" i="34"/>
  <c r="H199" i="34"/>
  <c r="I81" i="34"/>
  <c r="I199" i="34" s="1"/>
  <c r="M81" i="34"/>
  <c r="K81" i="34"/>
  <c r="O73" i="34"/>
  <c r="O81" i="34" s="1"/>
  <c r="O199" i="34" s="1"/>
  <c r="J81" i="34"/>
  <c r="J199" i="34" s="1"/>
  <c r="N81" i="34"/>
  <c r="R81" i="34"/>
  <c r="Q81" i="34"/>
  <c r="O11" i="41"/>
  <c r="O12" i="41"/>
  <c r="O13" i="41"/>
  <c r="O14" i="41"/>
  <c r="O15" i="41"/>
  <c r="O10" i="41"/>
  <c r="AF137" i="58" l="1"/>
  <c r="S266" i="34"/>
  <c r="S342" i="34" s="1"/>
  <c r="F199" i="34"/>
  <c r="K199" i="34"/>
  <c r="M199" i="34"/>
  <c r="S81" i="34"/>
  <c r="R199" i="34"/>
  <c r="N199" i="34"/>
  <c r="G199" i="34"/>
  <c r="S27" i="34"/>
  <c r="S29" i="34" s="1"/>
  <c r="S199" i="34" s="1"/>
  <c r="Q199" i="34"/>
  <c r="D10" i="38" l="1"/>
  <c r="X217" i="49" l="1"/>
  <c r="X160" i="49" l="1"/>
  <c r="P217" i="49"/>
  <c r="P214" i="49" l="1"/>
  <c r="G22" i="5" l="1"/>
  <c r="G21" i="5"/>
  <c r="L29" i="36"/>
  <c r="M29" i="36" s="1"/>
  <c r="I17" i="4" s="1"/>
  <c r="X228" i="49" l="1"/>
  <c r="X227" i="49"/>
  <c r="Z223" i="49"/>
  <c r="Z221" i="49"/>
  <c r="R204" i="49"/>
  <c r="O204" i="49"/>
  <c r="N204" i="49"/>
  <c r="M204" i="49"/>
  <c r="L204" i="49"/>
  <c r="K204" i="49"/>
  <c r="J204" i="49"/>
  <c r="I204" i="49"/>
  <c r="H204" i="49"/>
  <c r="G204" i="49"/>
  <c r="F204" i="49"/>
  <c r="E204" i="49"/>
  <c r="D204" i="49"/>
  <c r="V203" i="49"/>
  <c r="U203" i="49"/>
  <c r="T203" i="49"/>
  <c r="X203" i="49" s="1"/>
  <c r="V202" i="49"/>
  <c r="U202" i="49"/>
  <c r="W202" i="49" s="1"/>
  <c r="V201" i="49"/>
  <c r="U201" i="49"/>
  <c r="W201" i="49" s="1"/>
  <c r="T201" i="49"/>
  <c r="X201" i="49" s="1"/>
  <c r="V200" i="49"/>
  <c r="U200" i="49"/>
  <c r="T200" i="49"/>
  <c r="V199" i="49"/>
  <c r="U199" i="49"/>
  <c r="T199" i="49"/>
  <c r="X199" i="49" s="1"/>
  <c r="V198" i="49"/>
  <c r="U198" i="49"/>
  <c r="W198" i="49" s="1"/>
  <c r="T198" i="49"/>
  <c r="X198" i="49" s="1"/>
  <c r="V197" i="49"/>
  <c r="U197" i="49"/>
  <c r="W197" i="49" s="1"/>
  <c r="V196" i="49"/>
  <c r="U196" i="49"/>
  <c r="V195" i="49"/>
  <c r="U195" i="49"/>
  <c r="W195" i="49" s="1"/>
  <c r="T195" i="49"/>
  <c r="V194" i="49"/>
  <c r="U194" i="49"/>
  <c r="W194" i="49" s="1"/>
  <c r="T194" i="49"/>
  <c r="V193" i="49"/>
  <c r="U193" i="49"/>
  <c r="W193" i="49" s="1"/>
  <c r="T193" i="49"/>
  <c r="V192" i="49"/>
  <c r="U192" i="49"/>
  <c r="T192" i="49"/>
  <c r="V191" i="49"/>
  <c r="U191" i="49"/>
  <c r="W191" i="49" s="1"/>
  <c r="T191" i="49"/>
  <c r="V190" i="49"/>
  <c r="U190" i="49"/>
  <c r="W190" i="49" s="1"/>
  <c r="T190" i="49"/>
  <c r="V189" i="49"/>
  <c r="U189" i="49"/>
  <c r="T189" i="49"/>
  <c r="X189" i="49" s="1"/>
  <c r="W188" i="49"/>
  <c r="V188" i="49"/>
  <c r="U188" i="49"/>
  <c r="T188" i="49"/>
  <c r="X188" i="49" s="1"/>
  <c r="X225" i="49" s="1"/>
  <c r="Z225" i="49" s="1"/>
  <c r="W187" i="49"/>
  <c r="V187" i="49"/>
  <c r="U187" i="49"/>
  <c r="T187" i="49"/>
  <c r="V186" i="49"/>
  <c r="U186" i="49"/>
  <c r="T186" i="49"/>
  <c r="X186" i="49" s="1"/>
  <c r="V185" i="49"/>
  <c r="U185" i="49"/>
  <c r="W185" i="49" s="1"/>
  <c r="T185" i="49"/>
  <c r="X185" i="49" s="1"/>
  <c r="X223" i="49" s="1"/>
  <c r="V184" i="49"/>
  <c r="U184" i="49"/>
  <c r="W184" i="49" s="1"/>
  <c r="T184" i="49"/>
  <c r="V183" i="49"/>
  <c r="U183" i="49"/>
  <c r="W183" i="49" s="1"/>
  <c r="T183" i="49"/>
  <c r="V182" i="49"/>
  <c r="U182" i="49"/>
  <c r="V181" i="49"/>
  <c r="U181" i="49"/>
  <c r="W181" i="49" s="1"/>
  <c r="W180" i="49"/>
  <c r="V180" i="49"/>
  <c r="U180" i="49"/>
  <c r="T180" i="49"/>
  <c r="W179" i="49"/>
  <c r="V179" i="49"/>
  <c r="U179" i="49"/>
  <c r="T179" i="49"/>
  <c r="W178" i="49"/>
  <c r="V178" i="49"/>
  <c r="U178" i="49"/>
  <c r="T178" i="49"/>
  <c r="W177" i="49"/>
  <c r="V177" i="49"/>
  <c r="U177" i="49"/>
  <c r="T177" i="49"/>
  <c r="W176" i="49"/>
  <c r="V176" i="49"/>
  <c r="U176" i="49"/>
  <c r="T176" i="49"/>
  <c r="W175" i="49"/>
  <c r="V175" i="49"/>
  <c r="U175" i="49"/>
  <c r="T175" i="49"/>
  <c r="W174" i="49"/>
  <c r="V174" i="49"/>
  <c r="U174" i="49"/>
  <c r="V173" i="49"/>
  <c r="U173" i="49"/>
  <c r="V172" i="49"/>
  <c r="U172" i="49"/>
  <c r="T172" i="49"/>
  <c r="V171" i="49"/>
  <c r="U171" i="49"/>
  <c r="T171" i="49"/>
  <c r="R167" i="49"/>
  <c r="O167" i="49"/>
  <c r="N167" i="49"/>
  <c r="M167" i="49"/>
  <c r="L167" i="49"/>
  <c r="K167" i="49"/>
  <c r="J167" i="49"/>
  <c r="I167" i="49"/>
  <c r="H167" i="49"/>
  <c r="G167" i="49"/>
  <c r="F167" i="49"/>
  <c r="E167" i="49"/>
  <c r="D167" i="49"/>
  <c r="V166" i="49"/>
  <c r="U166" i="49"/>
  <c r="T166" i="49"/>
  <c r="V165" i="49"/>
  <c r="U165" i="49"/>
  <c r="W165" i="49" s="1"/>
  <c r="T165" i="49"/>
  <c r="V164" i="49"/>
  <c r="U164" i="49"/>
  <c r="V163" i="49"/>
  <c r="U163" i="49"/>
  <c r="T163" i="49"/>
  <c r="V162" i="49"/>
  <c r="U162" i="49"/>
  <c r="W162" i="49" s="1"/>
  <c r="T162" i="49"/>
  <c r="V161" i="49"/>
  <c r="U161" i="49"/>
  <c r="W161" i="49" s="1"/>
  <c r="T161" i="49"/>
  <c r="V160" i="49"/>
  <c r="U160" i="49"/>
  <c r="W160" i="49" s="1"/>
  <c r="T160" i="49"/>
  <c r="V159" i="49"/>
  <c r="U159" i="49"/>
  <c r="T159" i="49"/>
  <c r="V158" i="49"/>
  <c r="U158" i="49"/>
  <c r="W158" i="49" s="1"/>
  <c r="T158" i="49"/>
  <c r="V157" i="49"/>
  <c r="U157" i="49"/>
  <c r="W157" i="49" s="1"/>
  <c r="T157" i="49"/>
  <c r="V156" i="49"/>
  <c r="U156" i="49"/>
  <c r="W156" i="49" s="1"/>
  <c r="T156" i="49"/>
  <c r="V155" i="49"/>
  <c r="U155" i="49"/>
  <c r="V154" i="49"/>
  <c r="U154" i="49"/>
  <c r="W154" i="49" s="1"/>
  <c r="T154" i="49"/>
  <c r="V153" i="49"/>
  <c r="U153" i="49"/>
  <c r="W153" i="49" s="1"/>
  <c r="T153" i="49"/>
  <c r="V152" i="49"/>
  <c r="U152" i="49"/>
  <c r="W152" i="49" s="1"/>
  <c r="T152" i="49"/>
  <c r="V151" i="49"/>
  <c r="U151" i="49"/>
  <c r="W151" i="49" s="1"/>
  <c r="T151" i="49"/>
  <c r="V150" i="49"/>
  <c r="U150" i="49"/>
  <c r="W150" i="49" s="1"/>
  <c r="T150" i="49"/>
  <c r="V149" i="49"/>
  <c r="U149" i="49"/>
  <c r="W149" i="49" s="1"/>
  <c r="T149" i="49"/>
  <c r="X149" i="49" s="1"/>
  <c r="V148" i="49"/>
  <c r="U148" i="49"/>
  <c r="W148" i="49" s="1"/>
  <c r="T148" i="49"/>
  <c r="V147" i="49"/>
  <c r="U147" i="49"/>
  <c r="T147" i="49"/>
  <c r="V146" i="49"/>
  <c r="U146" i="49"/>
  <c r="W146" i="49" s="1"/>
  <c r="T146" i="49"/>
  <c r="V145" i="49"/>
  <c r="U145" i="49"/>
  <c r="W145" i="49" s="1"/>
  <c r="T145" i="49"/>
  <c r="X145" i="49" s="1"/>
  <c r="V144" i="49"/>
  <c r="U144" i="49"/>
  <c r="T144" i="49"/>
  <c r="X144" i="49" s="1"/>
  <c r="W143" i="49"/>
  <c r="V143" i="49"/>
  <c r="U143" i="49"/>
  <c r="T143" i="49"/>
  <c r="X143" i="49" s="1"/>
  <c r="X142" i="49"/>
  <c r="V142" i="49"/>
  <c r="U142" i="49"/>
  <c r="W142" i="49" s="1"/>
  <c r="T142" i="49"/>
  <c r="V141" i="49"/>
  <c r="U141" i="49"/>
  <c r="T141" i="49"/>
  <c r="X141" i="49" s="1"/>
  <c r="X216" i="49" s="1"/>
  <c r="Z216" i="49" s="1"/>
  <c r="V140" i="49"/>
  <c r="U140" i="49"/>
  <c r="T140" i="49"/>
  <c r="V139" i="49"/>
  <c r="U139" i="49"/>
  <c r="W138" i="49"/>
  <c r="V138" i="49"/>
  <c r="U138" i="49"/>
  <c r="T138" i="49"/>
  <c r="X138" i="49" s="1"/>
  <c r="W137" i="49"/>
  <c r="V137" i="49"/>
  <c r="U137" i="49"/>
  <c r="T137" i="49"/>
  <c r="X137" i="49" s="1"/>
  <c r="W136" i="49"/>
  <c r="V136" i="49"/>
  <c r="U136" i="49"/>
  <c r="T136" i="49"/>
  <c r="W135" i="49"/>
  <c r="V135" i="49"/>
  <c r="U135" i="49"/>
  <c r="T135" i="49"/>
  <c r="W134" i="49"/>
  <c r="V134" i="49"/>
  <c r="U134" i="49"/>
  <c r="T134" i="49"/>
  <c r="W133" i="49"/>
  <c r="V133" i="49"/>
  <c r="U133" i="49"/>
  <c r="T133" i="49"/>
  <c r="W132" i="49"/>
  <c r="V132" i="49"/>
  <c r="U132" i="49"/>
  <c r="V131" i="49"/>
  <c r="W131" i="49" s="1"/>
  <c r="U131" i="49"/>
  <c r="V130" i="49"/>
  <c r="U130" i="49"/>
  <c r="W130" i="49" s="1"/>
  <c r="T130" i="49"/>
  <c r="V129" i="49"/>
  <c r="U129" i="49"/>
  <c r="W129" i="49" s="1"/>
  <c r="V128" i="49"/>
  <c r="U128" i="49"/>
  <c r="W128" i="49" s="1"/>
  <c r="T128" i="49"/>
  <c r="V127" i="49"/>
  <c r="U127" i="49"/>
  <c r="W127" i="49" s="1"/>
  <c r="T127" i="49"/>
  <c r="X127" i="49" s="1"/>
  <c r="V126" i="49"/>
  <c r="U126" i="49"/>
  <c r="T126" i="49"/>
  <c r="W125" i="49"/>
  <c r="V125" i="49"/>
  <c r="U125" i="49"/>
  <c r="T125" i="49"/>
  <c r="X125" i="49" s="1"/>
  <c r="W124" i="49"/>
  <c r="V124" i="49"/>
  <c r="U124" i="49"/>
  <c r="V123" i="49"/>
  <c r="U123" i="49"/>
  <c r="V122" i="49"/>
  <c r="U122" i="49"/>
  <c r="T122" i="49"/>
  <c r="X122" i="49" s="1"/>
  <c r="V121" i="49"/>
  <c r="W121" i="49" s="1"/>
  <c r="U121" i="49"/>
  <c r="V120" i="49"/>
  <c r="U120" i="49"/>
  <c r="W120" i="49" s="1"/>
  <c r="T120" i="49"/>
  <c r="X120" i="49" s="1"/>
  <c r="V119" i="49"/>
  <c r="U119" i="49"/>
  <c r="W119" i="49" s="1"/>
  <c r="T119" i="49"/>
  <c r="V118" i="49"/>
  <c r="U118" i="49"/>
  <c r="W118" i="49" s="1"/>
  <c r="T118" i="49"/>
  <c r="X118" i="49" s="1"/>
  <c r="V117" i="49"/>
  <c r="U117" i="49"/>
  <c r="W117" i="49" s="1"/>
  <c r="T117" i="49"/>
  <c r="V116" i="49"/>
  <c r="U116" i="49"/>
  <c r="W116" i="49" s="1"/>
  <c r="T116" i="49"/>
  <c r="V115" i="49"/>
  <c r="U115" i="49"/>
  <c r="W115" i="49" s="1"/>
  <c r="T115" i="49"/>
  <c r="X115" i="49" s="1"/>
  <c r="W114" i="49"/>
  <c r="V114" i="49"/>
  <c r="U114" i="49"/>
  <c r="T114" i="49"/>
  <c r="X114" i="49" s="1"/>
  <c r="W113" i="49"/>
  <c r="V113" i="49"/>
  <c r="U113" i="49"/>
  <c r="T113" i="49"/>
  <c r="X113" i="49" s="1"/>
  <c r="V112" i="49"/>
  <c r="U112" i="49"/>
  <c r="T112" i="49"/>
  <c r="X112" i="49" s="1"/>
  <c r="V111" i="49"/>
  <c r="U111" i="49"/>
  <c r="W111" i="49" s="1"/>
  <c r="T111" i="49"/>
  <c r="V110" i="49"/>
  <c r="U110" i="49"/>
  <c r="T110" i="49"/>
  <c r="X110" i="49" s="1"/>
  <c r="X220" i="49" s="1"/>
  <c r="V109" i="49"/>
  <c r="U109" i="49"/>
  <c r="W109" i="49" s="1"/>
  <c r="V108" i="49"/>
  <c r="U108" i="49"/>
  <c r="W108" i="49" s="1"/>
  <c r="T108" i="49"/>
  <c r="X108" i="49" s="1"/>
  <c r="V107" i="49"/>
  <c r="U107" i="49"/>
  <c r="V106" i="49"/>
  <c r="U106" i="49"/>
  <c r="V105" i="49"/>
  <c r="U105" i="49"/>
  <c r="W105" i="49" s="1"/>
  <c r="V104" i="49"/>
  <c r="U104" i="49"/>
  <c r="V103" i="49"/>
  <c r="U103" i="49"/>
  <c r="W103" i="49" s="1"/>
  <c r="V102" i="49"/>
  <c r="U102" i="49"/>
  <c r="W102" i="49" s="1"/>
  <c r="V101" i="49"/>
  <c r="W101" i="49" s="1"/>
  <c r="U101" i="49"/>
  <c r="V100" i="49"/>
  <c r="U100" i="49"/>
  <c r="W100" i="49" s="1"/>
  <c r="T100" i="49"/>
  <c r="X100" i="49" s="1"/>
  <c r="X99" i="49"/>
  <c r="V99" i="49"/>
  <c r="U99" i="49"/>
  <c r="W99" i="49" s="1"/>
  <c r="T99" i="49"/>
  <c r="V98" i="49"/>
  <c r="U98" i="49"/>
  <c r="W98" i="49" s="1"/>
  <c r="T98" i="49"/>
  <c r="X98" i="49" s="1"/>
  <c r="V97" i="49"/>
  <c r="U97" i="49"/>
  <c r="W97" i="49" s="1"/>
  <c r="V96" i="49"/>
  <c r="U96" i="49"/>
  <c r="W96" i="49" s="1"/>
  <c r="V95" i="49"/>
  <c r="U95" i="49"/>
  <c r="W95" i="49" s="1"/>
  <c r="T95" i="49"/>
  <c r="X95" i="49" s="1"/>
  <c r="V94" i="49"/>
  <c r="U94" i="49"/>
  <c r="T94" i="49"/>
  <c r="X94" i="49" s="1"/>
  <c r="V93" i="49"/>
  <c r="W93" i="49" s="1"/>
  <c r="U93" i="49"/>
  <c r="T93" i="49"/>
  <c r="X93" i="49" s="1"/>
  <c r="V92" i="49"/>
  <c r="W92" i="49" s="1"/>
  <c r="U92" i="49"/>
  <c r="T92" i="49"/>
  <c r="V91" i="49"/>
  <c r="W91" i="49" s="1"/>
  <c r="U91" i="49"/>
  <c r="T91" i="49"/>
  <c r="V90" i="49"/>
  <c r="W90" i="49" s="1"/>
  <c r="U90" i="49"/>
  <c r="T90" i="49"/>
  <c r="X90" i="49" s="1"/>
  <c r="V89" i="49"/>
  <c r="U89" i="49"/>
  <c r="W89" i="49" s="1"/>
  <c r="T89" i="49"/>
  <c r="V88" i="49"/>
  <c r="U88" i="49"/>
  <c r="W88" i="49" s="1"/>
  <c r="T88" i="49"/>
  <c r="V87" i="49"/>
  <c r="U87" i="49"/>
  <c r="T87" i="49"/>
  <c r="X87" i="49" s="1"/>
  <c r="V86" i="49"/>
  <c r="U86" i="49"/>
  <c r="W86" i="49" s="1"/>
  <c r="T86" i="49"/>
  <c r="X86" i="49" s="1"/>
  <c r="V85" i="49"/>
  <c r="U85" i="49"/>
  <c r="W85" i="49" s="1"/>
  <c r="V84" i="49"/>
  <c r="W84" i="49" s="1"/>
  <c r="U84" i="49"/>
  <c r="T84" i="49"/>
  <c r="X84" i="49" s="1"/>
  <c r="V83" i="49"/>
  <c r="W83" i="49" s="1"/>
  <c r="U83" i="49"/>
  <c r="T83" i="49"/>
  <c r="V82" i="49"/>
  <c r="W82" i="49" s="1"/>
  <c r="U82" i="49"/>
  <c r="T82" i="49"/>
  <c r="V81" i="49"/>
  <c r="W81" i="49" s="1"/>
  <c r="U81" i="49"/>
  <c r="V80" i="49"/>
  <c r="U80" i="49"/>
  <c r="T80" i="49"/>
  <c r="V79" i="49"/>
  <c r="U79" i="49"/>
  <c r="T79" i="49"/>
  <c r="V78" i="49"/>
  <c r="W78" i="49" s="1"/>
  <c r="U78" i="49"/>
  <c r="V77" i="49"/>
  <c r="U77" i="49"/>
  <c r="W77" i="49" s="1"/>
  <c r="V76" i="49"/>
  <c r="U76" i="49"/>
  <c r="T76" i="49"/>
  <c r="V75" i="49"/>
  <c r="U75" i="49"/>
  <c r="W75" i="49" s="1"/>
  <c r="T75" i="49"/>
  <c r="V74" i="49"/>
  <c r="U74" i="49"/>
  <c r="W74" i="49" s="1"/>
  <c r="W73" i="49"/>
  <c r="V73" i="49"/>
  <c r="U73" i="49"/>
  <c r="T73" i="49"/>
  <c r="W72" i="49"/>
  <c r="V72" i="49"/>
  <c r="U72" i="49"/>
  <c r="V71" i="49"/>
  <c r="W71" i="49" s="1"/>
  <c r="U71" i="49"/>
  <c r="T71" i="49"/>
  <c r="X71" i="49" s="1"/>
  <c r="V70" i="49"/>
  <c r="W70" i="49" s="1"/>
  <c r="U70" i="49"/>
  <c r="T70" i="49"/>
  <c r="X69" i="49"/>
  <c r="V69" i="49"/>
  <c r="U69" i="49"/>
  <c r="T69" i="49"/>
  <c r="V68" i="49"/>
  <c r="U68" i="49"/>
  <c r="W68" i="49" s="1"/>
  <c r="V67" i="49"/>
  <c r="U67" i="49"/>
  <c r="W67" i="49" s="1"/>
  <c r="T67" i="49"/>
  <c r="X67" i="49" s="1"/>
  <c r="V66" i="49"/>
  <c r="U66" i="49"/>
  <c r="W66" i="49" s="1"/>
  <c r="V65" i="49"/>
  <c r="W65" i="49" s="1"/>
  <c r="U65" i="49"/>
  <c r="V64" i="49"/>
  <c r="U64" i="49"/>
  <c r="W64" i="49" s="1"/>
  <c r="T64" i="49"/>
  <c r="X64" i="49" s="1"/>
  <c r="V63" i="49"/>
  <c r="U63" i="49"/>
  <c r="W63" i="49" s="1"/>
  <c r="V62" i="49"/>
  <c r="U62" i="49"/>
  <c r="W62" i="49" s="1"/>
  <c r="T62" i="49"/>
  <c r="X62" i="49" s="1"/>
  <c r="V61" i="49"/>
  <c r="U61" i="49"/>
  <c r="W61" i="49" s="1"/>
  <c r="T61" i="49"/>
  <c r="V60" i="49"/>
  <c r="U60" i="49"/>
  <c r="W60" i="49" s="1"/>
  <c r="T60" i="49"/>
  <c r="V59" i="49"/>
  <c r="U59" i="49"/>
  <c r="W59" i="49" s="1"/>
  <c r="T59" i="49"/>
  <c r="V58" i="49"/>
  <c r="U58" i="49"/>
  <c r="W58" i="49" s="1"/>
  <c r="V57" i="49"/>
  <c r="W57" i="49" s="1"/>
  <c r="U57" i="49"/>
  <c r="V56" i="49"/>
  <c r="U56" i="49"/>
  <c r="W56" i="49" s="1"/>
  <c r="T56" i="49"/>
  <c r="V55" i="49"/>
  <c r="U55" i="49"/>
  <c r="W55" i="49" s="1"/>
  <c r="T55" i="49"/>
  <c r="V54" i="49"/>
  <c r="U54" i="49"/>
  <c r="V53" i="49"/>
  <c r="U53" i="49"/>
  <c r="W53" i="49" s="1"/>
  <c r="T53" i="49"/>
  <c r="V52" i="49"/>
  <c r="U52" i="49"/>
  <c r="W52" i="49" s="1"/>
  <c r="T52" i="49"/>
  <c r="X52" i="49" s="1"/>
  <c r="V51" i="49"/>
  <c r="U51" i="49"/>
  <c r="T51" i="49"/>
  <c r="V50" i="49"/>
  <c r="U50" i="49"/>
  <c r="T50" i="49"/>
  <c r="X50" i="49" s="1"/>
  <c r="X219" i="49" s="1"/>
  <c r="Z219" i="49" s="1"/>
  <c r="V49" i="49"/>
  <c r="U49" i="49"/>
  <c r="T49" i="49"/>
  <c r="P215" i="49" s="1"/>
  <c r="V48" i="49"/>
  <c r="U48" i="49"/>
  <c r="T48" i="49"/>
  <c r="W47" i="49"/>
  <c r="V47" i="49"/>
  <c r="U47" i="49"/>
  <c r="T47" i="49"/>
  <c r="X47" i="49" s="1"/>
  <c r="W46" i="49"/>
  <c r="V46" i="49"/>
  <c r="U46" i="49"/>
  <c r="T46" i="49"/>
  <c r="X45" i="49"/>
  <c r="V45" i="49"/>
  <c r="U45" i="49"/>
  <c r="W45" i="49" s="1"/>
  <c r="T45" i="49"/>
  <c r="V44" i="49"/>
  <c r="U44" i="49"/>
  <c r="T44" i="49"/>
  <c r="V43" i="49"/>
  <c r="U43" i="49"/>
  <c r="W43" i="49" s="1"/>
  <c r="T43" i="49"/>
  <c r="V42" i="49"/>
  <c r="U42" i="49"/>
  <c r="W42" i="49" s="1"/>
  <c r="T42" i="49"/>
  <c r="X42" i="49" s="1"/>
  <c r="V41" i="49"/>
  <c r="U41" i="49"/>
  <c r="W41" i="49" s="1"/>
  <c r="T41" i="49"/>
  <c r="V40" i="49"/>
  <c r="W40" i="49" s="1"/>
  <c r="U40" i="49"/>
  <c r="T40" i="49"/>
  <c r="X40" i="49" s="1"/>
  <c r="V39" i="49"/>
  <c r="W39" i="49" s="1"/>
  <c r="U39" i="49"/>
  <c r="T39" i="49"/>
  <c r="X39" i="49" s="1"/>
  <c r="V38" i="49"/>
  <c r="W38" i="49" s="1"/>
  <c r="U38" i="49"/>
  <c r="T38" i="49"/>
  <c r="V37" i="49"/>
  <c r="W37" i="49" s="1"/>
  <c r="U37" i="49"/>
  <c r="V36" i="49"/>
  <c r="U36" i="49"/>
  <c r="V35" i="49"/>
  <c r="U35" i="49"/>
  <c r="V34" i="49"/>
  <c r="U34" i="49"/>
  <c r="W34" i="49" s="1"/>
  <c r="W33" i="49"/>
  <c r="V33" i="49"/>
  <c r="U33" i="49"/>
  <c r="V32" i="49"/>
  <c r="U32" i="49"/>
  <c r="V31" i="49"/>
  <c r="U31" i="49"/>
  <c r="W31" i="49" s="1"/>
  <c r="V30" i="49"/>
  <c r="U30" i="49"/>
  <c r="V29" i="49"/>
  <c r="U29" i="49"/>
  <c r="W29" i="49" s="1"/>
  <c r="V28" i="49"/>
  <c r="U28" i="49"/>
  <c r="V27" i="49"/>
  <c r="U27" i="49"/>
  <c r="W27" i="49" s="1"/>
  <c r="R23" i="49"/>
  <c r="R208" i="49" s="1"/>
  <c r="O23" i="49"/>
  <c r="N23" i="49"/>
  <c r="M23" i="49"/>
  <c r="M208" i="49" s="1"/>
  <c r="L23" i="49"/>
  <c r="L208" i="49" s="1"/>
  <c r="K23" i="49"/>
  <c r="J23" i="49"/>
  <c r="I23" i="49"/>
  <c r="I208" i="49" s="1"/>
  <c r="H23" i="49"/>
  <c r="H208" i="49" s="1"/>
  <c r="G23" i="49"/>
  <c r="F23" i="49"/>
  <c r="E23" i="49"/>
  <c r="E208" i="49" s="1"/>
  <c r="D23" i="49"/>
  <c r="D208" i="49" s="1"/>
  <c r="V22" i="49"/>
  <c r="U22" i="49"/>
  <c r="W22" i="49" s="1"/>
  <c r="V21" i="49"/>
  <c r="U21" i="49"/>
  <c r="T21" i="49"/>
  <c r="X21" i="49" s="1"/>
  <c r="V20" i="49"/>
  <c r="U20" i="49"/>
  <c r="T20" i="49"/>
  <c r="X20" i="49" s="1"/>
  <c r="V19" i="49"/>
  <c r="U19" i="49"/>
  <c r="W19" i="49" s="1"/>
  <c r="T19" i="49"/>
  <c r="X19" i="49" s="1"/>
  <c r="V18" i="49"/>
  <c r="U18" i="49"/>
  <c r="W18" i="49" s="1"/>
  <c r="T18" i="49"/>
  <c r="V17" i="49"/>
  <c r="U17" i="49"/>
  <c r="W17" i="49" s="1"/>
  <c r="T17" i="49"/>
  <c r="X17" i="49" s="1"/>
  <c r="V16" i="49"/>
  <c r="U16" i="49"/>
  <c r="T16" i="49"/>
  <c r="X16" i="49" s="1"/>
  <c r="V15" i="49"/>
  <c r="W15" i="49" s="1"/>
  <c r="U15" i="49"/>
  <c r="T15" i="49"/>
  <c r="X15" i="49" s="1"/>
  <c r="V14" i="49"/>
  <c r="W14" i="49" s="1"/>
  <c r="U14" i="49"/>
  <c r="T14" i="49"/>
  <c r="V13" i="49"/>
  <c r="U13" i="49"/>
  <c r="T13" i="49"/>
  <c r="X13" i="49" s="1"/>
  <c r="V12" i="49"/>
  <c r="U12" i="49"/>
  <c r="T12" i="49"/>
  <c r="V11" i="49"/>
  <c r="U11" i="49"/>
  <c r="W11" i="49" s="1"/>
  <c r="T11" i="49"/>
  <c r="V10" i="49"/>
  <c r="U10" i="49"/>
  <c r="W10" i="49" s="1"/>
  <c r="T10" i="49"/>
  <c r="X10" i="49" s="1"/>
  <c r="V9" i="49"/>
  <c r="U9" i="49"/>
  <c r="T9" i="49"/>
  <c r="V8" i="49"/>
  <c r="U8" i="49"/>
  <c r="T8" i="49"/>
  <c r="X8" i="49" s="1"/>
  <c r="P213" i="49" l="1"/>
  <c r="P216" i="49"/>
  <c r="X215" i="49"/>
  <c r="T23" i="49"/>
  <c r="V23" i="49"/>
  <c r="W13" i="49"/>
  <c r="W32" i="49"/>
  <c r="W123" i="49"/>
  <c r="W140" i="49"/>
  <c r="T167" i="49"/>
  <c r="W80" i="49"/>
  <c r="W139" i="49"/>
  <c r="I169" i="49"/>
  <c r="W20" i="49"/>
  <c r="W28" i="49"/>
  <c r="X222" i="49"/>
  <c r="Z222" i="49" s="1"/>
  <c r="W50" i="49"/>
  <c r="W173" i="49"/>
  <c r="W199" i="49"/>
  <c r="I206" i="49"/>
  <c r="W12" i="49"/>
  <c r="W36" i="49"/>
  <c r="X167" i="49"/>
  <c r="W49" i="49"/>
  <c r="U23" i="49"/>
  <c r="W16" i="49"/>
  <c r="G208" i="49"/>
  <c r="K208" i="49"/>
  <c r="O208" i="49"/>
  <c r="W35" i="49"/>
  <c r="W48" i="49"/>
  <c r="W69" i="49"/>
  <c r="W76" i="49"/>
  <c r="W79" i="49"/>
  <c r="W94" i="49"/>
  <c r="W104" i="49"/>
  <c r="W106" i="49"/>
  <c r="W112" i="49"/>
  <c r="W122" i="49"/>
  <c r="W126" i="49"/>
  <c r="W141" i="49"/>
  <c r="W144" i="49"/>
  <c r="W147" i="49"/>
  <c r="W155" i="49"/>
  <c r="W159" i="49"/>
  <c r="W163" i="49"/>
  <c r="W166" i="49"/>
  <c r="O169" i="49"/>
  <c r="W182" i="49"/>
  <c r="W186" i="49"/>
  <c r="W189" i="49"/>
  <c r="W192" i="49"/>
  <c r="W196" i="49"/>
  <c r="W200" i="49"/>
  <c r="W203" i="49"/>
  <c r="Z220" i="49"/>
  <c r="X23" i="49"/>
  <c r="X218" i="49"/>
  <c r="Z218" i="49" s="1"/>
  <c r="Z217" i="49"/>
  <c r="W171" i="49"/>
  <c r="U204" i="49"/>
  <c r="X226" i="49"/>
  <c r="Z226" i="49" s="1"/>
  <c r="I25" i="49"/>
  <c r="I210" i="49" s="1"/>
  <c r="W164" i="49"/>
  <c r="X224" i="49"/>
  <c r="Z224" i="49" s="1"/>
  <c r="O206" i="49"/>
  <c r="X204" i="49"/>
  <c r="U167" i="49"/>
  <c r="U208" i="49" s="1"/>
  <c r="W8" i="49"/>
  <c r="V204" i="49"/>
  <c r="T204" i="49"/>
  <c r="W9" i="49"/>
  <c r="F208" i="49"/>
  <c r="O25" i="49"/>
  <c r="O210" i="49" s="1"/>
  <c r="J208" i="49"/>
  <c r="N208" i="49"/>
  <c r="W21" i="49"/>
  <c r="V167" i="49"/>
  <c r="V208" i="49" s="1"/>
  <c r="W30" i="49"/>
  <c r="W44" i="49"/>
  <c r="W51" i="49"/>
  <c r="W54" i="49"/>
  <c r="W87" i="49"/>
  <c r="W107" i="49"/>
  <c r="W110" i="49"/>
  <c r="W172" i="49"/>
  <c r="U21" i="31"/>
  <c r="U16" i="31"/>
  <c r="U15" i="31"/>
  <c r="T208" i="49" l="1"/>
  <c r="W167" i="49"/>
  <c r="X208" i="49"/>
  <c r="W23" i="49"/>
  <c r="W204" i="49"/>
  <c r="X230" i="49"/>
  <c r="Z215" i="49"/>
  <c r="Z230" i="49" s="1"/>
  <c r="U17" i="31"/>
  <c r="E18" i="13" l="1"/>
  <c r="AA230" i="49"/>
  <c r="X232" i="49"/>
  <c r="P219" i="49"/>
  <c r="P220" i="49" s="1"/>
  <c r="E9" i="13"/>
  <c r="W208" i="49"/>
  <c r="O21" i="31"/>
  <c r="Q52" i="31"/>
  <c r="Q50" i="31"/>
  <c r="Q36" i="31"/>
  <c r="Q26" i="31"/>
  <c r="Q17" i="31"/>
  <c r="Q106" i="31"/>
  <c r="Q99" i="31"/>
  <c r="Q92" i="31"/>
  <c r="Q83" i="31"/>
  <c r="T120" i="31"/>
  <c r="T122" i="31" s="1"/>
  <c r="T106" i="31"/>
  <c r="T99" i="31"/>
  <c r="T92" i="31"/>
  <c r="T83" i="31"/>
  <c r="T71" i="31"/>
  <c r="T52" i="31"/>
  <c r="T50" i="31"/>
  <c r="T36" i="31"/>
  <c r="T26" i="31"/>
  <c r="T17" i="31"/>
  <c r="S26" i="4"/>
  <c r="AA75" i="48"/>
  <c r="Z75" i="48"/>
  <c r="Y75" i="48"/>
  <c r="W75" i="48"/>
  <c r="V75" i="48"/>
  <c r="U75" i="48"/>
  <c r="T75" i="48"/>
  <c r="S75" i="48"/>
  <c r="R75" i="48"/>
  <c r="Q75" i="48"/>
  <c r="P75" i="48"/>
  <c r="O75" i="48"/>
  <c r="N75" i="48"/>
  <c r="M75" i="48"/>
  <c r="L75" i="48"/>
  <c r="K75" i="48"/>
  <c r="J75" i="48"/>
  <c r="I75" i="48"/>
  <c r="AC72" i="48"/>
  <c r="X71" i="48"/>
  <c r="AC71" i="48" s="1"/>
  <c r="X70" i="48"/>
  <c r="AC70" i="48" s="1"/>
  <c r="X69" i="48"/>
  <c r="AC69" i="48" s="1"/>
  <c r="X68" i="48"/>
  <c r="AC68" i="48" s="1"/>
  <c r="X67" i="48"/>
  <c r="AC67" i="48" s="1"/>
  <c r="X66" i="48"/>
  <c r="AC66" i="48" s="1"/>
  <c r="X65" i="48"/>
  <c r="AC65" i="48" s="1"/>
  <c r="X64" i="48"/>
  <c r="AC64" i="48" s="1"/>
  <c r="X63" i="48"/>
  <c r="AC63" i="48" s="1"/>
  <c r="X62" i="48"/>
  <c r="AC62" i="48" s="1"/>
  <c r="X61" i="48"/>
  <c r="AC61" i="48" s="1"/>
  <c r="X60" i="48"/>
  <c r="AC60" i="48" s="1"/>
  <c r="X59" i="48"/>
  <c r="AC59" i="48" s="1"/>
  <c r="X58" i="48"/>
  <c r="X57" i="48"/>
  <c r="AC57" i="48" s="1"/>
  <c r="X56" i="48"/>
  <c r="AC56" i="48" s="1"/>
  <c r="X55" i="48"/>
  <c r="X54" i="48"/>
  <c r="AC54" i="48" s="1"/>
  <c r="X53" i="48"/>
  <c r="AC53" i="48" s="1"/>
  <c r="X52" i="48"/>
  <c r="AC52" i="48" s="1"/>
  <c r="X51" i="48"/>
  <c r="AC51" i="48" s="1"/>
  <c r="X50" i="48"/>
  <c r="AC50" i="48" s="1"/>
  <c r="X49" i="48"/>
  <c r="AC49" i="48" s="1"/>
  <c r="X48" i="48"/>
  <c r="AC48" i="48" s="1"/>
  <c r="X47" i="48"/>
  <c r="AC47" i="48" s="1"/>
  <c r="X46" i="48"/>
  <c r="AC46" i="48" s="1"/>
  <c r="X45" i="48"/>
  <c r="AC45" i="48" s="1"/>
  <c r="X44" i="48"/>
  <c r="AC44" i="48" s="1"/>
  <c r="X43" i="48"/>
  <c r="AC43" i="48" s="1"/>
  <c r="X42" i="48"/>
  <c r="AC42" i="48" s="1"/>
  <c r="X41" i="48"/>
  <c r="AC41" i="48" s="1"/>
  <c r="X40" i="48"/>
  <c r="X39" i="48"/>
  <c r="AC39" i="48" s="1"/>
  <c r="X38" i="48"/>
  <c r="AC38" i="48" s="1"/>
  <c r="X37" i="48"/>
  <c r="AC37" i="48" s="1"/>
  <c r="X36" i="48"/>
  <c r="AC36" i="48" s="1"/>
  <c r="X35" i="48"/>
  <c r="AC35" i="48" s="1"/>
  <c r="X34" i="48"/>
  <c r="AC34" i="48" s="1"/>
  <c r="X33" i="48"/>
  <c r="AC33" i="48" s="1"/>
  <c r="X32" i="48"/>
  <c r="AC32" i="48" s="1"/>
  <c r="X31" i="48"/>
  <c r="X30" i="48"/>
  <c r="AC30" i="48" s="1"/>
  <c r="X29" i="48"/>
  <c r="AC29" i="48" s="1"/>
  <c r="X28" i="48"/>
  <c r="AC28" i="48" s="1"/>
  <c r="X27" i="48"/>
  <c r="AC27" i="48" s="1"/>
  <c r="X26" i="48"/>
  <c r="AC26" i="48" s="1"/>
  <c r="X25" i="48"/>
  <c r="AC25" i="48" s="1"/>
  <c r="X24" i="48"/>
  <c r="AC24" i="48" s="1"/>
  <c r="X23" i="48"/>
  <c r="AC23" i="48" s="1"/>
  <c r="X22" i="48"/>
  <c r="AC22" i="48" s="1"/>
  <c r="X21" i="48"/>
  <c r="AC21" i="48" s="1"/>
  <c r="X20" i="48"/>
  <c r="X19" i="48"/>
  <c r="AC19" i="48" s="1"/>
  <c r="T84" i="31" l="1"/>
  <c r="Q27" i="31"/>
  <c r="Q53" i="31" s="1"/>
  <c r="T27" i="31"/>
  <c r="T53" i="31" s="1"/>
  <c r="X75" i="48"/>
  <c r="J77" i="48"/>
  <c r="K77" i="48" s="1"/>
  <c r="L77" i="48" s="1"/>
  <c r="M77" i="48" s="1"/>
  <c r="N77" i="48" s="1"/>
  <c r="O77" i="48" s="1"/>
  <c r="P77" i="48" s="1"/>
  <c r="AC20" i="48"/>
  <c r="AC75" i="48" s="1"/>
  <c r="Q77" i="48" l="1"/>
  <c r="R77" i="48" l="1"/>
  <c r="S77" i="48" l="1"/>
  <c r="T77" i="48" l="1"/>
  <c r="U77" i="48" l="1"/>
  <c r="V77" i="48" l="1"/>
  <c r="W77" i="48" l="1"/>
  <c r="Y77" i="48" l="1"/>
  <c r="Z77" i="48" l="1"/>
  <c r="AA77" i="48" l="1"/>
  <c r="AA79" i="48" s="1"/>
  <c r="D10" i="47" l="1"/>
  <c r="D11" i="47" s="1"/>
  <c r="C14" i="47" s="1"/>
  <c r="U340" i="34"/>
  <c r="D338" i="34"/>
  <c r="D337" i="34"/>
  <c r="D336" i="34"/>
  <c r="D335" i="34"/>
  <c r="D334" i="34"/>
  <c r="D333" i="34"/>
  <c r="D332" i="34"/>
  <c r="U330" i="34"/>
  <c r="D329" i="34"/>
  <c r="D328" i="34"/>
  <c r="D327" i="34"/>
  <c r="D326" i="34"/>
  <c r="D325" i="34"/>
  <c r="D324" i="34"/>
  <c r="D323" i="34"/>
  <c r="D322" i="34"/>
  <c r="D321" i="34"/>
  <c r="D320" i="34"/>
  <c r="D316" i="34"/>
  <c r="V315" i="34"/>
  <c r="D315" i="34"/>
  <c r="V314" i="34"/>
  <c r="D314" i="34"/>
  <c r="V311" i="34"/>
  <c r="D310" i="34"/>
  <c r="D309" i="34"/>
  <c r="X308" i="34"/>
  <c r="D308" i="34"/>
  <c r="X307" i="34"/>
  <c r="D307" i="34"/>
  <c r="X306" i="34"/>
  <c r="D306" i="34"/>
  <c r="D305" i="34"/>
  <c r="D304" i="34"/>
  <c r="D303" i="34"/>
  <c r="D302" i="34"/>
  <c r="V301" i="34"/>
  <c r="D301" i="34"/>
  <c r="D300" i="34"/>
  <c r="V299" i="34"/>
  <c r="D299" i="34"/>
  <c r="X298" i="34"/>
  <c r="D298" i="34"/>
  <c r="D297" i="34"/>
  <c r="D293" i="34"/>
  <c r="D292" i="34"/>
  <c r="X291" i="34"/>
  <c r="D291" i="34"/>
  <c r="D290" i="34"/>
  <c r="X289" i="34"/>
  <c r="D289" i="34"/>
  <c r="D288" i="34"/>
  <c r="X287" i="34"/>
  <c r="D287" i="34"/>
  <c r="D286" i="34"/>
  <c r="D285" i="34"/>
  <c r="X284" i="34"/>
  <c r="D284" i="34"/>
  <c r="X283" i="34"/>
  <c r="D283" i="34"/>
  <c r="X282" i="34"/>
  <c r="D282" i="34"/>
  <c r="X281" i="34"/>
  <c r="D281" i="34"/>
  <c r="X280" i="34"/>
  <c r="D280" i="34"/>
  <c r="X279" i="34"/>
  <c r="D279" i="34"/>
  <c r="X278" i="34"/>
  <c r="D278" i="34"/>
  <c r="D277" i="34"/>
  <c r="D276" i="34"/>
  <c r="W275" i="34"/>
  <c r="D275" i="34"/>
  <c r="D274" i="34"/>
  <c r="X273" i="34"/>
  <c r="D273" i="34"/>
  <c r="X272" i="34"/>
  <c r="D272" i="34"/>
  <c r="X271" i="34"/>
  <c r="D271" i="34"/>
  <c r="D270" i="34"/>
  <c r="X269" i="34"/>
  <c r="D269" i="34"/>
  <c r="D268" i="34"/>
  <c r="X264" i="34"/>
  <c r="D262" i="34"/>
  <c r="D261" i="34"/>
  <c r="W259" i="34"/>
  <c r="D258" i="34"/>
  <c r="D257" i="34"/>
  <c r="D256" i="34"/>
  <c r="D255" i="34"/>
  <c r="D254" i="34"/>
  <c r="D253" i="34"/>
  <c r="D252" i="34"/>
  <c r="D251" i="34"/>
  <c r="D250" i="34"/>
  <c r="D249" i="34"/>
  <c r="D248" i="34"/>
  <c r="X246" i="34"/>
  <c r="D246" i="34"/>
  <c r="X245" i="34"/>
  <c r="D245" i="34"/>
  <c r="X244" i="34"/>
  <c r="D244" i="34"/>
  <c r="X243" i="34"/>
  <c r="D243" i="34"/>
  <c r="D242" i="34"/>
  <c r="X241" i="34"/>
  <c r="D241" i="34"/>
  <c r="X240" i="34"/>
  <c r="X239" i="34"/>
  <c r="D239" i="34"/>
  <c r="D237" i="34"/>
  <c r="U236" i="34"/>
  <c r="D236" i="34"/>
  <c r="U234" i="34"/>
  <c r="D233" i="34"/>
  <c r="D232" i="34"/>
  <c r="D231" i="34"/>
  <c r="D230" i="34"/>
  <c r="D229" i="34"/>
  <c r="D228" i="34"/>
  <c r="D227" i="34"/>
  <c r="D226" i="34"/>
  <c r="D225" i="34"/>
  <c r="D224" i="34"/>
  <c r="D223" i="34"/>
  <c r="D222" i="34"/>
  <c r="D221" i="34"/>
  <c r="D220" i="34"/>
  <c r="D219" i="34"/>
  <c r="D218" i="34"/>
  <c r="D217" i="34"/>
  <c r="D216" i="34"/>
  <c r="D215" i="34"/>
  <c r="U213" i="34"/>
  <c r="D211" i="34"/>
  <c r="D210" i="34"/>
  <c r="D209" i="34"/>
  <c r="D208" i="34"/>
  <c r="D207" i="34"/>
  <c r="D206" i="34"/>
  <c r="D205" i="34"/>
  <c r="D204" i="34"/>
  <c r="D203" i="34"/>
  <c r="D202" i="34"/>
  <c r="U197" i="34"/>
  <c r="D196" i="34"/>
  <c r="U194" i="34"/>
  <c r="D193" i="34"/>
  <c r="D192" i="34"/>
  <c r="U182" i="34"/>
  <c r="D181" i="34"/>
  <c r="D180" i="34"/>
  <c r="D179" i="34"/>
  <c r="D178" i="34"/>
  <c r="D177" i="34"/>
  <c r="D176" i="34"/>
  <c r="D175" i="34"/>
  <c r="U173" i="34"/>
  <c r="D172" i="34"/>
  <c r="D171" i="34"/>
  <c r="D169" i="34"/>
  <c r="D168" i="34"/>
  <c r="D167" i="34"/>
  <c r="D166" i="34"/>
  <c r="U164" i="34"/>
  <c r="D163" i="34"/>
  <c r="D162" i="34"/>
  <c r="D161" i="34"/>
  <c r="U159" i="34"/>
  <c r="D157" i="34"/>
  <c r="D155" i="34"/>
  <c r="U153" i="34"/>
  <c r="W146" i="34"/>
  <c r="D146" i="34"/>
  <c r="W145" i="34"/>
  <c r="D145" i="34"/>
  <c r="X144" i="34"/>
  <c r="D144" i="34"/>
  <c r="D143" i="34"/>
  <c r="D142" i="34"/>
  <c r="X141" i="34"/>
  <c r="D141" i="34"/>
  <c r="D140" i="34"/>
  <c r="D139" i="34"/>
  <c r="X138" i="34"/>
  <c r="X137" i="34"/>
  <c r="D137" i="34"/>
  <c r="X136" i="34"/>
  <c r="D136" i="34"/>
  <c r="D135" i="34"/>
  <c r="D134" i="34"/>
  <c r="U132" i="34"/>
  <c r="D129" i="34"/>
  <c r="D128" i="34"/>
  <c r="D127" i="34"/>
  <c r="D126" i="34"/>
  <c r="U124" i="34"/>
  <c r="D123" i="34"/>
  <c r="D122" i="34"/>
  <c r="D121" i="34"/>
  <c r="D120" i="34"/>
  <c r="D119" i="34"/>
  <c r="D118" i="34"/>
  <c r="D117" i="34"/>
  <c r="D116" i="34"/>
  <c r="D115" i="34"/>
  <c r="D114" i="34"/>
  <c r="D113" i="34"/>
  <c r="D112" i="34"/>
  <c r="D111" i="34"/>
  <c r="W109" i="34"/>
  <c r="D109" i="34"/>
  <c r="X107" i="34"/>
  <c r="D107" i="34"/>
  <c r="X106" i="34"/>
  <c r="D106" i="34"/>
  <c r="X104" i="34"/>
  <c r="D103" i="34"/>
  <c r="D102" i="34"/>
  <c r="X100" i="34"/>
  <c r="D97" i="34"/>
  <c r="D96" i="34"/>
  <c r="D95" i="34"/>
  <c r="D94" i="34"/>
  <c r="D93" i="34"/>
  <c r="D92" i="34"/>
  <c r="X90" i="34"/>
  <c r="D88" i="34"/>
  <c r="D87" i="34"/>
  <c r="D86" i="34"/>
  <c r="D85" i="34"/>
  <c r="D84" i="34"/>
  <c r="D83" i="34"/>
  <c r="X79" i="34"/>
  <c r="D77" i="34"/>
  <c r="D76" i="34"/>
  <c r="D75" i="34"/>
  <c r="W71" i="34"/>
  <c r="W69" i="34"/>
  <c r="D68" i="34"/>
  <c r="D67" i="34"/>
  <c r="D66" i="34"/>
  <c r="D65" i="34"/>
  <c r="D64" i="34"/>
  <c r="D63" i="34"/>
  <c r="D62" i="34"/>
  <c r="D61" i="34"/>
  <c r="D60" i="34"/>
  <c r="D59" i="34"/>
  <c r="D57" i="34"/>
  <c r="X56" i="34"/>
  <c r="D56" i="34"/>
  <c r="X54" i="34"/>
  <c r="D53" i="34"/>
  <c r="D52" i="34"/>
  <c r="D51" i="34"/>
  <c r="D47" i="34"/>
  <c r="X45" i="34"/>
  <c r="D43" i="34"/>
  <c r="D42" i="34"/>
  <c r="D37" i="34"/>
  <c r="W36" i="34"/>
  <c r="D36" i="34"/>
  <c r="W35" i="34"/>
  <c r="D31" i="34"/>
  <c r="V27" i="34"/>
  <c r="D24" i="34"/>
  <c r="D23" i="34"/>
  <c r="D20" i="34"/>
  <c r="D19" i="34"/>
  <c r="D18" i="34"/>
  <c r="D17" i="34"/>
  <c r="W13" i="34"/>
  <c r="D13" i="34"/>
  <c r="V12" i="34"/>
  <c r="D12" i="34"/>
  <c r="V11" i="34"/>
  <c r="D11" i="34"/>
  <c r="K15" i="41"/>
  <c r="G15" i="41"/>
  <c r="K14" i="41"/>
  <c r="G14" i="41"/>
  <c r="K13" i="41"/>
  <c r="G13" i="41"/>
  <c r="M13" i="41" s="1"/>
  <c r="K12" i="41"/>
  <c r="G12" i="41"/>
  <c r="K11" i="41"/>
  <c r="G11" i="41"/>
  <c r="M11" i="41" s="1"/>
  <c r="K10" i="41"/>
  <c r="G10" i="41"/>
  <c r="D11" i="38"/>
  <c r="D13" i="38" s="1"/>
  <c r="I14" i="46"/>
  <c r="H14" i="46"/>
  <c r="J14" i="46" s="1"/>
  <c r="L14" i="46" s="1"/>
  <c r="I13" i="46"/>
  <c r="H13" i="46"/>
  <c r="J13" i="46" s="1"/>
  <c r="L13" i="46" s="1"/>
  <c r="I12" i="46"/>
  <c r="H12" i="46"/>
  <c r="E13" i="15"/>
  <c r="G14" i="15" s="1"/>
  <c r="D13" i="15"/>
  <c r="G11" i="15"/>
  <c r="G10" i="15"/>
  <c r="G9" i="15"/>
  <c r="K70" i="6"/>
  <c r="L70" i="6" s="1"/>
  <c r="F61" i="6"/>
  <c r="F13" i="6" s="1"/>
  <c r="H13" i="6" s="1"/>
  <c r="D61" i="6"/>
  <c r="D13" i="6" s="1"/>
  <c r="H60" i="6"/>
  <c r="I60" i="6" s="1"/>
  <c r="H59" i="6"/>
  <c r="I59" i="6" s="1"/>
  <c r="H58" i="6"/>
  <c r="I58" i="6" s="1"/>
  <c r="H57" i="6"/>
  <c r="I57" i="6" s="1"/>
  <c r="H56" i="6"/>
  <c r="I56" i="6" s="1"/>
  <c r="H55" i="6"/>
  <c r="I55" i="6" s="1"/>
  <c r="K55" i="6" s="1"/>
  <c r="H54" i="6"/>
  <c r="I54" i="6" s="1"/>
  <c r="H53" i="6"/>
  <c r="I53" i="6" s="1"/>
  <c r="H52" i="6"/>
  <c r="I52" i="6" s="1"/>
  <c r="H51" i="6"/>
  <c r="I51" i="6" s="1"/>
  <c r="H50" i="6"/>
  <c r="I50" i="6" s="1"/>
  <c r="K50" i="6" s="1"/>
  <c r="H49" i="6"/>
  <c r="I49" i="6" s="1"/>
  <c r="K49" i="6" s="1"/>
  <c r="L49" i="6" s="1"/>
  <c r="H48" i="6"/>
  <c r="I48" i="6" s="1"/>
  <c r="H47" i="6"/>
  <c r="I47" i="6" s="1"/>
  <c r="K47" i="6" s="1"/>
  <c r="H46" i="6"/>
  <c r="I46" i="6" s="1"/>
  <c r="H45" i="6"/>
  <c r="I45" i="6" s="1"/>
  <c r="H44" i="6"/>
  <c r="I44" i="6" s="1"/>
  <c r="H43" i="6"/>
  <c r="I43" i="6" s="1"/>
  <c r="H42" i="6"/>
  <c r="I42" i="6" s="1"/>
  <c r="H41" i="6"/>
  <c r="I41" i="6" s="1"/>
  <c r="K41" i="6" s="1"/>
  <c r="L41" i="6" s="1"/>
  <c r="H40" i="6"/>
  <c r="I40" i="6" s="1"/>
  <c r="H39" i="6"/>
  <c r="I39" i="6" s="1"/>
  <c r="K39" i="6" s="1"/>
  <c r="F36" i="6"/>
  <c r="H34" i="6"/>
  <c r="I34" i="6" s="1"/>
  <c r="K34" i="6" s="1"/>
  <c r="H33" i="6"/>
  <c r="I33" i="6" s="1"/>
  <c r="H32" i="6"/>
  <c r="D32" i="6"/>
  <c r="H31" i="6"/>
  <c r="I31" i="6" s="1"/>
  <c r="H30" i="6"/>
  <c r="D30" i="6"/>
  <c r="H29" i="6"/>
  <c r="I29" i="6" s="1"/>
  <c r="H28" i="6"/>
  <c r="I28" i="6" s="1"/>
  <c r="K28" i="6" s="1"/>
  <c r="H27" i="6"/>
  <c r="I27" i="6" s="1"/>
  <c r="H26" i="6"/>
  <c r="I26" i="6" s="1"/>
  <c r="H25" i="6"/>
  <c r="I25" i="6" s="1"/>
  <c r="H24" i="6"/>
  <c r="I24" i="6" s="1"/>
  <c r="H23" i="6"/>
  <c r="I23" i="6" s="1"/>
  <c r="H22" i="6"/>
  <c r="I22" i="6" s="1"/>
  <c r="K22" i="6" s="1"/>
  <c r="L22" i="6" s="1"/>
  <c r="N22" i="6" s="1"/>
  <c r="H21" i="6"/>
  <c r="H20" i="6"/>
  <c r="I20" i="6" s="1"/>
  <c r="K20" i="6" s="1"/>
  <c r="H11" i="6"/>
  <c r="F20" i="44"/>
  <c r="H21" i="36"/>
  <c r="H19" i="36"/>
  <c r="H17" i="36"/>
  <c r="H15" i="36"/>
  <c r="H13" i="36"/>
  <c r="J44" i="36"/>
  <c r="L44" i="36" s="1"/>
  <c r="J42" i="36"/>
  <c r="L42" i="36" s="1"/>
  <c r="J40" i="36"/>
  <c r="L40" i="36" s="1"/>
  <c r="J38" i="36"/>
  <c r="L38" i="36" s="1"/>
  <c r="J36" i="36"/>
  <c r="L36" i="36" s="1"/>
  <c r="F74" i="18"/>
  <c r="E74" i="18"/>
  <c r="F28" i="18"/>
  <c r="E28" i="18"/>
  <c r="E35" i="21"/>
  <c r="F35" i="21" s="1"/>
  <c r="F32" i="21"/>
  <c r="F29" i="21"/>
  <c r="D15" i="21"/>
  <c r="F15" i="21" s="1"/>
  <c r="I16" i="31" s="1"/>
  <c r="X16" i="31" s="1"/>
  <c r="D19" i="21"/>
  <c r="F19" i="21" s="1"/>
  <c r="D18" i="21"/>
  <c r="F18" i="21" s="1"/>
  <c r="D12" i="21"/>
  <c r="F12" i="21" s="1"/>
  <c r="F14" i="3"/>
  <c r="J13" i="3"/>
  <c r="J12" i="3"/>
  <c r="J11" i="3"/>
  <c r="E38" i="33"/>
  <c r="E37" i="33"/>
  <c r="E36" i="33"/>
  <c r="E35" i="33"/>
  <c r="D15" i="32"/>
  <c r="D150" i="31"/>
  <c r="D186" i="31" s="1"/>
  <c r="W148" i="31"/>
  <c r="V148" i="31"/>
  <c r="X147" i="31"/>
  <c r="X146" i="31"/>
  <c r="X145" i="31"/>
  <c r="X144" i="31"/>
  <c r="X143" i="31"/>
  <c r="X137" i="31"/>
  <c r="Y137" i="31" s="1"/>
  <c r="W134" i="31"/>
  <c r="V134" i="31"/>
  <c r="U134" i="31"/>
  <c r="S134" i="31"/>
  <c r="R134" i="31"/>
  <c r="P134" i="31"/>
  <c r="N134" i="31"/>
  <c r="M134" i="31"/>
  <c r="L134" i="31"/>
  <c r="K134" i="31"/>
  <c r="J134" i="31"/>
  <c r="I134" i="31"/>
  <c r="X133" i="31"/>
  <c r="X132" i="31"/>
  <c r="X131" i="31"/>
  <c r="X130" i="31"/>
  <c r="X129" i="31"/>
  <c r="X128" i="31"/>
  <c r="D124" i="31"/>
  <c r="X121" i="31"/>
  <c r="W120" i="31"/>
  <c r="W122" i="31" s="1"/>
  <c r="V120" i="31"/>
  <c r="V122" i="31" s="1"/>
  <c r="U120" i="31"/>
  <c r="U122" i="31" s="1"/>
  <c r="S120" i="31"/>
  <c r="S122" i="31" s="1"/>
  <c r="O120" i="31"/>
  <c r="O122" i="31" s="1"/>
  <c r="M120" i="31"/>
  <c r="M122" i="31" s="1"/>
  <c r="L120" i="31"/>
  <c r="L122" i="31" s="1"/>
  <c r="K120" i="31"/>
  <c r="K122" i="31" s="1"/>
  <c r="I120" i="31"/>
  <c r="I122" i="31" s="1"/>
  <c r="X118" i="31"/>
  <c r="X117" i="31"/>
  <c r="X115" i="31"/>
  <c r="X113" i="31"/>
  <c r="X112" i="31"/>
  <c r="W106" i="31"/>
  <c r="V106" i="31"/>
  <c r="U106" i="31"/>
  <c r="S106" i="31"/>
  <c r="R106" i="31"/>
  <c r="P106" i="31"/>
  <c r="O106" i="31"/>
  <c r="N106" i="31"/>
  <c r="M106" i="31"/>
  <c r="L106" i="31"/>
  <c r="K106" i="31"/>
  <c r="I106" i="31"/>
  <c r="X105" i="31"/>
  <c r="X103" i="31"/>
  <c r="X102" i="31"/>
  <c r="W99" i="31"/>
  <c r="V99" i="31"/>
  <c r="U99" i="31"/>
  <c r="S99" i="31"/>
  <c r="R99" i="31"/>
  <c r="P99" i="31"/>
  <c r="O99" i="31"/>
  <c r="N99" i="31"/>
  <c r="M99" i="31"/>
  <c r="K99" i="31"/>
  <c r="J99" i="31"/>
  <c r="I99" i="31"/>
  <c r="X95" i="31"/>
  <c r="W92" i="31"/>
  <c r="V92" i="31"/>
  <c r="R92" i="31"/>
  <c r="P92" i="31"/>
  <c r="M92" i="31"/>
  <c r="J92" i="31"/>
  <c r="X91" i="31"/>
  <c r="X87" i="31"/>
  <c r="W83" i="31"/>
  <c r="V83" i="31"/>
  <c r="U83" i="31"/>
  <c r="S83" i="31"/>
  <c r="R83" i="31"/>
  <c r="P83" i="31"/>
  <c r="O83" i="31"/>
  <c r="M83" i="31"/>
  <c r="L83" i="31"/>
  <c r="K83" i="31"/>
  <c r="J83" i="31"/>
  <c r="I83" i="31"/>
  <c r="W71" i="31"/>
  <c r="V71" i="31"/>
  <c r="U71" i="31"/>
  <c r="S71" i="31"/>
  <c r="P71" i="31"/>
  <c r="O71" i="31"/>
  <c r="M71" i="31"/>
  <c r="L71" i="31"/>
  <c r="K71" i="31"/>
  <c r="J71" i="31"/>
  <c r="I71" i="31"/>
  <c r="X70" i="31"/>
  <c r="X69" i="31"/>
  <c r="R52" i="31"/>
  <c r="N52" i="31"/>
  <c r="M52" i="31"/>
  <c r="L52" i="31"/>
  <c r="W50" i="31"/>
  <c r="V50" i="31"/>
  <c r="U50" i="31"/>
  <c r="S50" i="31"/>
  <c r="R50" i="31"/>
  <c r="P50" i="31"/>
  <c r="O50" i="31"/>
  <c r="N50" i="31"/>
  <c r="M50" i="31"/>
  <c r="L50" i="31"/>
  <c r="K50" i="31"/>
  <c r="J50" i="31"/>
  <c r="I50" i="31"/>
  <c r="G50" i="31"/>
  <c r="F50" i="31"/>
  <c r="E50" i="31"/>
  <c r="X49" i="31"/>
  <c r="Y49" i="31" s="1"/>
  <c r="X48" i="31"/>
  <c r="Y48" i="31" s="1"/>
  <c r="X47" i="31"/>
  <c r="Y47" i="31" s="1"/>
  <c r="X46" i="31"/>
  <c r="Y46" i="31" s="1"/>
  <c r="X45" i="31"/>
  <c r="Y45" i="31" s="1"/>
  <c r="X44" i="31"/>
  <c r="Y44" i="31" s="1"/>
  <c r="X43" i="31"/>
  <c r="Y43" i="31" s="1"/>
  <c r="X42" i="31"/>
  <c r="Y42" i="31" s="1"/>
  <c r="X41" i="31"/>
  <c r="Y41" i="31" s="1"/>
  <c r="X40" i="31"/>
  <c r="Y40" i="31" s="1"/>
  <c r="X39" i="31"/>
  <c r="W36" i="31"/>
  <c r="V36" i="31"/>
  <c r="U36" i="31"/>
  <c r="S36" i="31"/>
  <c r="R36" i="31"/>
  <c r="P36" i="31"/>
  <c r="O36" i="31"/>
  <c r="N36" i="31"/>
  <c r="M36" i="31"/>
  <c r="L36" i="31"/>
  <c r="J36" i="31"/>
  <c r="X35" i="31"/>
  <c r="X34" i="31"/>
  <c r="X33" i="31"/>
  <c r="X32" i="31"/>
  <c r="X31" i="31"/>
  <c r="W26" i="31"/>
  <c r="V26" i="31"/>
  <c r="U26" i="31"/>
  <c r="U27" i="31" s="1"/>
  <c r="R26" i="31"/>
  <c r="P26" i="31"/>
  <c r="O26" i="31"/>
  <c r="N26" i="31"/>
  <c r="M26" i="31"/>
  <c r="L26" i="31"/>
  <c r="K26" i="31"/>
  <c r="J26" i="31"/>
  <c r="I26" i="31"/>
  <c r="X25" i="31"/>
  <c r="X23" i="31"/>
  <c r="X22" i="31"/>
  <c r="X21" i="31"/>
  <c r="X20" i="31"/>
  <c r="W17" i="31"/>
  <c r="V17" i="31"/>
  <c r="S17" i="31"/>
  <c r="R17" i="31"/>
  <c r="P17" i="31"/>
  <c r="O17" i="31"/>
  <c r="N17" i="31"/>
  <c r="M17" i="31"/>
  <c r="L17" i="31"/>
  <c r="K17" i="31"/>
  <c r="J17" i="31"/>
  <c r="Y43" i="4"/>
  <c r="X43" i="4"/>
  <c r="W43" i="4"/>
  <c r="V43" i="4"/>
  <c r="U43" i="4"/>
  <c r="T43" i="4"/>
  <c r="R43" i="4"/>
  <c r="O43" i="4"/>
  <c r="M43" i="4"/>
  <c r="L43" i="4"/>
  <c r="J43" i="4"/>
  <c r="I43" i="4"/>
  <c r="H43" i="4"/>
  <c r="G43" i="4"/>
  <c r="AA42" i="4"/>
  <c r="G39" i="1" s="1"/>
  <c r="AA40" i="4"/>
  <c r="G37" i="1" s="1"/>
  <c r="AA31" i="4"/>
  <c r="G28" i="1" s="1"/>
  <c r="J28" i="1" s="1"/>
  <c r="P28" i="1" s="1"/>
  <c r="Y19" i="4"/>
  <c r="X19" i="4"/>
  <c r="W19" i="4"/>
  <c r="V19" i="4"/>
  <c r="U19" i="4"/>
  <c r="O19" i="4"/>
  <c r="M19" i="4"/>
  <c r="L19" i="4"/>
  <c r="H19" i="4"/>
  <c r="T17" i="4"/>
  <c r="N17" i="4"/>
  <c r="N19" i="4" s="1"/>
  <c r="C33" i="2"/>
  <c r="M40" i="1"/>
  <c r="D38" i="1"/>
  <c r="D37" i="1"/>
  <c r="D36" i="1"/>
  <c r="D35" i="1"/>
  <c r="F21" i="21" l="1"/>
  <c r="G24" i="31"/>
  <c r="G158" i="31"/>
  <c r="F17" i="31"/>
  <c r="S84" i="31"/>
  <c r="G115" i="31"/>
  <c r="G33" i="31"/>
  <c r="Y33" i="31" s="1"/>
  <c r="G89" i="31"/>
  <c r="G96" i="31"/>
  <c r="G98" i="31"/>
  <c r="G143" i="31"/>
  <c r="Y143" i="31" s="1"/>
  <c r="G145" i="31"/>
  <c r="G153" i="31"/>
  <c r="H18" i="21"/>
  <c r="C18" i="47"/>
  <c r="C16" i="47"/>
  <c r="S38" i="4"/>
  <c r="M84" i="31"/>
  <c r="I84" i="31"/>
  <c r="G166" i="31"/>
  <c r="G16" i="31"/>
  <c r="Y16" i="31" s="1"/>
  <c r="J27" i="31"/>
  <c r="J53" i="31" s="1"/>
  <c r="N27" i="31"/>
  <c r="N53" i="31" s="1"/>
  <c r="G35" i="31"/>
  <c r="Y35" i="31" s="1"/>
  <c r="G52" i="31"/>
  <c r="D20" i="1" s="1"/>
  <c r="G68" i="31"/>
  <c r="G69" i="31"/>
  <c r="Y69" i="31" s="1"/>
  <c r="G175" i="31"/>
  <c r="G31" i="31"/>
  <c r="Y31" i="31" s="1"/>
  <c r="O84" i="31"/>
  <c r="F29" i="18"/>
  <c r="J104" i="31" s="1"/>
  <c r="J106" i="31" s="1"/>
  <c r="G129" i="31"/>
  <c r="G164" i="31"/>
  <c r="J27" i="4"/>
  <c r="AA27" i="4" s="1"/>
  <c r="G24" i="1" s="1"/>
  <c r="L96" i="31"/>
  <c r="I13" i="6"/>
  <c r="K13" i="6" s="1"/>
  <c r="J84" i="31"/>
  <c r="G156" i="31"/>
  <c r="I30" i="6"/>
  <c r="K30" i="6" s="1"/>
  <c r="G75" i="31"/>
  <c r="G80" i="31"/>
  <c r="G87" i="31"/>
  <c r="Y87" i="31" s="1"/>
  <c r="G114" i="31"/>
  <c r="G116" i="31"/>
  <c r="G121" i="31"/>
  <c r="Y121" i="31" s="1"/>
  <c r="G130" i="31"/>
  <c r="Y130" i="31" s="1"/>
  <c r="G154" i="31"/>
  <c r="Q25" i="4"/>
  <c r="Q33" i="4" s="1"/>
  <c r="R60" i="31"/>
  <c r="R71" i="31" s="1"/>
  <c r="R84" i="31" s="1"/>
  <c r="V84" i="31"/>
  <c r="V149" i="31" s="1"/>
  <c r="G132" i="31"/>
  <c r="Y132" i="31" s="1"/>
  <c r="G133" i="31"/>
  <c r="I32" i="6"/>
  <c r="K32" i="6" s="1"/>
  <c r="L32" i="6" s="1"/>
  <c r="N32" i="6" s="1"/>
  <c r="M12" i="41"/>
  <c r="M14" i="41"/>
  <c r="G21" i="31"/>
  <c r="D14" i="1" s="1"/>
  <c r="F36" i="31"/>
  <c r="G63" i="31"/>
  <c r="G103" i="31"/>
  <c r="Y103" i="31" s="1"/>
  <c r="G112" i="31"/>
  <c r="Y112" i="31" s="1"/>
  <c r="G131" i="31"/>
  <c r="Y131" i="31" s="1"/>
  <c r="F172" i="31"/>
  <c r="G165" i="31"/>
  <c r="G167" i="31"/>
  <c r="G176" i="31"/>
  <c r="G177" i="31"/>
  <c r="G179" i="31"/>
  <c r="G183" i="31"/>
  <c r="V342" i="34"/>
  <c r="E19" i="33" s="1"/>
  <c r="G15" i="31"/>
  <c r="L27" i="31"/>
  <c r="L53" i="31" s="1"/>
  <c r="P27" i="31"/>
  <c r="P53" i="31" s="1"/>
  <c r="W27" i="31"/>
  <c r="W53" i="31" s="1"/>
  <c r="G34" i="31"/>
  <c r="Y34" i="31" s="1"/>
  <c r="G67" i="31"/>
  <c r="U84" i="31"/>
  <c r="G104" i="31"/>
  <c r="G168" i="31"/>
  <c r="G180" i="31"/>
  <c r="G181" i="31"/>
  <c r="L46" i="36"/>
  <c r="X33" i="4"/>
  <c r="X34" i="4" s="1"/>
  <c r="X35" i="4" s="1"/>
  <c r="U33" i="4"/>
  <c r="Y33" i="4"/>
  <c r="Y34" i="4" s="1"/>
  <c r="Y35" i="4" s="1"/>
  <c r="V33" i="4"/>
  <c r="V34" i="4" s="1"/>
  <c r="V35" i="4" s="1"/>
  <c r="N23" i="4"/>
  <c r="O52" i="31" s="1"/>
  <c r="W33" i="4"/>
  <c r="W34" i="4" s="1"/>
  <c r="W35" i="4" s="1"/>
  <c r="L92" i="31"/>
  <c r="J37" i="1"/>
  <c r="P37" i="1" s="1"/>
  <c r="K52" i="6"/>
  <c r="L52" i="6"/>
  <c r="N52" i="6" s="1"/>
  <c r="P52" i="6" s="1"/>
  <c r="H15" i="46"/>
  <c r="J12" i="46"/>
  <c r="K27" i="31"/>
  <c r="O27" i="31"/>
  <c r="V27" i="31"/>
  <c r="V53" i="31" s="1"/>
  <c r="F26" i="31"/>
  <c r="G30" i="31"/>
  <c r="P84" i="31"/>
  <c r="E148" i="31"/>
  <c r="G142" i="31"/>
  <c r="I15" i="31"/>
  <c r="I17" i="31" s="1"/>
  <c r="I27" i="31" s="1"/>
  <c r="K26" i="6"/>
  <c r="L26" i="6" s="1"/>
  <c r="N26" i="6" s="1"/>
  <c r="E17" i="31"/>
  <c r="G32" i="31"/>
  <c r="G66" i="31"/>
  <c r="L84" i="31"/>
  <c r="G88" i="31"/>
  <c r="G113" i="31"/>
  <c r="G184" i="31"/>
  <c r="O22" i="6"/>
  <c r="P22" i="6"/>
  <c r="K40" i="6"/>
  <c r="L40" i="6" s="1"/>
  <c r="N40" i="6" s="1"/>
  <c r="P40" i="6" s="1"/>
  <c r="N62" i="31" s="1"/>
  <c r="X62" i="31" s="1"/>
  <c r="K44" i="6"/>
  <c r="L44" i="6" s="1"/>
  <c r="E37" i="21"/>
  <c r="F26" i="21"/>
  <c r="F37" i="21" s="1"/>
  <c r="K23" i="6"/>
  <c r="L23" i="6" s="1"/>
  <c r="N23" i="6" s="1"/>
  <c r="K42" i="6"/>
  <c r="L42" i="6" s="1"/>
  <c r="N42" i="6" s="1"/>
  <c r="P42" i="6" s="1"/>
  <c r="N64" i="31" s="1"/>
  <c r="X64" i="31" s="1"/>
  <c r="K56" i="6"/>
  <c r="L56" i="6" s="1"/>
  <c r="G23" i="31"/>
  <c r="Y23" i="31" s="1"/>
  <c r="G25" i="31"/>
  <c r="Y25" i="31" s="1"/>
  <c r="G77" i="31"/>
  <c r="G78" i="31"/>
  <c r="G117" i="31"/>
  <c r="Y117" i="31" s="1"/>
  <c r="H19" i="21"/>
  <c r="K27" i="6"/>
  <c r="L27" i="6" s="1"/>
  <c r="N27" i="6" s="1"/>
  <c r="O27" i="6" s="1"/>
  <c r="E40" i="33"/>
  <c r="J14" i="3"/>
  <c r="D12" i="26" s="1"/>
  <c r="H36" i="6"/>
  <c r="AA17" i="4"/>
  <c r="G14" i="1" s="1"/>
  <c r="X50" i="31"/>
  <c r="G60" i="31"/>
  <c r="G70" i="31"/>
  <c r="G90" i="31"/>
  <c r="E106" i="31"/>
  <c r="G144" i="31"/>
  <c r="Y144" i="31" s="1"/>
  <c r="H15" i="21"/>
  <c r="C16" i="24"/>
  <c r="I21" i="6"/>
  <c r="L50" i="6"/>
  <c r="N50" i="6" s="1"/>
  <c r="P50" i="6" s="1"/>
  <c r="N78" i="31" s="1"/>
  <c r="X78" i="31" s="1"/>
  <c r="K57" i="6"/>
  <c r="L57" i="6" s="1"/>
  <c r="N57" i="6" s="1"/>
  <c r="P57" i="6" s="1"/>
  <c r="G111" i="31"/>
  <c r="G170" i="31"/>
  <c r="G178" i="31"/>
  <c r="G128" i="31"/>
  <c r="Y128" i="31" s="1"/>
  <c r="D36" i="6"/>
  <c r="D11" i="6" s="1"/>
  <c r="I11" i="6" s="1"/>
  <c r="G56" i="31"/>
  <c r="E83" i="31"/>
  <c r="G76" i="31"/>
  <c r="Y98" i="31"/>
  <c r="E159" i="31"/>
  <c r="G157" i="31"/>
  <c r="E26" i="31"/>
  <c r="G20" i="31"/>
  <c r="F134" i="31"/>
  <c r="G127" i="31"/>
  <c r="G16" i="24"/>
  <c r="G79" i="31"/>
  <c r="F92" i="31"/>
  <c r="U34" i="4"/>
  <c r="U35" i="4" s="1"/>
  <c r="E36" i="31"/>
  <c r="Y32" i="31"/>
  <c r="Y39" i="31"/>
  <c r="Y50" i="31" s="1"/>
  <c r="F71" i="31"/>
  <c r="G62" i="31"/>
  <c r="G65" i="31"/>
  <c r="G97" i="31"/>
  <c r="F120" i="31"/>
  <c r="F122" i="31" s="1"/>
  <c r="E71" i="31"/>
  <c r="G91" i="31"/>
  <c r="G95" i="31"/>
  <c r="F99" i="31"/>
  <c r="G136" i="31"/>
  <c r="K60" i="6"/>
  <c r="L60" i="6" s="1"/>
  <c r="W342" i="34"/>
  <c r="M27" i="31"/>
  <c r="M53" i="31" s="1"/>
  <c r="R27" i="31"/>
  <c r="R53" i="31" s="1"/>
  <c r="K84" i="31"/>
  <c r="E92" i="31"/>
  <c r="G118" i="31"/>
  <c r="G22" i="31"/>
  <c r="G61" i="31"/>
  <c r="G64" i="31"/>
  <c r="W84" i="31"/>
  <c r="W149" i="31" s="1"/>
  <c r="F83" i="31"/>
  <c r="G74" i="31"/>
  <c r="G81" i="31"/>
  <c r="G82" i="31"/>
  <c r="F106" i="31"/>
  <c r="G102" i="31"/>
  <c r="G105" i="31"/>
  <c r="G110" i="31"/>
  <c r="G146" i="31"/>
  <c r="K21" i="6"/>
  <c r="N41" i="6"/>
  <c r="P41" i="6" s="1"/>
  <c r="N49" i="6"/>
  <c r="P49" i="6" s="1"/>
  <c r="N77" i="31" s="1"/>
  <c r="X77" i="31" s="1"/>
  <c r="E99" i="31"/>
  <c r="E120" i="31"/>
  <c r="E122" i="31" s="1"/>
  <c r="G119" i="31"/>
  <c r="E134" i="31"/>
  <c r="G139" i="31"/>
  <c r="G163" i="31"/>
  <c r="G171" i="31"/>
  <c r="K24" i="6"/>
  <c r="L24" i="6" s="1"/>
  <c r="N24" i="6" s="1"/>
  <c r="K46" i="6"/>
  <c r="L46" i="6" s="1"/>
  <c r="I61" i="6"/>
  <c r="G109" i="31"/>
  <c r="E185" i="31"/>
  <c r="F148" i="31"/>
  <c r="G147" i="31"/>
  <c r="F159" i="31"/>
  <c r="K25" i="6"/>
  <c r="L25" i="6" s="1"/>
  <c r="N25" i="6" s="1"/>
  <c r="L28" i="6"/>
  <c r="N28" i="6" s="1"/>
  <c r="K45" i="6"/>
  <c r="L45" i="6" s="1"/>
  <c r="K58" i="6"/>
  <c r="L58" i="6" s="1"/>
  <c r="U342" i="34"/>
  <c r="E17" i="33" s="1"/>
  <c r="Y115" i="31"/>
  <c r="E172" i="31"/>
  <c r="G162" i="31"/>
  <c r="F185" i="31"/>
  <c r="G182" i="31"/>
  <c r="L20" i="6"/>
  <c r="K43" i="6"/>
  <c r="L43" i="6" s="1"/>
  <c r="K59" i="6"/>
  <c r="L59" i="6" s="1"/>
  <c r="K29" i="6"/>
  <c r="L29" i="6" s="1"/>
  <c r="N29" i="6" s="1"/>
  <c r="K33" i="6"/>
  <c r="L33" i="6" s="1"/>
  <c r="N33" i="6" s="1"/>
  <c r="K48" i="6"/>
  <c r="L48" i="6" s="1"/>
  <c r="K54" i="6"/>
  <c r="L54" i="6" s="1"/>
  <c r="N70" i="6"/>
  <c r="O70" i="6" s="1"/>
  <c r="P70" i="6" s="1"/>
  <c r="G155" i="31"/>
  <c r="G169" i="31"/>
  <c r="H61" i="6"/>
  <c r="K53" i="6"/>
  <c r="L53" i="6" s="1"/>
  <c r="F75" i="18"/>
  <c r="K31" i="6"/>
  <c r="L31" i="6" s="1"/>
  <c r="N31" i="6" s="1"/>
  <c r="L34" i="6"/>
  <c r="N34" i="6" s="1"/>
  <c r="K51" i="6"/>
  <c r="L51" i="6" s="1"/>
  <c r="H23" i="36"/>
  <c r="H15" i="6"/>
  <c r="L39" i="6"/>
  <c r="L47" i="6"/>
  <c r="L55" i="6"/>
  <c r="G13" i="15"/>
  <c r="G15" i="15" s="1"/>
  <c r="M10" i="41"/>
  <c r="M15" i="41"/>
  <c r="X312" i="34"/>
  <c r="X316" i="34"/>
  <c r="K72" i="6"/>
  <c r="L72" i="6" s="1"/>
  <c r="K74" i="6"/>
  <c r="L74" i="6" s="1"/>
  <c r="K76" i="6"/>
  <c r="L76" i="6" s="1"/>
  <c r="K78" i="6"/>
  <c r="L78" i="6" s="1"/>
  <c r="K80" i="6"/>
  <c r="L80" i="6" s="1"/>
  <c r="K82" i="6"/>
  <c r="L82" i="6" s="1"/>
  <c r="K84" i="6"/>
  <c r="L84" i="6" s="1"/>
  <c r="F85" i="6"/>
  <c r="K71" i="6"/>
  <c r="K73" i="6"/>
  <c r="L73" i="6" s="1"/>
  <c r="K75" i="6"/>
  <c r="L75" i="6" s="1"/>
  <c r="K77" i="6"/>
  <c r="L77" i="6" s="1"/>
  <c r="K79" i="6"/>
  <c r="L79" i="6" s="1"/>
  <c r="K81" i="6"/>
  <c r="L81" i="6" s="1"/>
  <c r="K83" i="6"/>
  <c r="L83" i="6" s="1"/>
  <c r="H12" i="21" l="1"/>
  <c r="H21" i="21" s="1"/>
  <c r="J27" i="36" s="1"/>
  <c r="L28" i="36" s="1"/>
  <c r="W150" i="31"/>
  <c r="F27" i="31"/>
  <c r="F53" i="31" s="1"/>
  <c r="G17" i="31"/>
  <c r="D13" i="1" s="1"/>
  <c r="Y21" i="31"/>
  <c r="J14" i="1"/>
  <c r="P14" i="1" s="1"/>
  <c r="Y145" i="31"/>
  <c r="Y113" i="31"/>
  <c r="G185" i="31"/>
  <c r="C19" i="47"/>
  <c r="C20" i="47" s="1"/>
  <c r="S41" i="4" s="1"/>
  <c r="E16" i="47"/>
  <c r="T127" i="31" s="1"/>
  <c r="T134" i="31" s="1"/>
  <c r="C17" i="47"/>
  <c r="S39" i="4" s="1"/>
  <c r="X104" i="31"/>
  <c r="X106" i="31" s="1"/>
  <c r="L30" i="6"/>
  <c r="N30" i="6" s="1"/>
  <c r="P30" i="6" s="1"/>
  <c r="I15" i="6"/>
  <c r="Y78" i="31"/>
  <c r="V150" i="31"/>
  <c r="Y147" i="31"/>
  <c r="Y133" i="31"/>
  <c r="X342" i="34"/>
  <c r="L13" i="6"/>
  <c r="N13" i="6" s="1"/>
  <c r="P13" i="6" s="1"/>
  <c r="Q34" i="4"/>
  <c r="Q35" i="4" s="1"/>
  <c r="R142" i="31"/>
  <c r="R148" i="31" s="1"/>
  <c r="R149" i="31" s="1"/>
  <c r="R150" i="31" s="1"/>
  <c r="Y129" i="31"/>
  <c r="P27" i="6"/>
  <c r="Y70" i="31"/>
  <c r="E27" i="31"/>
  <c r="E53" i="31" s="1"/>
  <c r="J33" i="4"/>
  <c r="J34" i="4" s="1"/>
  <c r="J35" i="4" s="1"/>
  <c r="H28" i="4"/>
  <c r="AA28" i="4" s="1"/>
  <c r="G25" i="1" s="1"/>
  <c r="X96" i="31"/>
  <c r="L99" i="31"/>
  <c r="G148" i="31"/>
  <c r="D30" i="1" s="1"/>
  <c r="Y64" i="31"/>
  <c r="P26" i="6"/>
  <c r="N74" i="31" s="1"/>
  <c r="X74" i="31" s="1"/>
  <c r="Y74" i="31" s="1"/>
  <c r="O26" i="6"/>
  <c r="L21" i="6"/>
  <c r="N21" i="6" s="1"/>
  <c r="P21" i="6" s="1"/>
  <c r="N60" i="31" s="1"/>
  <c r="O53" i="31"/>
  <c r="P23" i="6"/>
  <c r="N63" i="31" s="1"/>
  <c r="X63" i="31" s="1"/>
  <c r="Y63" i="31" s="1"/>
  <c r="O23" i="6"/>
  <c r="N44" i="6"/>
  <c r="P44" i="6" s="1"/>
  <c r="N56" i="6"/>
  <c r="P56" i="6" s="1"/>
  <c r="Y105" i="31"/>
  <c r="I36" i="6"/>
  <c r="E84" i="31"/>
  <c r="E149" i="31" s="1"/>
  <c r="I30" i="31"/>
  <c r="I36" i="31" s="1"/>
  <c r="G22" i="4"/>
  <c r="K36" i="6"/>
  <c r="J15" i="46"/>
  <c r="L12" i="46"/>
  <c r="L15" i="46" s="1"/>
  <c r="Y77" i="31"/>
  <c r="G36" i="31"/>
  <c r="D19" i="1" s="1"/>
  <c r="N43" i="6"/>
  <c r="P43" i="6" s="1"/>
  <c r="N65" i="31" s="1"/>
  <c r="X65" i="31" s="1"/>
  <c r="Y65" i="31" s="1"/>
  <c r="O33" i="6"/>
  <c r="P33" i="6"/>
  <c r="N53" i="6"/>
  <c r="P53" i="6" s="1"/>
  <c r="N59" i="6"/>
  <c r="P59" i="6" s="1"/>
  <c r="N45" i="6"/>
  <c r="P45" i="6" s="1"/>
  <c r="N67" i="31" s="1"/>
  <c r="X67" i="31" s="1"/>
  <c r="Y67" i="31" s="1"/>
  <c r="O24" i="6"/>
  <c r="P24" i="6"/>
  <c r="N66" i="31" s="1"/>
  <c r="X66" i="31" s="1"/>
  <c r="Y66" i="31" s="1"/>
  <c r="N51" i="6"/>
  <c r="P51" i="6" s="1"/>
  <c r="N79" i="31" s="1"/>
  <c r="X79" i="31" s="1"/>
  <c r="Y79" i="31" s="1"/>
  <c r="O31" i="6"/>
  <c r="P31" i="6"/>
  <c r="O29" i="6"/>
  <c r="P29" i="6"/>
  <c r="N60" i="6"/>
  <c r="P60" i="6" s="1"/>
  <c r="N119" i="31" s="1"/>
  <c r="X119" i="31" s="1"/>
  <c r="Y119" i="31" s="1"/>
  <c r="Y91" i="31"/>
  <c r="G92" i="31"/>
  <c r="D23" i="1" s="1"/>
  <c r="G106" i="31"/>
  <c r="D25" i="1" s="1"/>
  <c r="N55" i="6"/>
  <c r="P55" i="6" s="1"/>
  <c r="N88" i="31" s="1"/>
  <c r="O57" i="6"/>
  <c r="O30" i="6"/>
  <c r="N20" i="6"/>
  <c r="N46" i="6"/>
  <c r="P46" i="6" s="1"/>
  <c r="G12" i="5"/>
  <c r="G18" i="5" s="1"/>
  <c r="G16" i="4"/>
  <c r="D29" i="1"/>
  <c r="Y146" i="31"/>
  <c r="F84" i="31"/>
  <c r="P111" i="31"/>
  <c r="O29" i="4"/>
  <c r="O33" i="4" s="1"/>
  <c r="O34" i="4" s="1"/>
  <c r="L61" i="6"/>
  <c r="N39" i="6"/>
  <c r="O25" i="6"/>
  <c r="P25" i="6"/>
  <c r="G120" i="31"/>
  <c r="G122" i="31" s="1"/>
  <c r="D26" i="1" s="1"/>
  <c r="Y118" i="31"/>
  <c r="G99" i="31"/>
  <c r="D24" i="1" s="1"/>
  <c r="J24" i="1" s="1"/>
  <c r="P24" i="1" s="1"/>
  <c r="Y95" i="31"/>
  <c r="O32" i="6"/>
  <c r="P32" i="6"/>
  <c r="E16" i="13"/>
  <c r="E12" i="13"/>
  <c r="N54" i="6"/>
  <c r="P54" i="6" s="1"/>
  <c r="N82" i="31" s="1"/>
  <c r="X82" i="31" s="1"/>
  <c r="Y82" i="31" s="1"/>
  <c r="N48" i="6"/>
  <c r="P48" i="6" s="1"/>
  <c r="K61" i="6"/>
  <c r="G172" i="31"/>
  <c r="N58" i="6"/>
  <c r="P58" i="6" s="1"/>
  <c r="N110" i="31" s="1"/>
  <c r="X110" i="31" s="1"/>
  <c r="Y110" i="31" s="1"/>
  <c r="O49" i="6"/>
  <c r="G159" i="31"/>
  <c r="E16" i="24" s="1"/>
  <c r="G71" i="31"/>
  <c r="W343" i="34"/>
  <c r="E20" i="33"/>
  <c r="E21" i="33" s="1"/>
  <c r="E23" i="33" s="1"/>
  <c r="E25" i="33" s="1"/>
  <c r="E42" i="33" s="1"/>
  <c r="E44" i="33" s="1"/>
  <c r="D18" i="32" s="1"/>
  <c r="Y97" i="31"/>
  <c r="G134" i="31"/>
  <c r="D27" i="1" s="1"/>
  <c r="G26" i="31"/>
  <c r="Y20" i="31"/>
  <c r="M16" i="41"/>
  <c r="N47" i="6"/>
  <c r="P47" i="6" s="1"/>
  <c r="N75" i="31" s="1"/>
  <c r="X75" i="31" s="1"/>
  <c r="Y75" i="31" s="1"/>
  <c r="O34" i="6"/>
  <c r="P34" i="6"/>
  <c r="J116" i="31"/>
  <c r="H29" i="4"/>
  <c r="O52" i="6"/>
  <c r="O40" i="6"/>
  <c r="O50" i="6"/>
  <c r="O28" i="6"/>
  <c r="P28" i="6"/>
  <c r="N80" i="31" s="1"/>
  <c r="X80" i="31" s="1"/>
  <c r="Y80" i="31" s="1"/>
  <c r="O42" i="6"/>
  <c r="Y102" i="31"/>
  <c r="O41" i="6"/>
  <c r="G83" i="31"/>
  <c r="Y22" i="31"/>
  <c r="Y62" i="31"/>
  <c r="D21" i="1"/>
  <c r="K85" i="6"/>
  <c r="N76" i="6"/>
  <c r="O76" i="6" s="1"/>
  <c r="P76" i="6" s="1"/>
  <c r="N79" i="6"/>
  <c r="O79" i="6" s="1"/>
  <c r="P79" i="6" s="1"/>
  <c r="N84" i="6"/>
  <c r="O84" i="6" s="1"/>
  <c r="P84" i="6" s="1"/>
  <c r="N81" i="6"/>
  <c r="O81" i="6" s="1"/>
  <c r="P81" i="6" s="1"/>
  <c r="N80" i="6"/>
  <c r="O80" i="6" s="1"/>
  <c r="P80" i="6" s="1"/>
  <c r="N73" i="6"/>
  <c r="O73" i="6" s="1"/>
  <c r="P73" i="6" s="1"/>
  <c r="N72" i="6"/>
  <c r="O72" i="6" s="1"/>
  <c r="P72" i="6" s="1"/>
  <c r="N83" i="6"/>
  <c r="O83" i="6" s="1"/>
  <c r="P83" i="6" s="1"/>
  <c r="N75" i="6"/>
  <c r="O75" i="6" s="1"/>
  <c r="P75" i="6" s="1"/>
  <c r="N82" i="6"/>
  <c r="O82" i="6" s="1"/>
  <c r="P82" i="6" s="1"/>
  <c r="N74" i="6"/>
  <c r="O74" i="6" s="1"/>
  <c r="P74" i="6" s="1"/>
  <c r="N77" i="6"/>
  <c r="O77" i="6" s="1"/>
  <c r="P77" i="6" s="1"/>
  <c r="N78" i="6"/>
  <c r="O78" i="6" s="1"/>
  <c r="P78" i="6" s="1"/>
  <c r="L71" i="6"/>
  <c r="O58" i="6" l="1"/>
  <c r="O44" i="6"/>
  <c r="C23" i="47"/>
  <c r="S30" i="4"/>
  <c r="S33" i="4" s="1"/>
  <c r="T142" i="31" s="1"/>
  <c r="T148" i="31" s="1"/>
  <c r="T149" i="31" s="1"/>
  <c r="T150" i="31" s="1"/>
  <c r="S43" i="4"/>
  <c r="E124" i="31"/>
  <c r="X344" i="34"/>
  <c r="G20" i="4"/>
  <c r="L142" i="31"/>
  <c r="L148" i="31" s="1"/>
  <c r="L149" i="31" s="1"/>
  <c r="L150" i="31" s="1"/>
  <c r="H34" i="4"/>
  <c r="Y104" i="31"/>
  <c r="Y106" i="31" s="1"/>
  <c r="J25" i="1"/>
  <c r="P25" i="1" s="1"/>
  <c r="N76" i="31"/>
  <c r="X76" i="31" s="1"/>
  <c r="Y76" i="31" s="1"/>
  <c r="J11" i="6"/>
  <c r="K11" i="6" s="1"/>
  <c r="O59" i="6"/>
  <c r="M28" i="36"/>
  <c r="I16" i="4" s="1"/>
  <c r="I19" i="4" s="1"/>
  <c r="I23" i="4" s="1"/>
  <c r="K52" i="31" s="1"/>
  <c r="N68" i="31"/>
  <c r="X68" i="31" s="1"/>
  <c r="Y68" i="31" s="1"/>
  <c r="O21" i="6"/>
  <c r="X99" i="31"/>
  <c r="Y96" i="31"/>
  <c r="Y99" i="31" s="1"/>
  <c r="O56" i="6"/>
  <c r="O46" i="6"/>
  <c r="O43" i="6"/>
  <c r="L36" i="6"/>
  <c r="L48" i="36"/>
  <c r="E150" i="31"/>
  <c r="E186" i="31" s="1"/>
  <c r="O13" i="6"/>
  <c r="O60" i="6"/>
  <c r="O51" i="6"/>
  <c r="Q60" i="31"/>
  <c r="Q71" i="31" s="1"/>
  <c r="Q84" i="31" s="1"/>
  <c r="P25" i="4"/>
  <c r="L17" i="46"/>
  <c r="L16" i="46"/>
  <c r="D19" i="32"/>
  <c r="D39" i="1"/>
  <c r="O139" i="31"/>
  <c r="N32" i="4"/>
  <c r="N61" i="6"/>
  <c r="P39" i="6"/>
  <c r="O20" i="6"/>
  <c r="P20" i="6"/>
  <c r="N36" i="6"/>
  <c r="X116" i="31"/>
  <c r="Y116" i="31" s="1"/>
  <c r="J120" i="31"/>
  <c r="J122" i="31" s="1"/>
  <c r="O54" i="6"/>
  <c r="O39" i="6"/>
  <c r="T16" i="4"/>
  <c r="G25" i="5"/>
  <c r="O47" i="6"/>
  <c r="D15" i="1"/>
  <c r="G27" i="31"/>
  <c r="G84" i="31"/>
  <c r="O48" i="6"/>
  <c r="N89" i="31"/>
  <c r="X89" i="31" s="1"/>
  <c r="Y89" i="31" s="1"/>
  <c r="O53" i="6"/>
  <c r="P120" i="31"/>
  <c r="P122" i="31" s="1"/>
  <c r="X111" i="31"/>
  <c r="Y111" i="31" s="1"/>
  <c r="G23" i="4"/>
  <c r="I52" i="31" s="1"/>
  <c r="I53" i="31" s="1"/>
  <c r="G19" i="4"/>
  <c r="X88" i="31"/>
  <c r="Y88" i="31" s="1"/>
  <c r="E20" i="13"/>
  <c r="E21" i="13" s="1"/>
  <c r="N38" i="4"/>
  <c r="F149" i="31"/>
  <c r="F150" i="31" s="1"/>
  <c r="F186" i="31" s="1"/>
  <c r="F124" i="31"/>
  <c r="O55" i="6"/>
  <c r="O45" i="6"/>
  <c r="R18" i="4"/>
  <c r="S24" i="31"/>
  <c r="P142" i="31"/>
  <c r="P148" i="31" s="1"/>
  <c r="N81" i="31"/>
  <c r="X81" i="31" s="1"/>
  <c r="Y81" i="31" s="1"/>
  <c r="N114" i="31"/>
  <c r="N71" i="6"/>
  <c r="N85" i="6" s="1"/>
  <c r="L85" i="6"/>
  <c r="S34" i="4" l="1"/>
  <c r="S35" i="4" s="1"/>
  <c r="J142" i="31"/>
  <c r="J148" i="31" s="1"/>
  <c r="J149" i="31" s="1"/>
  <c r="J150" i="31" s="1"/>
  <c r="N92" i="31"/>
  <c r="M26" i="4" s="1"/>
  <c r="M11" i="6"/>
  <c r="Y83" i="31"/>
  <c r="O36" i="6"/>
  <c r="L11" i="6"/>
  <c r="L15" i="6" s="1"/>
  <c r="K15" i="6"/>
  <c r="P29" i="4"/>
  <c r="Q114" i="31"/>
  <c r="Q120" i="31" s="1"/>
  <c r="Q122" i="31" s="1"/>
  <c r="L19" i="46"/>
  <c r="P32" i="4"/>
  <c r="Q139" i="31"/>
  <c r="E22" i="13"/>
  <c r="N41" i="4" s="1"/>
  <c r="AA41" i="4" s="1"/>
  <c r="G38" i="1" s="1"/>
  <c r="J38" i="1" s="1"/>
  <c r="P38" i="1" s="1"/>
  <c r="X60" i="31"/>
  <c r="Y60" i="31" s="1"/>
  <c r="O61" i="6"/>
  <c r="D16" i="1"/>
  <c r="H35" i="4"/>
  <c r="O35" i="4"/>
  <c r="S26" i="31"/>
  <c r="S27" i="31" s="1"/>
  <c r="X24" i="31"/>
  <c r="X83" i="31"/>
  <c r="G124" i="31"/>
  <c r="D22" i="1"/>
  <c r="D31" i="1" s="1"/>
  <c r="G149" i="31"/>
  <c r="X15" i="31"/>
  <c r="P36" i="6"/>
  <c r="N56" i="31"/>
  <c r="G53" i="31"/>
  <c r="C8" i="2"/>
  <c r="G26" i="4" s="1"/>
  <c r="G33" i="4" s="1"/>
  <c r="G34" i="4" s="1"/>
  <c r="P61" i="6"/>
  <c r="N61" i="31"/>
  <c r="F18" i="13"/>
  <c r="F23" i="13" s="1"/>
  <c r="E19" i="13"/>
  <c r="N39" i="4" s="1"/>
  <c r="AA39" i="4" s="1"/>
  <c r="G36" i="1" s="1"/>
  <c r="J36" i="1" s="1"/>
  <c r="P36" i="1" s="1"/>
  <c r="O127" i="31"/>
  <c r="P149" i="31"/>
  <c r="P150" i="31" s="1"/>
  <c r="N83" i="31"/>
  <c r="R19" i="4"/>
  <c r="AA18" i="4"/>
  <c r="AA38" i="4"/>
  <c r="T19" i="4"/>
  <c r="AA16" i="4"/>
  <c r="G13" i="1" s="1"/>
  <c r="J13" i="1" s="1"/>
  <c r="J39" i="1"/>
  <c r="P39" i="1" s="1"/>
  <c r="D40" i="1"/>
  <c r="O71" i="6"/>
  <c r="P33" i="4" l="1"/>
  <c r="P34" i="4" s="1"/>
  <c r="N11" i="6"/>
  <c r="O11" i="6" s="1"/>
  <c r="D32" i="1"/>
  <c r="D41" i="1" s="1"/>
  <c r="G150" i="31"/>
  <c r="G186" i="31" s="1"/>
  <c r="X114" i="31"/>
  <c r="Y114" i="31" s="1"/>
  <c r="I90" i="31"/>
  <c r="I92" i="31" s="1"/>
  <c r="G15" i="1"/>
  <c r="AA19" i="4"/>
  <c r="M24" i="4"/>
  <c r="X56" i="31"/>
  <c r="Y56" i="31" s="1"/>
  <c r="T26" i="4"/>
  <c r="U90" i="31" s="1"/>
  <c r="U92" i="31" s="1"/>
  <c r="T23" i="4"/>
  <c r="N43" i="4"/>
  <c r="X127" i="31"/>
  <c r="O134" i="31"/>
  <c r="X61" i="31"/>
  <c r="N71" i="31"/>
  <c r="N84" i="31" s="1"/>
  <c r="M25" i="4" s="1"/>
  <c r="AA25" i="4" s="1"/>
  <c r="G22" i="1" s="1"/>
  <c r="J22" i="1" s="1"/>
  <c r="P22" i="1" s="1"/>
  <c r="I142" i="31"/>
  <c r="I148" i="31" s="1"/>
  <c r="N30" i="4"/>
  <c r="AA30" i="4" s="1"/>
  <c r="G27" i="1" s="1"/>
  <c r="J27" i="1" s="1"/>
  <c r="P27" i="1" s="1"/>
  <c r="N26" i="4"/>
  <c r="C12" i="2"/>
  <c r="C16" i="2" s="1"/>
  <c r="C18" i="2" s="1"/>
  <c r="C20" i="2" s="1"/>
  <c r="C22" i="2" s="1"/>
  <c r="C25" i="2" s="1"/>
  <c r="D10" i="2"/>
  <c r="I26" i="4"/>
  <c r="Y24" i="31"/>
  <c r="Y26" i="31" s="1"/>
  <c r="X26" i="31"/>
  <c r="R23" i="4"/>
  <c r="R26" i="4"/>
  <c r="S90" i="31" s="1"/>
  <c r="S92" i="31" s="1"/>
  <c r="G35" i="1"/>
  <c r="AA43" i="4"/>
  <c r="Y15" i="31"/>
  <c r="Y17" i="31" s="1"/>
  <c r="X17" i="31"/>
  <c r="E25" i="13"/>
  <c r="O85" i="6"/>
  <c r="P71" i="6"/>
  <c r="P85" i="6" s="1"/>
  <c r="N109" i="31" s="1"/>
  <c r="T33" i="4" l="1"/>
  <c r="T34" i="4" s="1"/>
  <c r="R33" i="4"/>
  <c r="R34" i="4" s="1"/>
  <c r="Y27" i="31"/>
  <c r="P11" i="6"/>
  <c r="P15" i="6" s="1"/>
  <c r="P17" i="6" s="1"/>
  <c r="N15" i="6"/>
  <c r="N33" i="4"/>
  <c r="N34" i="4" s="1"/>
  <c r="AA24" i="4"/>
  <c r="G21" i="1" s="1"/>
  <c r="J21" i="1" s="1"/>
  <c r="P21" i="1" s="1"/>
  <c r="G35" i="4"/>
  <c r="G45" i="4" s="1"/>
  <c r="X27" i="31"/>
  <c r="Q142" i="31"/>
  <c r="Q148" i="31" s="1"/>
  <c r="Q149" i="31" s="1"/>
  <c r="Q150" i="31" s="1"/>
  <c r="V45" i="4"/>
  <c r="U45" i="4"/>
  <c r="D19" i="26"/>
  <c r="J45" i="4"/>
  <c r="Q45" i="4"/>
  <c r="W45" i="4"/>
  <c r="Y45" i="4"/>
  <c r="X45" i="4"/>
  <c r="S45" i="4"/>
  <c r="X134" i="31"/>
  <c r="Y127" i="31"/>
  <c r="Y134" i="31" s="1"/>
  <c r="H45" i="4"/>
  <c r="O90" i="31"/>
  <c r="O92" i="31" s="1"/>
  <c r="O45" i="4"/>
  <c r="I149" i="31"/>
  <c r="I150" i="31" s="1"/>
  <c r="AA26" i="4"/>
  <c r="G23" i="1" s="1"/>
  <c r="G40" i="1"/>
  <c r="J35" i="1"/>
  <c r="S52" i="31"/>
  <c r="AA23" i="4"/>
  <c r="G20" i="1" s="1"/>
  <c r="J20" i="1" s="1"/>
  <c r="K90" i="31"/>
  <c r="Y61" i="31"/>
  <c r="Y71" i="31" s="1"/>
  <c r="Y84" i="31" s="1"/>
  <c r="X71" i="31"/>
  <c r="X84" i="31" s="1"/>
  <c r="U52" i="31"/>
  <c r="U53" i="31" s="1"/>
  <c r="J15" i="1"/>
  <c r="G16" i="1"/>
  <c r="N120" i="31"/>
  <c r="N122" i="31" s="1"/>
  <c r="X109" i="31"/>
  <c r="U142" i="31" l="1"/>
  <c r="U148" i="31" s="1"/>
  <c r="U149" i="31" s="1"/>
  <c r="M32" i="4"/>
  <c r="AA32" i="4" s="1"/>
  <c r="G29" i="1" s="1"/>
  <c r="J29" i="1" s="1"/>
  <c r="P29" i="1" s="1"/>
  <c r="N139" i="31"/>
  <c r="X139" i="31" s="1"/>
  <c r="Y139" i="31" s="1"/>
  <c r="O142" i="31"/>
  <c r="O148" i="31" s="1"/>
  <c r="O149" i="31" s="1"/>
  <c r="O150" i="31" s="1"/>
  <c r="J23" i="1"/>
  <c r="P35" i="4"/>
  <c r="P45" i="4" s="1"/>
  <c r="R35" i="4"/>
  <c r="R45" i="4" s="1"/>
  <c r="S142" i="31"/>
  <c r="S148" i="31" s="1"/>
  <c r="S149" i="31" s="1"/>
  <c r="U150" i="31"/>
  <c r="K92" i="31"/>
  <c r="X90" i="31"/>
  <c r="J40" i="1"/>
  <c r="D11" i="26" s="1"/>
  <c r="D14" i="26" s="1"/>
  <c r="P35" i="1"/>
  <c r="P40" i="1" s="1"/>
  <c r="B16" i="24" s="1"/>
  <c r="D16" i="24" s="1"/>
  <c r="F16" i="24" s="1"/>
  <c r="H16" i="24" s="1"/>
  <c r="L33" i="4" s="1"/>
  <c r="P15" i="1"/>
  <c r="J16" i="1"/>
  <c r="X52" i="31"/>
  <c r="S53" i="31"/>
  <c r="Y109" i="31"/>
  <c r="Y120" i="31" s="1"/>
  <c r="Y122" i="31" s="1"/>
  <c r="X120" i="31"/>
  <c r="X122" i="31" s="1"/>
  <c r="M29" i="4"/>
  <c r="M33" i="4" l="1"/>
  <c r="M34" i="4" s="1"/>
  <c r="N35" i="4"/>
  <c r="N45" i="4" s="1"/>
  <c r="T35" i="4"/>
  <c r="T45" i="4" s="1"/>
  <c r="S150" i="31"/>
  <c r="L34" i="4"/>
  <c r="M142" i="31"/>
  <c r="M148" i="31" s="1"/>
  <c r="M149" i="31" s="1"/>
  <c r="M150" i="31" s="1"/>
  <c r="Y52" i="31"/>
  <c r="Y90" i="31"/>
  <c r="Y92" i="31" s="1"/>
  <c r="X92" i="31"/>
  <c r="D23" i="26"/>
  <c r="AA29" i="4"/>
  <c r="M35" i="4" l="1"/>
  <c r="M45" i="4" s="1"/>
  <c r="L35" i="4"/>
  <c r="L45" i="4" s="1"/>
  <c r="N142" i="31"/>
  <c r="G26" i="1"/>
  <c r="J26" i="1" l="1"/>
  <c r="N148" i="31"/>
  <c r="N149" i="31" s="1"/>
  <c r="N150" i="31" s="1"/>
  <c r="P26" i="1" l="1"/>
  <c r="M48" i="36" l="1"/>
  <c r="I22" i="4" s="1"/>
  <c r="AA22" i="4" l="1"/>
  <c r="G19" i="1" s="1"/>
  <c r="J19" i="1" s="1"/>
  <c r="I33" i="4"/>
  <c r="K30" i="31"/>
  <c r="I34" i="4" l="1"/>
  <c r="AA33" i="4"/>
  <c r="K142" i="31"/>
  <c r="K36" i="31"/>
  <c r="K53" i="31" s="1"/>
  <c r="X30" i="31"/>
  <c r="P19" i="1"/>
  <c r="I35" i="4" l="1"/>
  <c r="I45" i="4" s="1"/>
  <c r="AA34" i="4"/>
  <c r="AA35" i="4" s="1"/>
  <c r="AA45" i="4" s="1"/>
  <c r="K148" i="31"/>
  <c r="K149" i="31" s="1"/>
  <c r="K150" i="31" s="1"/>
  <c r="X142" i="31"/>
  <c r="G30" i="1"/>
  <c r="X36" i="31"/>
  <c r="Y30" i="31"/>
  <c r="Y36" i="31" s="1"/>
  <c r="Y53" i="31" s="1"/>
  <c r="X53" i="31" l="1"/>
  <c r="X148" i="31"/>
  <c r="Y142" i="31"/>
  <c r="Y148" i="31" s="1"/>
  <c r="Y149" i="31" s="1"/>
  <c r="Y150" i="31" s="1"/>
  <c r="J30" i="1"/>
  <c r="J31" i="1" s="1"/>
  <c r="J32" i="1" s="1"/>
  <c r="G31" i="1"/>
  <c r="G32" i="1" s="1"/>
  <c r="X149" i="31" l="1"/>
  <c r="X150" i="31" s="1"/>
  <c r="D15" i="26"/>
  <c r="D17" i="26" s="1"/>
  <c r="D21" i="26" s="1"/>
  <c r="M13" i="1" s="1"/>
  <c r="J41" i="1"/>
  <c r="D25" i="26" l="1"/>
  <c r="M16" i="1" l="1"/>
  <c r="P13" i="1"/>
  <c r="P16" i="1" s="1"/>
  <c r="M23" i="1" l="1"/>
  <c r="P23" i="1" s="1"/>
  <c r="M20" i="1"/>
  <c r="M30" i="1" l="1"/>
  <c r="P30" i="1" s="1"/>
  <c r="P20" i="1"/>
  <c r="P31" i="1" l="1"/>
  <c r="P32" i="1" s="1"/>
  <c r="P41" i="1" s="1"/>
  <c r="M31" i="1"/>
  <c r="M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Cascade Natural Gas</author>
  </authors>
  <commentList>
    <comment ref="R10" authorId="0" shapeId="0" xr:uid="{00000000-0006-0000-0700-000001000000}">
      <text>
        <r>
          <rPr>
            <b/>
            <sz val="9"/>
            <color indexed="81"/>
            <rFont val="Tahoma"/>
            <family val="2"/>
          </rPr>
          <t>Cascade Natural Gas:</t>
        </r>
        <r>
          <rPr>
            <sz val="9"/>
            <color indexed="81"/>
            <rFont val="Tahoma"/>
            <family val="2"/>
          </rPr>
          <t xml:space="preserve">
Removed CRM Adjustment Column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Cascade Natural Gas</author>
  </authors>
  <commentList>
    <comment ref="J11" authorId="0" shapeId="0" xr:uid="{00000000-0006-0000-1900-000001000000}">
      <text>
        <r>
          <rPr>
            <b/>
            <sz val="9"/>
            <color indexed="81"/>
            <rFont val="Tahoma"/>
            <family val="2"/>
          </rPr>
          <t>Cascade Natural Gas:</t>
        </r>
        <r>
          <rPr>
            <sz val="9"/>
            <color indexed="81"/>
            <rFont val="Tahoma"/>
            <family val="2"/>
          </rPr>
          <t xml:space="preserve">
Average of 2017 increases</t>
        </r>
      </text>
    </comment>
    <comment ref="M11" authorId="0" shapeId="0" xr:uid="{00000000-0006-0000-1900-000002000000}">
      <text>
        <r>
          <rPr>
            <b/>
            <sz val="9"/>
            <color indexed="81"/>
            <rFont val="Tahoma"/>
            <family val="2"/>
          </rPr>
          <t>Cascade Natural Gas:</t>
        </r>
        <r>
          <rPr>
            <sz val="9"/>
            <color indexed="81"/>
            <rFont val="Tahoma"/>
            <family val="2"/>
          </rPr>
          <t xml:space="preserve">
Average of 2017 increases</t>
        </r>
      </text>
    </comment>
    <comment ref="D31" authorId="0" shapeId="0" xr:uid="{00000000-0006-0000-1900-000003000000}">
      <text>
        <r>
          <rPr>
            <b/>
            <sz val="9"/>
            <color indexed="81"/>
            <rFont val="Tahoma"/>
            <family val="2"/>
          </rPr>
          <t>Cascade Natural Gas:</t>
        </r>
        <r>
          <rPr>
            <sz val="9"/>
            <color indexed="81"/>
            <rFont val="Tahoma"/>
            <family val="2"/>
          </rPr>
          <t xml:space="preserve">
Financial services personnel (Depts. 604 &amp; 607) will receive 3.8% increase and are separated from 29030 account</t>
        </r>
      </text>
    </comment>
    <comment ref="D33" authorId="0" shapeId="0" xr:uid="{00000000-0006-0000-1900-000004000000}">
      <text>
        <r>
          <rPr>
            <b/>
            <sz val="9"/>
            <color indexed="81"/>
            <rFont val="Tahoma"/>
            <family val="2"/>
          </rPr>
          <t>Cascade Natural Gas:</t>
        </r>
        <r>
          <rPr>
            <sz val="9"/>
            <color indexed="81"/>
            <rFont val="Tahoma"/>
            <family val="2"/>
          </rPr>
          <t xml:space="preserve">
Financial services personnel (Depts. 604 &amp; 607) will receive 3.8% increase and are separated from 29200 account</t>
        </r>
      </text>
    </comment>
    <comment ref="C60" authorId="0" shapeId="0" xr:uid="{00000000-0006-0000-1900-000005000000}">
      <text>
        <r>
          <rPr>
            <b/>
            <sz val="9"/>
            <color indexed="81"/>
            <rFont val="Tahoma"/>
            <family val="2"/>
          </rPr>
          <t>Cascade Natural Gas:</t>
        </r>
        <r>
          <rPr>
            <sz val="9"/>
            <color indexed="81"/>
            <rFont val="Tahoma"/>
            <family val="2"/>
          </rPr>
          <t xml:space="preserve">
Codes to 29320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Roeun Lim </author>
    <author>Jennifer Lopez</author>
  </authors>
  <commentList>
    <comment ref="F32" authorId="0" shapeId="0" xr:uid="{00000000-0006-0000-2200-000001000000}">
      <text>
        <r>
          <rPr>
            <b/>
            <sz val="8"/>
            <color indexed="81"/>
            <rFont val="Tahoma"/>
            <family val="2"/>
          </rPr>
          <t>Roeun Lim :</t>
        </r>
        <r>
          <rPr>
            <sz val="8"/>
            <color indexed="81"/>
            <rFont val="Tahoma"/>
            <family val="2"/>
          </rPr>
          <t xml:space="preserve">
'Misc assets' on BS
</t>
        </r>
      </text>
    </comment>
    <comment ref="G32" authorId="0" shapeId="0" xr:uid="{00000000-0006-0000-2200-000002000000}">
      <text>
        <r>
          <rPr>
            <b/>
            <sz val="8"/>
            <color indexed="81"/>
            <rFont val="Tahoma"/>
            <family val="2"/>
          </rPr>
          <t>Roeun Lim :</t>
        </r>
        <r>
          <rPr>
            <sz val="8"/>
            <color indexed="81"/>
            <rFont val="Tahoma"/>
            <family val="2"/>
          </rPr>
          <t xml:space="preserve">
'Misc assets' on BS
</t>
        </r>
      </text>
    </comment>
    <comment ref="H32" authorId="0" shapeId="0" xr:uid="{00000000-0006-0000-2200-000003000000}">
      <text>
        <r>
          <rPr>
            <b/>
            <sz val="8"/>
            <color indexed="81"/>
            <rFont val="Tahoma"/>
            <family val="2"/>
          </rPr>
          <t>Roeun Lim :</t>
        </r>
        <r>
          <rPr>
            <sz val="8"/>
            <color indexed="81"/>
            <rFont val="Tahoma"/>
            <family val="2"/>
          </rPr>
          <t xml:space="preserve">
'Misc assets' on BS
</t>
        </r>
      </text>
    </comment>
    <comment ref="I32" authorId="0" shapeId="0" xr:uid="{00000000-0006-0000-2200-000004000000}">
      <text>
        <r>
          <rPr>
            <b/>
            <sz val="8"/>
            <color indexed="81"/>
            <rFont val="Tahoma"/>
            <family val="2"/>
          </rPr>
          <t>Roeun Lim :</t>
        </r>
        <r>
          <rPr>
            <sz val="8"/>
            <color indexed="81"/>
            <rFont val="Tahoma"/>
            <family val="2"/>
          </rPr>
          <t xml:space="preserve">
'Misc assets' on BS
</t>
        </r>
      </text>
    </comment>
    <comment ref="J32" authorId="0" shapeId="0" xr:uid="{00000000-0006-0000-2200-000005000000}">
      <text>
        <r>
          <rPr>
            <b/>
            <sz val="8"/>
            <color indexed="81"/>
            <rFont val="Tahoma"/>
            <family val="2"/>
          </rPr>
          <t>Roeun Lim :</t>
        </r>
        <r>
          <rPr>
            <sz val="8"/>
            <color indexed="81"/>
            <rFont val="Tahoma"/>
            <family val="2"/>
          </rPr>
          <t xml:space="preserve">
'Misc assets' on BS
</t>
        </r>
      </text>
    </comment>
    <comment ref="K32" authorId="0" shapeId="0" xr:uid="{00000000-0006-0000-2200-000006000000}">
      <text>
        <r>
          <rPr>
            <b/>
            <sz val="8"/>
            <color indexed="81"/>
            <rFont val="Tahoma"/>
            <family val="2"/>
          </rPr>
          <t>Roeun Lim :</t>
        </r>
        <r>
          <rPr>
            <sz val="8"/>
            <color indexed="81"/>
            <rFont val="Tahoma"/>
            <family val="2"/>
          </rPr>
          <t xml:space="preserve">
'Misc assets' on BS
</t>
        </r>
      </text>
    </comment>
    <comment ref="L32" authorId="0" shapeId="0" xr:uid="{00000000-0006-0000-2200-000007000000}">
      <text>
        <r>
          <rPr>
            <b/>
            <sz val="8"/>
            <color indexed="81"/>
            <rFont val="Tahoma"/>
            <family val="2"/>
          </rPr>
          <t>Roeun Lim :</t>
        </r>
        <r>
          <rPr>
            <sz val="8"/>
            <color indexed="81"/>
            <rFont val="Tahoma"/>
            <family val="2"/>
          </rPr>
          <t xml:space="preserve">
'Misc assets' on BS
</t>
        </r>
      </text>
    </comment>
    <comment ref="M32" authorId="0" shapeId="0" xr:uid="{00000000-0006-0000-2200-000008000000}">
      <text>
        <r>
          <rPr>
            <b/>
            <sz val="8"/>
            <color indexed="81"/>
            <rFont val="Tahoma"/>
            <family val="2"/>
          </rPr>
          <t>Roeun Lim :</t>
        </r>
        <r>
          <rPr>
            <sz val="8"/>
            <color indexed="81"/>
            <rFont val="Tahoma"/>
            <family val="2"/>
          </rPr>
          <t xml:space="preserve">
'Misc assets' on BS
</t>
        </r>
      </text>
    </comment>
    <comment ref="N32" authorId="0" shapeId="0" xr:uid="{00000000-0006-0000-2200-000009000000}">
      <text>
        <r>
          <rPr>
            <b/>
            <sz val="8"/>
            <color indexed="81"/>
            <rFont val="Tahoma"/>
            <family val="2"/>
          </rPr>
          <t>Roeun Lim :</t>
        </r>
        <r>
          <rPr>
            <sz val="8"/>
            <color indexed="81"/>
            <rFont val="Tahoma"/>
            <family val="2"/>
          </rPr>
          <t xml:space="preserve">
'Misc assets' on BS
</t>
        </r>
      </text>
    </comment>
    <comment ref="O32" authorId="0" shapeId="0" xr:uid="{00000000-0006-0000-2200-00000A000000}">
      <text>
        <r>
          <rPr>
            <b/>
            <sz val="8"/>
            <color indexed="81"/>
            <rFont val="Tahoma"/>
            <family val="2"/>
          </rPr>
          <t>Roeun Lim :</t>
        </r>
        <r>
          <rPr>
            <sz val="8"/>
            <color indexed="81"/>
            <rFont val="Tahoma"/>
            <family val="2"/>
          </rPr>
          <t xml:space="preserve">
'Misc assets' on BS
</t>
        </r>
      </text>
    </comment>
    <comment ref="P32" authorId="0" shapeId="0" xr:uid="{00000000-0006-0000-2200-00000B000000}">
      <text>
        <r>
          <rPr>
            <b/>
            <sz val="8"/>
            <color indexed="81"/>
            <rFont val="Tahoma"/>
            <family val="2"/>
          </rPr>
          <t>Roeun Lim :</t>
        </r>
        <r>
          <rPr>
            <sz val="8"/>
            <color indexed="81"/>
            <rFont val="Tahoma"/>
            <family val="2"/>
          </rPr>
          <t xml:space="preserve">
'Misc assets' on BS
</t>
        </r>
      </text>
    </comment>
    <comment ref="Q32" authorId="0" shapeId="0" xr:uid="{00000000-0006-0000-2200-00000C000000}">
      <text>
        <r>
          <rPr>
            <b/>
            <sz val="8"/>
            <color indexed="81"/>
            <rFont val="Tahoma"/>
            <family val="2"/>
          </rPr>
          <t>Roeun Lim :</t>
        </r>
        <r>
          <rPr>
            <sz val="8"/>
            <color indexed="81"/>
            <rFont val="Tahoma"/>
            <family val="2"/>
          </rPr>
          <t xml:space="preserve">
'Misc assets' on BS
</t>
        </r>
      </text>
    </comment>
    <comment ref="R32" authorId="0" shapeId="0" xr:uid="{00000000-0006-0000-2200-00000D000000}">
      <text>
        <r>
          <rPr>
            <b/>
            <sz val="8"/>
            <color indexed="81"/>
            <rFont val="Tahoma"/>
            <family val="2"/>
          </rPr>
          <t>Roeun Lim :</t>
        </r>
        <r>
          <rPr>
            <sz val="8"/>
            <color indexed="81"/>
            <rFont val="Tahoma"/>
            <family val="2"/>
          </rPr>
          <t xml:space="preserve">
'Misc assets' on BS
</t>
        </r>
      </text>
    </comment>
    <comment ref="D71" authorId="1" shapeId="0" xr:uid="{00000000-0006-0000-2200-00000E000000}">
      <text>
        <r>
          <rPr>
            <b/>
            <sz val="8"/>
            <color indexed="81"/>
            <rFont val="Tahoma"/>
            <family val="2"/>
          </rPr>
          <t>Jennifer Lopez:</t>
        </r>
        <r>
          <rPr>
            <sz val="8"/>
            <color indexed="81"/>
            <rFont val="Tahoma"/>
            <family val="2"/>
          </rPr>
          <t xml:space="preserve">
added 05/09</t>
        </r>
      </text>
    </comment>
    <comment ref="F92" authorId="0" shapeId="0" xr:uid="{00000000-0006-0000-2200-00000F000000}">
      <text>
        <r>
          <rPr>
            <b/>
            <sz val="8"/>
            <color indexed="81"/>
            <rFont val="Tahoma"/>
            <family val="2"/>
          </rPr>
          <t>Roeun Lim :</t>
        </r>
        <r>
          <rPr>
            <sz val="8"/>
            <color indexed="81"/>
            <rFont val="Tahoma"/>
            <family val="2"/>
          </rPr>
          <t xml:space="preserve">
Prepayments and other current assets on BS</t>
        </r>
      </text>
    </comment>
    <comment ref="G92" authorId="0" shapeId="0" xr:uid="{00000000-0006-0000-2200-000010000000}">
      <text>
        <r>
          <rPr>
            <b/>
            <sz val="8"/>
            <color indexed="81"/>
            <rFont val="Tahoma"/>
            <family val="2"/>
          </rPr>
          <t>Roeun Lim :</t>
        </r>
        <r>
          <rPr>
            <sz val="8"/>
            <color indexed="81"/>
            <rFont val="Tahoma"/>
            <family val="2"/>
          </rPr>
          <t xml:space="preserve">
Prepayments and other current assets on BS</t>
        </r>
      </text>
    </comment>
    <comment ref="H92" authorId="0" shapeId="0" xr:uid="{00000000-0006-0000-2200-000011000000}">
      <text>
        <r>
          <rPr>
            <b/>
            <sz val="8"/>
            <color indexed="81"/>
            <rFont val="Tahoma"/>
            <family val="2"/>
          </rPr>
          <t>Roeun Lim :</t>
        </r>
        <r>
          <rPr>
            <sz val="8"/>
            <color indexed="81"/>
            <rFont val="Tahoma"/>
            <family val="2"/>
          </rPr>
          <t xml:space="preserve">
Prepayments and other current assets on BS</t>
        </r>
      </text>
    </comment>
    <comment ref="I92" authorId="0" shapeId="0" xr:uid="{00000000-0006-0000-2200-000012000000}">
      <text>
        <r>
          <rPr>
            <b/>
            <sz val="8"/>
            <color indexed="81"/>
            <rFont val="Tahoma"/>
            <family val="2"/>
          </rPr>
          <t>Roeun Lim :</t>
        </r>
        <r>
          <rPr>
            <sz val="8"/>
            <color indexed="81"/>
            <rFont val="Tahoma"/>
            <family val="2"/>
          </rPr>
          <t xml:space="preserve">
Prepayments and other current assets on BS</t>
        </r>
      </text>
    </comment>
    <comment ref="J92" authorId="0" shapeId="0" xr:uid="{00000000-0006-0000-2200-000013000000}">
      <text>
        <r>
          <rPr>
            <b/>
            <sz val="8"/>
            <color indexed="81"/>
            <rFont val="Tahoma"/>
            <family val="2"/>
          </rPr>
          <t>Roeun Lim :</t>
        </r>
        <r>
          <rPr>
            <sz val="8"/>
            <color indexed="81"/>
            <rFont val="Tahoma"/>
            <family val="2"/>
          </rPr>
          <t xml:space="preserve">
Prepayments and other current assets on BS</t>
        </r>
      </text>
    </comment>
    <comment ref="K92" authorId="0" shapeId="0" xr:uid="{00000000-0006-0000-2200-000014000000}">
      <text>
        <r>
          <rPr>
            <b/>
            <sz val="8"/>
            <color indexed="81"/>
            <rFont val="Tahoma"/>
            <family val="2"/>
          </rPr>
          <t>Roeun Lim :</t>
        </r>
        <r>
          <rPr>
            <sz val="8"/>
            <color indexed="81"/>
            <rFont val="Tahoma"/>
            <family val="2"/>
          </rPr>
          <t xml:space="preserve">
Prepayments and other current assets on BS</t>
        </r>
      </text>
    </comment>
    <comment ref="L92" authorId="0" shapeId="0" xr:uid="{00000000-0006-0000-2200-000015000000}">
      <text>
        <r>
          <rPr>
            <b/>
            <sz val="8"/>
            <color indexed="81"/>
            <rFont val="Tahoma"/>
            <family val="2"/>
          </rPr>
          <t>Roeun Lim :</t>
        </r>
        <r>
          <rPr>
            <sz val="8"/>
            <color indexed="81"/>
            <rFont val="Tahoma"/>
            <family val="2"/>
          </rPr>
          <t xml:space="preserve">
Prepayments and other current assets on BS</t>
        </r>
      </text>
    </comment>
    <comment ref="M92" authorId="0" shapeId="0" xr:uid="{00000000-0006-0000-2200-000016000000}">
      <text>
        <r>
          <rPr>
            <b/>
            <sz val="8"/>
            <color indexed="81"/>
            <rFont val="Tahoma"/>
            <family val="2"/>
          </rPr>
          <t>Roeun Lim :</t>
        </r>
        <r>
          <rPr>
            <sz val="8"/>
            <color indexed="81"/>
            <rFont val="Tahoma"/>
            <family val="2"/>
          </rPr>
          <t xml:space="preserve">
Prepayments and other current assets on BS</t>
        </r>
      </text>
    </comment>
    <comment ref="N92" authorId="0" shapeId="0" xr:uid="{00000000-0006-0000-2200-000017000000}">
      <text>
        <r>
          <rPr>
            <b/>
            <sz val="8"/>
            <color indexed="81"/>
            <rFont val="Tahoma"/>
            <family val="2"/>
          </rPr>
          <t>Roeun Lim :</t>
        </r>
        <r>
          <rPr>
            <sz val="8"/>
            <color indexed="81"/>
            <rFont val="Tahoma"/>
            <family val="2"/>
          </rPr>
          <t xml:space="preserve">
Prepayments and other current assets on BS</t>
        </r>
      </text>
    </comment>
    <comment ref="O92" authorId="0" shapeId="0" xr:uid="{00000000-0006-0000-2200-000018000000}">
      <text>
        <r>
          <rPr>
            <b/>
            <sz val="8"/>
            <color indexed="81"/>
            <rFont val="Tahoma"/>
            <family val="2"/>
          </rPr>
          <t>Roeun Lim :</t>
        </r>
        <r>
          <rPr>
            <sz val="8"/>
            <color indexed="81"/>
            <rFont val="Tahoma"/>
            <family val="2"/>
          </rPr>
          <t xml:space="preserve">
Prepayments and other current assets on BS</t>
        </r>
      </text>
    </comment>
    <comment ref="P92" authorId="0" shapeId="0" xr:uid="{00000000-0006-0000-2200-000019000000}">
      <text>
        <r>
          <rPr>
            <b/>
            <sz val="8"/>
            <color indexed="81"/>
            <rFont val="Tahoma"/>
            <family val="2"/>
          </rPr>
          <t>Roeun Lim :</t>
        </r>
        <r>
          <rPr>
            <sz val="8"/>
            <color indexed="81"/>
            <rFont val="Tahoma"/>
            <family val="2"/>
          </rPr>
          <t xml:space="preserve">
Prepayments and other current assets on BS</t>
        </r>
      </text>
    </comment>
    <comment ref="Q92" authorId="0" shapeId="0" xr:uid="{00000000-0006-0000-2200-00001A000000}">
      <text>
        <r>
          <rPr>
            <b/>
            <sz val="8"/>
            <color indexed="81"/>
            <rFont val="Tahoma"/>
            <family val="2"/>
          </rPr>
          <t>Roeun Lim :</t>
        </r>
        <r>
          <rPr>
            <sz val="8"/>
            <color indexed="81"/>
            <rFont val="Tahoma"/>
            <family val="2"/>
          </rPr>
          <t xml:space="preserve">
Prepayments and other current assets on BS</t>
        </r>
      </text>
    </comment>
    <comment ref="R92" authorId="0" shapeId="0" xr:uid="{00000000-0006-0000-2200-00001B000000}">
      <text>
        <r>
          <rPr>
            <b/>
            <sz val="8"/>
            <color indexed="81"/>
            <rFont val="Tahoma"/>
            <family val="2"/>
          </rPr>
          <t>Roeun Lim :</t>
        </r>
        <r>
          <rPr>
            <sz val="8"/>
            <color indexed="81"/>
            <rFont val="Tahoma"/>
            <family val="2"/>
          </rPr>
          <t xml:space="preserve">
Prepayments and other current assets on BS</t>
        </r>
      </text>
    </comment>
    <comment ref="F198" authorId="0" shapeId="0" xr:uid="{00000000-0006-0000-2200-00001C000000}">
      <text>
        <r>
          <rPr>
            <b/>
            <sz val="8"/>
            <color indexed="81"/>
            <rFont val="Tahoma"/>
            <family val="2"/>
          </rPr>
          <t>Roeun Lim :</t>
        </r>
        <r>
          <rPr>
            <sz val="8"/>
            <color indexed="81"/>
            <rFont val="Tahoma"/>
            <family val="2"/>
          </rPr>
          <t xml:space="preserve">
"Other paid in capita"l on BS</t>
        </r>
      </text>
    </comment>
    <comment ref="D258" authorId="1" shapeId="0" xr:uid="{00000000-0006-0000-2200-00001D000000}">
      <text>
        <r>
          <rPr>
            <b/>
            <sz val="8"/>
            <color indexed="81"/>
            <rFont val="Tahoma"/>
            <family val="2"/>
          </rPr>
          <t>Jennifer Lopez:</t>
        </r>
        <r>
          <rPr>
            <sz val="8"/>
            <color indexed="81"/>
            <rFont val="Tahoma"/>
            <family val="2"/>
          </rPr>
          <t xml:space="preserve">
added 05/09</t>
        </r>
      </text>
    </comment>
    <comment ref="K261" authorId="0" shapeId="0" xr:uid="{00000000-0006-0000-2200-00001E000000}">
      <text>
        <r>
          <rPr>
            <b/>
            <sz val="8"/>
            <color indexed="81"/>
            <rFont val="Tahoma"/>
            <family val="2"/>
          </rPr>
          <t>Roeun Lim :</t>
        </r>
        <r>
          <rPr>
            <sz val="8"/>
            <color indexed="81"/>
            <rFont val="Tahoma"/>
            <family val="2"/>
          </rPr>
          <t xml:space="preserve">
"Dividends declared" on BS</t>
        </r>
      </text>
    </comment>
    <comment ref="L261" authorId="0" shapeId="0" xr:uid="{00000000-0006-0000-2200-00001F000000}">
      <text>
        <r>
          <rPr>
            <b/>
            <sz val="8"/>
            <color indexed="81"/>
            <rFont val="Tahoma"/>
            <family val="2"/>
          </rPr>
          <t>Roeun Lim :</t>
        </r>
        <r>
          <rPr>
            <sz val="8"/>
            <color indexed="81"/>
            <rFont val="Tahoma"/>
            <family val="2"/>
          </rPr>
          <t xml:space="preserve">
"Dividends declared" on BS</t>
        </r>
      </text>
    </comment>
    <comment ref="M261" authorId="0" shapeId="0" xr:uid="{00000000-0006-0000-2200-000020000000}">
      <text>
        <r>
          <rPr>
            <b/>
            <sz val="8"/>
            <color indexed="81"/>
            <rFont val="Tahoma"/>
            <family val="2"/>
          </rPr>
          <t>Roeun Lim :</t>
        </r>
        <r>
          <rPr>
            <sz val="8"/>
            <color indexed="81"/>
            <rFont val="Tahoma"/>
            <family val="2"/>
          </rPr>
          <t xml:space="preserve">
"Dividends declared" on BS</t>
        </r>
      </text>
    </comment>
    <comment ref="N261" authorId="0" shapeId="0" xr:uid="{00000000-0006-0000-2200-000021000000}">
      <text>
        <r>
          <rPr>
            <b/>
            <sz val="8"/>
            <color indexed="81"/>
            <rFont val="Tahoma"/>
            <family val="2"/>
          </rPr>
          <t>Roeun Lim :</t>
        </r>
        <r>
          <rPr>
            <sz val="8"/>
            <color indexed="81"/>
            <rFont val="Tahoma"/>
            <family val="2"/>
          </rPr>
          <t xml:space="preserve">
"Dividends declared" on BS</t>
        </r>
      </text>
    </comment>
    <comment ref="O261" authorId="0" shapeId="0" xr:uid="{00000000-0006-0000-2200-000022000000}">
      <text>
        <r>
          <rPr>
            <b/>
            <sz val="8"/>
            <color indexed="81"/>
            <rFont val="Tahoma"/>
            <family val="2"/>
          </rPr>
          <t>Roeun Lim :</t>
        </r>
        <r>
          <rPr>
            <sz val="8"/>
            <color indexed="81"/>
            <rFont val="Tahoma"/>
            <family val="2"/>
          </rPr>
          <t xml:space="preserve">
"Dividends declared" on BS</t>
        </r>
      </text>
    </comment>
    <comment ref="P261" authorId="0" shapeId="0" xr:uid="{00000000-0006-0000-2200-000023000000}">
      <text>
        <r>
          <rPr>
            <b/>
            <sz val="8"/>
            <color indexed="81"/>
            <rFont val="Tahoma"/>
            <family val="2"/>
          </rPr>
          <t>Roeun Lim :</t>
        </r>
        <r>
          <rPr>
            <sz val="8"/>
            <color indexed="81"/>
            <rFont val="Tahoma"/>
            <family val="2"/>
          </rPr>
          <t xml:space="preserve">
"Dividends declared" on BS</t>
        </r>
      </text>
    </comment>
    <comment ref="Q261" authorId="0" shapeId="0" xr:uid="{00000000-0006-0000-2200-000024000000}">
      <text>
        <r>
          <rPr>
            <b/>
            <sz val="8"/>
            <color indexed="81"/>
            <rFont val="Tahoma"/>
            <family val="2"/>
          </rPr>
          <t>Roeun Lim :</t>
        </r>
        <r>
          <rPr>
            <sz val="8"/>
            <color indexed="81"/>
            <rFont val="Tahoma"/>
            <family val="2"/>
          </rPr>
          <t xml:space="preserve">
"Dividends declared" on BS</t>
        </r>
      </text>
    </comment>
    <comment ref="R261" authorId="0" shapeId="0" xr:uid="{00000000-0006-0000-2200-000025000000}">
      <text>
        <r>
          <rPr>
            <b/>
            <sz val="8"/>
            <color indexed="81"/>
            <rFont val="Tahoma"/>
            <family val="2"/>
          </rPr>
          <t>Roeun Lim :</t>
        </r>
        <r>
          <rPr>
            <sz val="8"/>
            <color indexed="81"/>
            <rFont val="Tahoma"/>
            <family val="2"/>
          </rPr>
          <t xml:space="preserve">
"Dividends declared" on BS</t>
        </r>
      </text>
    </comment>
    <comment ref="J262" authorId="0" shapeId="0" xr:uid="{00000000-0006-0000-2200-000026000000}">
      <text>
        <r>
          <rPr>
            <b/>
            <sz val="8"/>
            <color indexed="81"/>
            <rFont val="Tahoma"/>
            <family val="2"/>
          </rPr>
          <t>Roeun Lim :</t>
        </r>
        <r>
          <rPr>
            <sz val="8"/>
            <color indexed="81"/>
            <rFont val="Tahoma"/>
            <family val="2"/>
          </rPr>
          <t xml:space="preserve">
"Dividends declared" on BS</t>
        </r>
      </text>
    </comment>
    <comment ref="K262" authorId="0" shapeId="0" xr:uid="{00000000-0006-0000-2200-000027000000}">
      <text>
        <r>
          <rPr>
            <b/>
            <sz val="8"/>
            <color indexed="81"/>
            <rFont val="Tahoma"/>
            <family val="2"/>
          </rPr>
          <t>Roeun Lim :</t>
        </r>
        <r>
          <rPr>
            <sz val="8"/>
            <color indexed="81"/>
            <rFont val="Tahoma"/>
            <family val="2"/>
          </rPr>
          <t xml:space="preserve">
"Consumer Deposit" on BS</t>
        </r>
      </text>
    </comment>
    <comment ref="L262" authorId="0" shapeId="0" xr:uid="{00000000-0006-0000-2200-000028000000}">
      <text>
        <r>
          <rPr>
            <b/>
            <sz val="8"/>
            <color indexed="81"/>
            <rFont val="Tahoma"/>
            <family val="2"/>
          </rPr>
          <t>Roeun Lim :</t>
        </r>
        <r>
          <rPr>
            <sz val="8"/>
            <color indexed="81"/>
            <rFont val="Tahoma"/>
            <family val="2"/>
          </rPr>
          <t xml:space="preserve">
"Consumer Deposit" on BS</t>
        </r>
      </text>
    </comment>
    <comment ref="M262" authorId="0" shapeId="0" xr:uid="{00000000-0006-0000-2200-000029000000}">
      <text>
        <r>
          <rPr>
            <b/>
            <sz val="8"/>
            <color indexed="81"/>
            <rFont val="Tahoma"/>
            <family val="2"/>
          </rPr>
          <t>Roeun Lim :</t>
        </r>
        <r>
          <rPr>
            <sz val="8"/>
            <color indexed="81"/>
            <rFont val="Tahoma"/>
            <family val="2"/>
          </rPr>
          <t xml:space="preserve">
"Consumer Deposit" on BS</t>
        </r>
      </text>
    </comment>
    <comment ref="N262" authorId="0" shapeId="0" xr:uid="{00000000-0006-0000-2200-00002A000000}">
      <text>
        <r>
          <rPr>
            <b/>
            <sz val="8"/>
            <color indexed="81"/>
            <rFont val="Tahoma"/>
            <family val="2"/>
          </rPr>
          <t>Roeun Lim :</t>
        </r>
        <r>
          <rPr>
            <sz val="8"/>
            <color indexed="81"/>
            <rFont val="Tahoma"/>
            <family val="2"/>
          </rPr>
          <t xml:space="preserve">
"Consumer Deposit" on BS</t>
        </r>
      </text>
    </comment>
    <comment ref="O262" authorId="0" shapeId="0" xr:uid="{00000000-0006-0000-2200-00002B000000}">
      <text>
        <r>
          <rPr>
            <b/>
            <sz val="8"/>
            <color indexed="81"/>
            <rFont val="Tahoma"/>
            <family val="2"/>
          </rPr>
          <t>Roeun Lim :</t>
        </r>
        <r>
          <rPr>
            <sz val="8"/>
            <color indexed="81"/>
            <rFont val="Tahoma"/>
            <family val="2"/>
          </rPr>
          <t xml:space="preserve">
"Consumer Deposit" on BS</t>
        </r>
      </text>
    </comment>
    <comment ref="P262" authorId="0" shapeId="0" xr:uid="{00000000-0006-0000-2200-00002C000000}">
      <text>
        <r>
          <rPr>
            <b/>
            <sz val="8"/>
            <color indexed="81"/>
            <rFont val="Tahoma"/>
            <family val="2"/>
          </rPr>
          <t>Roeun Lim :</t>
        </r>
        <r>
          <rPr>
            <sz val="8"/>
            <color indexed="81"/>
            <rFont val="Tahoma"/>
            <family val="2"/>
          </rPr>
          <t xml:space="preserve">
"Consumer Deposit" on BS</t>
        </r>
      </text>
    </comment>
    <comment ref="Q262" authorId="0" shapeId="0" xr:uid="{00000000-0006-0000-2200-00002D000000}">
      <text>
        <r>
          <rPr>
            <b/>
            <sz val="8"/>
            <color indexed="81"/>
            <rFont val="Tahoma"/>
            <family val="2"/>
          </rPr>
          <t>Roeun Lim :</t>
        </r>
        <r>
          <rPr>
            <sz val="8"/>
            <color indexed="81"/>
            <rFont val="Tahoma"/>
            <family val="2"/>
          </rPr>
          <t xml:space="preserve">
"Consumer Deposit" on BS</t>
        </r>
      </text>
    </comment>
    <comment ref="R262" authorId="0" shapeId="0" xr:uid="{00000000-0006-0000-2200-00002E000000}">
      <text>
        <r>
          <rPr>
            <b/>
            <sz val="8"/>
            <color indexed="81"/>
            <rFont val="Tahoma"/>
            <family val="2"/>
          </rPr>
          <t>Roeun Lim :</t>
        </r>
        <r>
          <rPr>
            <sz val="8"/>
            <color indexed="81"/>
            <rFont val="Tahoma"/>
            <family val="2"/>
          </rPr>
          <t xml:space="preserve">
"Consumer Deposit" on BS</t>
        </r>
      </text>
    </comment>
    <comment ref="G263" authorId="0" shapeId="0" xr:uid="{00000000-0006-0000-2200-00002F000000}">
      <text>
        <r>
          <rPr>
            <b/>
            <sz val="8"/>
            <color indexed="81"/>
            <rFont val="Tahoma"/>
            <family val="2"/>
          </rPr>
          <t>Roeun Lim :</t>
        </r>
        <r>
          <rPr>
            <sz val="8"/>
            <color indexed="81"/>
            <rFont val="Tahoma"/>
            <family val="2"/>
          </rPr>
          <t xml:space="preserve">
"Dividends declared" on BS</t>
        </r>
      </text>
    </comment>
    <comment ref="H263" authorId="0" shapeId="0" xr:uid="{00000000-0006-0000-2200-000030000000}">
      <text>
        <r>
          <rPr>
            <b/>
            <sz val="8"/>
            <color indexed="81"/>
            <rFont val="Tahoma"/>
            <family val="2"/>
          </rPr>
          <t>Roeun Lim :</t>
        </r>
        <r>
          <rPr>
            <sz val="8"/>
            <color indexed="81"/>
            <rFont val="Tahoma"/>
            <family val="2"/>
          </rPr>
          <t xml:space="preserve">
"Dividends declared" on BS</t>
        </r>
      </text>
    </comment>
    <comment ref="I263" authorId="0" shapeId="0" xr:uid="{00000000-0006-0000-2200-000031000000}">
      <text>
        <r>
          <rPr>
            <b/>
            <sz val="8"/>
            <color indexed="81"/>
            <rFont val="Tahoma"/>
            <family val="2"/>
          </rPr>
          <t>Roeun Lim :</t>
        </r>
        <r>
          <rPr>
            <sz val="8"/>
            <color indexed="81"/>
            <rFont val="Tahoma"/>
            <family val="2"/>
          </rPr>
          <t xml:space="preserve">
"Dividends declared" on BS</t>
        </r>
      </text>
    </comment>
    <comment ref="J263" authorId="0" shapeId="0" xr:uid="{00000000-0006-0000-2200-000032000000}">
      <text>
        <r>
          <rPr>
            <b/>
            <sz val="8"/>
            <color indexed="81"/>
            <rFont val="Tahoma"/>
            <family val="2"/>
          </rPr>
          <t>Roeun Lim :</t>
        </r>
        <r>
          <rPr>
            <sz val="8"/>
            <color indexed="81"/>
            <rFont val="Tahoma"/>
            <family val="2"/>
          </rPr>
          <t xml:space="preserve">
"Consumer Deposit" on BS</t>
        </r>
      </text>
    </comment>
    <comment ref="F265" authorId="0" shapeId="0" xr:uid="{00000000-0006-0000-2200-000033000000}">
      <text>
        <r>
          <rPr>
            <b/>
            <sz val="8"/>
            <color indexed="81"/>
            <rFont val="Tahoma"/>
            <family val="2"/>
          </rPr>
          <t>Roeun Lim :</t>
        </r>
        <r>
          <rPr>
            <sz val="8"/>
            <color indexed="81"/>
            <rFont val="Tahoma"/>
            <family val="2"/>
          </rPr>
          <t xml:space="preserve">
"Dividends declared" on BS</t>
        </r>
      </text>
    </comment>
    <comment ref="F266" authorId="0" shapeId="0" xr:uid="{00000000-0006-0000-2200-000034000000}">
      <text>
        <r>
          <rPr>
            <b/>
            <sz val="8"/>
            <color indexed="81"/>
            <rFont val="Tahoma"/>
            <family val="2"/>
          </rPr>
          <t>Roeun Lim :</t>
        </r>
        <r>
          <rPr>
            <sz val="8"/>
            <color indexed="81"/>
            <rFont val="Tahoma"/>
            <family val="2"/>
          </rPr>
          <t xml:space="preserve">
"Consumer Deposit" on BS</t>
        </r>
      </text>
    </comment>
    <comment ref="G266" authorId="0" shapeId="0" xr:uid="{00000000-0006-0000-2200-000035000000}">
      <text>
        <r>
          <rPr>
            <b/>
            <sz val="8"/>
            <color indexed="81"/>
            <rFont val="Tahoma"/>
            <family val="2"/>
          </rPr>
          <t>Roeun Lim :</t>
        </r>
        <r>
          <rPr>
            <sz val="8"/>
            <color indexed="81"/>
            <rFont val="Tahoma"/>
            <family val="2"/>
          </rPr>
          <t xml:space="preserve">
"Consumer Deposit" on BS</t>
        </r>
      </text>
    </comment>
    <comment ref="H266" authorId="0" shapeId="0" xr:uid="{00000000-0006-0000-2200-000036000000}">
      <text>
        <r>
          <rPr>
            <b/>
            <sz val="8"/>
            <color indexed="81"/>
            <rFont val="Tahoma"/>
            <family val="2"/>
          </rPr>
          <t>Roeun Lim :</t>
        </r>
        <r>
          <rPr>
            <sz val="8"/>
            <color indexed="81"/>
            <rFont val="Tahoma"/>
            <family val="2"/>
          </rPr>
          <t xml:space="preserve">
"Consumer Deposit" on BS</t>
        </r>
      </text>
    </comment>
    <comment ref="I266" authorId="0" shapeId="0" xr:uid="{00000000-0006-0000-2200-000037000000}">
      <text>
        <r>
          <rPr>
            <b/>
            <sz val="8"/>
            <color indexed="81"/>
            <rFont val="Tahoma"/>
            <family val="2"/>
          </rPr>
          <t>Roeun Lim :</t>
        </r>
        <r>
          <rPr>
            <sz val="8"/>
            <color indexed="81"/>
            <rFont val="Tahoma"/>
            <family val="2"/>
          </rPr>
          <t xml:space="preserve">
"Consumer Deposit" on BS</t>
        </r>
      </text>
    </comment>
    <comment ref="J266" authorId="0" shapeId="0" xr:uid="{00000000-0006-0000-2200-000038000000}">
      <text>
        <r>
          <rPr>
            <b/>
            <sz val="8"/>
            <color indexed="81"/>
            <rFont val="Tahoma"/>
            <family val="2"/>
          </rPr>
          <t>Roeun Lim :</t>
        </r>
        <r>
          <rPr>
            <sz val="8"/>
            <color indexed="81"/>
            <rFont val="Tahoma"/>
            <family val="2"/>
          </rPr>
          <t xml:space="preserve">
"Consumer Deposit" on BS</t>
        </r>
      </text>
    </comment>
    <comment ref="K266" authorId="0" shapeId="0" xr:uid="{00000000-0006-0000-2200-000039000000}">
      <text>
        <r>
          <rPr>
            <b/>
            <sz val="8"/>
            <color indexed="81"/>
            <rFont val="Tahoma"/>
            <family val="2"/>
          </rPr>
          <t>Roeun Lim :</t>
        </r>
        <r>
          <rPr>
            <sz val="8"/>
            <color indexed="81"/>
            <rFont val="Tahoma"/>
            <family val="2"/>
          </rPr>
          <t xml:space="preserve">
"Consumer Deposit" on BS</t>
        </r>
      </text>
    </comment>
    <comment ref="L266" authorId="0" shapeId="0" xr:uid="{00000000-0006-0000-2200-00003A000000}">
      <text>
        <r>
          <rPr>
            <b/>
            <sz val="8"/>
            <color indexed="81"/>
            <rFont val="Tahoma"/>
            <family val="2"/>
          </rPr>
          <t>Roeun Lim :</t>
        </r>
        <r>
          <rPr>
            <sz val="8"/>
            <color indexed="81"/>
            <rFont val="Tahoma"/>
            <family val="2"/>
          </rPr>
          <t xml:space="preserve">
"Consumer Deposit" on BS</t>
        </r>
      </text>
    </comment>
    <comment ref="M266" authorId="0" shapeId="0" xr:uid="{00000000-0006-0000-2200-00003B000000}">
      <text>
        <r>
          <rPr>
            <b/>
            <sz val="8"/>
            <color indexed="81"/>
            <rFont val="Tahoma"/>
            <family val="2"/>
          </rPr>
          <t>Roeun Lim :</t>
        </r>
        <r>
          <rPr>
            <sz val="8"/>
            <color indexed="81"/>
            <rFont val="Tahoma"/>
            <family val="2"/>
          </rPr>
          <t xml:space="preserve">
"Consumer Deposit" on BS</t>
        </r>
      </text>
    </comment>
    <comment ref="N266" authorId="0" shapeId="0" xr:uid="{00000000-0006-0000-2200-00003C000000}">
      <text>
        <r>
          <rPr>
            <b/>
            <sz val="8"/>
            <color indexed="81"/>
            <rFont val="Tahoma"/>
            <family val="2"/>
          </rPr>
          <t>Roeun Lim :</t>
        </r>
        <r>
          <rPr>
            <sz val="8"/>
            <color indexed="81"/>
            <rFont val="Tahoma"/>
            <family val="2"/>
          </rPr>
          <t xml:space="preserve">
"Consumer Deposit" on BS</t>
        </r>
      </text>
    </comment>
    <comment ref="O266" authorId="0" shapeId="0" xr:uid="{00000000-0006-0000-2200-00003D000000}">
      <text>
        <r>
          <rPr>
            <b/>
            <sz val="8"/>
            <color indexed="81"/>
            <rFont val="Tahoma"/>
            <family val="2"/>
          </rPr>
          <t>Roeun Lim :</t>
        </r>
        <r>
          <rPr>
            <sz val="8"/>
            <color indexed="81"/>
            <rFont val="Tahoma"/>
            <family val="2"/>
          </rPr>
          <t xml:space="preserve">
"Consumer Deposit" on BS</t>
        </r>
      </text>
    </comment>
    <comment ref="P266" authorId="0" shapeId="0" xr:uid="{00000000-0006-0000-2200-00003E000000}">
      <text>
        <r>
          <rPr>
            <b/>
            <sz val="8"/>
            <color indexed="81"/>
            <rFont val="Tahoma"/>
            <family val="2"/>
          </rPr>
          <t>Roeun Lim :</t>
        </r>
        <r>
          <rPr>
            <sz val="8"/>
            <color indexed="81"/>
            <rFont val="Tahoma"/>
            <family val="2"/>
          </rPr>
          <t xml:space="preserve">
"Consumer Deposit" on BS</t>
        </r>
      </text>
    </comment>
    <comment ref="Q266" authorId="0" shapeId="0" xr:uid="{00000000-0006-0000-2200-00003F000000}">
      <text>
        <r>
          <rPr>
            <b/>
            <sz val="8"/>
            <color indexed="81"/>
            <rFont val="Tahoma"/>
            <family val="2"/>
          </rPr>
          <t>Roeun Lim :</t>
        </r>
        <r>
          <rPr>
            <sz val="8"/>
            <color indexed="81"/>
            <rFont val="Tahoma"/>
            <family val="2"/>
          </rPr>
          <t xml:space="preserve">
"Consumer Deposit" on BS</t>
        </r>
      </text>
    </comment>
    <comment ref="R266" authorId="0" shapeId="0" xr:uid="{00000000-0006-0000-2200-000040000000}">
      <text>
        <r>
          <rPr>
            <b/>
            <sz val="8"/>
            <color indexed="81"/>
            <rFont val="Tahoma"/>
            <family val="2"/>
          </rPr>
          <t>Roeun Lim :</t>
        </r>
        <r>
          <rPr>
            <sz val="8"/>
            <color indexed="81"/>
            <rFont val="Tahoma"/>
            <family val="2"/>
          </rPr>
          <t xml:space="preserve">
"Consumer Deposit" on BS</t>
        </r>
      </text>
    </comment>
    <comment ref="S266" authorId="0" shapeId="0" xr:uid="{00000000-0006-0000-2200-000041000000}">
      <text>
        <r>
          <rPr>
            <b/>
            <sz val="8"/>
            <color indexed="81"/>
            <rFont val="Tahoma"/>
            <family val="2"/>
          </rPr>
          <t>Roeun Lim :</t>
        </r>
        <r>
          <rPr>
            <sz val="8"/>
            <color indexed="81"/>
            <rFont val="Tahoma"/>
            <family val="2"/>
          </rPr>
          <t xml:space="preserve">
"Consumer Deposit" on BS</t>
        </r>
      </text>
    </comment>
    <comment ref="K275" authorId="0" shapeId="0" xr:uid="{00000000-0006-0000-2200-000042000000}">
      <text>
        <r>
          <rPr>
            <b/>
            <sz val="8"/>
            <color indexed="81"/>
            <rFont val="Tahoma"/>
            <family val="2"/>
          </rPr>
          <t>Roeun Lim :</t>
        </r>
        <r>
          <rPr>
            <sz val="8"/>
            <color indexed="81"/>
            <rFont val="Tahoma"/>
            <family val="2"/>
          </rPr>
          <t xml:space="preserve">
"Natural gas cost recoverable thru rate adjustment" on BS
</t>
        </r>
      </text>
    </comment>
    <comment ref="L275" authorId="0" shapeId="0" xr:uid="{00000000-0006-0000-2200-000043000000}">
      <text>
        <r>
          <rPr>
            <b/>
            <sz val="8"/>
            <color indexed="81"/>
            <rFont val="Tahoma"/>
            <family val="2"/>
          </rPr>
          <t>Roeun Lim :</t>
        </r>
        <r>
          <rPr>
            <sz val="8"/>
            <color indexed="81"/>
            <rFont val="Tahoma"/>
            <family val="2"/>
          </rPr>
          <t xml:space="preserve">
"Natural gas cost recoverable thru rate adjustment" on BS
</t>
        </r>
      </text>
    </comment>
    <comment ref="M275" authorId="0" shapeId="0" xr:uid="{00000000-0006-0000-2200-000044000000}">
      <text>
        <r>
          <rPr>
            <b/>
            <sz val="8"/>
            <color indexed="81"/>
            <rFont val="Tahoma"/>
            <family val="2"/>
          </rPr>
          <t>Roeun Lim :</t>
        </r>
        <r>
          <rPr>
            <sz val="8"/>
            <color indexed="81"/>
            <rFont val="Tahoma"/>
            <family val="2"/>
          </rPr>
          <t xml:space="preserve">
"Natural gas cost recoverable thru rate adjustment" on BS
</t>
        </r>
      </text>
    </comment>
    <comment ref="N275" authorId="0" shapeId="0" xr:uid="{00000000-0006-0000-2200-000045000000}">
      <text>
        <r>
          <rPr>
            <b/>
            <sz val="8"/>
            <color indexed="81"/>
            <rFont val="Tahoma"/>
            <family val="2"/>
          </rPr>
          <t>Roeun Lim :</t>
        </r>
        <r>
          <rPr>
            <sz val="8"/>
            <color indexed="81"/>
            <rFont val="Tahoma"/>
            <family val="2"/>
          </rPr>
          <t xml:space="preserve">
"Natural gas cost recoverable thru rate adjustment" on BS
</t>
        </r>
      </text>
    </comment>
    <comment ref="O275" authorId="0" shapeId="0" xr:uid="{00000000-0006-0000-2200-000046000000}">
      <text>
        <r>
          <rPr>
            <b/>
            <sz val="8"/>
            <color indexed="81"/>
            <rFont val="Tahoma"/>
            <family val="2"/>
          </rPr>
          <t>Roeun Lim :</t>
        </r>
        <r>
          <rPr>
            <sz val="8"/>
            <color indexed="81"/>
            <rFont val="Tahoma"/>
            <family val="2"/>
          </rPr>
          <t xml:space="preserve">
"Natural gas cost recoverable thru rate adjustment" on BS
</t>
        </r>
      </text>
    </comment>
    <comment ref="P275" authorId="0" shapeId="0" xr:uid="{00000000-0006-0000-2200-000047000000}">
      <text>
        <r>
          <rPr>
            <b/>
            <sz val="8"/>
            <color indexed="81"/>
            <rFont val="Tahoma"/>
            <family val="2"/>
          </rPr>
          <t>Roeun Lim :</t>
        </r>
        <r>
          <rPr>
            <sz val="8"/>
            <color indexed="81"/>
            <rFont val="Tahoma"/>
            <family val="2"/>
          </rPr>
          <t xml:space="preserve">
"Natural gas cost recoverable thru rate adjustment" on BS
</t>
        </r>
      </text>
    </comment>
    <comment ref="Q275" authorId="0" shapeId="0" xr:uid="{00000000-0006-0000-2200-000048000000}">
      <text>
        <r>
          <rPr>
            <b/>
            <sz val="8"/>
            <color indexed="81"/>
            <rFont val="Tahoma"/>
            <family val="2"/>
          </rPr>
          <t>Roeun Lim :</t>
        </r>
        <r>
          <rPr>
            <sz val="8"/>
            <color indexed="81"/>
            <rFont val="Tahoma"/>
            <family val="2"/>
          </rPr>
          <t xml:space="preserve">
"Natural gas cost recoverable thru rate adjustment" on BS
</t>
        </r>
      </text>
    </comment>
    <comment ref="R275" authorId="0" shapeId="0" xr:uid="{00000000-0006-0000-2200-000049000000}">
      <text>
        <r>
          <rPr>
            <b/>
            <sz val="8"/>
            <color indexed="81"/>
            <rFont val="Tahoma"/>
            <family val="2"/>
          </rPr>
          <t>Roeun Lim :</t>
        </r>
        <r>
          <rPr>
            <sz val="8"/>
            <color indexed="81"/>
            <rFont val="Tahoma"/>
            <family val="2"/>
          </rPr>
          <t xml:space="preserve">
"Natural gas cost recoverable thru rate adjustment" on BS
</t>
        </r>
      </text>
    </comment>
    <comment ref="J276" authorId="0" shapeId="0" xr:uid="{00000000-0006-0000-2200-00004A000000}">
      <text>
        <r>
          <rPr>
            <b/>
            <sz val="8"/>
            <color indexed="81"/>
            <rFont val="Tahoma"/>
            <family val="2"/>
          </rPr>
          <t>Roeun Lim :</t>
        </r>
        <r>
          <rPr>
            <sz val="8"/>
            <color indexed="81"/>
            <rFont val="Tahoma"/>
            <family val="2"/>
          </rPr>
          <t xml:space="preserve">
"Natural gas cost recoverable thru rate adjustment" on BS
</t>
        </r>
      </text>
    </comment>
    <comment ref="G277" authorId="0" shapeId="0" xr:uid="{00000000-0006-0000-2200-00004B000000}">
      <text>
        <r>
          <rPr>
            <b/>
            <sz val="8"/>
            <color indexed="81"/>
            <rFont val="Tahoma"/>
            <family val="2"/>
          </rPr>
          <t>Roeun Lim :</t>
        </r>
        <r>
          <rPr>
            <sz val="8"/>
            <color indexed="81"/>
            <rFont val="Tahoma"/>
            <family val="2"/>
          </rPr>
          <t xml:space="preserve">
"Natural gas cost recoverable thru rate adjustment" on BS
</t>
        </r>
      </text>
    </comment>
    <comment ref="H277" authorId="0" shapeId="0" xr:uid="{00000000-0006-0000-2200-00004C000000}">
      <text>
        <r>
          <rPr>
            <b/>
            <sz val="8"/>
            <color indexed="81"/>
            <rFont val="Tahoma"/>
            <family val="2"/>
          </rPr>
          <t>Roeun Lim :</t>
        </r>
        <r>
          <rPr>
            <sz val="8"/>
            <color indexed="81"/>
            <rFont val="Tahoma"/>
            <family val="2"/>
          </rPr>
          <t xml:space="preserve">
"Natural gas cost recoverable thru rate adjustment" on BS
</t>
        </r>
      </text>
    </comment>
    <comment ref="I277" authorId="0" shapeId="0" xr:uid="{00000000-0006-0000-2200-00004D000000}">
      <text>
        <r>
          <rPr>
            <b/>
            <sz val="8"/>
            <color indexed="81"/>
            <rFont val="Tahoma"/>
            <family val="2"/>
          </rPr>
          <t>Roeun Lim :</t>
        </r>
        <r>
          <rPr>
            <sz val="8"/>
            <color indexed="81"/>
            <rFont val="Tahoma"/>
            <family val="2"/>
          </rPr>
          <t xml:space="preserve">
"Natural gas cost recoverable thru rate adjustment" on BS
</t>
        </r>
      </text>
    </comment>
    <comment ref="F279" authorId="0" shapeId="0" xr:uid="{00000000-0006-0000-2200-00004E000000}">
      <text>
        <r>
          <rPr>
            <b/>
            <sz val="8"/>
            <color indexed="81"/>
            <rFont val="Tahoma"/>
            <family val="2"/>
          </rPr>
          <t>Roeun Lim :</t>
        </r>
        <r>
          <rPr>
            <sz val="8"/>
            <color indexed="81"/>
            <rFont val="Tahoma"/>
            <family val="2"/>
          </rPr>
          <t xml:space="preserve">
"Natural gas cost recoverable thru rate adjustment" on BS
</t>
        </r>
      </text>
    </comment>
  </commentList>
</comments>
</file>

<file path=xl/sharedStrings.xml><?xml version="1.0" encoding="utf-8"?>
<sst xmlns="http://schemas.openxmlformats.org/spreadsheetml/2006/main" count="3943" uniqueCount="2168">
  <si>
    <t>Results Per</t>
  </si>
  <si>
    <t>Adjustments</t>
  </si>
  <si>
    <t>Adjusted</t>
  </si>
  <si>
    <t>Company</t>
  </si>
  <si>
    <t>Filing</t>
  </si>
  <si>
    <t>(1)</t>
  </si>
  <si>
    <t>SUMMARY SHEET</t>
  </si>
  <si>
    <t>(2)</t>
  </si>
  <si>
    <t>(3)</t>
  </si>
  <si>
    <t>(4)</t>
  </si>
  <si>
    <t>(5)</t>
  </si>
  <si>
    <t>Operating Revenues</t>
  </si>
  <si>
    <t>Operating Expenses</t>
  </si>
  <si>
    <t>Distribution</t>
  </si>
  <si>
    <t>Customer Service</t>
  </si>
  <si>
    <t>Sales</t>
  </si>
  <si>
    <t>Administrative and General</t>
  </si>
  <si>
    <t>Net Operating Revenues</t>
  </si>
  <si>
    <t xml:space="preserve">  Customer Adv. For Construction</t>
  </si>
  <si>
    <t>Rate of Return</t>
  </si>
  <si>
    <t xml:space="preserve">REVENUE SENSITIVE COSTS </t>
  </si>
  <si>
    <t xml:space="preserve">  Revenues</t>
  </si>
  <si>
    <t>Operating Revenue Deductions</t>
  </si>
  <si>
    <t>Uncollectible Accounts</t>
  </si>
  <si>
    <t>Interest expense</t>
  </si>
  <si>
    <t>State Taxable Income</t>
  </si>
  <si>
    <t>State Income Tax</t>
  </si>
  <si>
    <t>Federal Taxable Income</t>
  </si>
  <si>
    <t>Federal Income Tax @ 35%</t>
  </si>
  <si>
    <t>Total Revenue Sensitive Costs</t>
  </si>
  <si>
    <t xml:space="preserve">Net-to-Gross Factor </t>
  </si>
  <si>
    <t>Natural Gas Sales</t>
  </si>
  <si>
    <t>Gas Transportation Revenue</t>
  </si>
  <si>
    <t>Other Operating Revenues</t>
  </si>
  <si>
    <t>Revenue Taxes</t>
  </si>
  <si>
    <t>Production</t>
  </si>
  <si>
    <t>Customer Accounts</t>
  </si>
  <si>
    <t>Depreciation &amp; Amortization</t>
  </si>
  <si>
    <t>Regulatory Debits</t>
  </si>
  <si>
    <t>Taxes Other Than Income</t>
  </si>
  <si>
    <t>State &amp; Federal Income Taxes</t>
  </si>
  <si>
    <t xml:space="preserve">     Total Operating Expenses </t>
  </si>
  <si>
    <t>Rate Base</t>
  </si>
  <si>
    <t>TOTAL RATE BASE</t>
  </si>
  <si>
    <t xml:space="preserve">  Total Plant in Service</t>
  </si>
  <si>
    <t xml:space="preserve">  Total Accumulated Depreciation</t>
  </si>
  <si>
    <t xml:space="preserve">  Deferred Accumulated Income Taxes</t>
  </si>
  <si>
    <t xml:space="preserve">  Working Capital Allowance</t>
  </si>
  <si>
    <t xml:space="preserve">      </t>
  </si>
  <si>
    <t>COST OF CAPITAL - Company</t>
  </si>
  <si>
    <t xml:space="preserve"> % of CAPITAL</t>
  </si>
  <si>
    <t>COST</t>
  </si>
  <si>
    <t>WEIGHTED</t>
  </si>
  <si>
    <t xml:space="preserve">Long Term Debt     </t>
  </si>
  <si>
    <t xml:space="preserve">Preferred Stock      </t>
  </si>
  <si>
    <t xml:space="preserve">Common Equity     </t>
  </si>
  <si>
    <t xml:space="preserve">     Total          </t>
  </si>
  <si>
    <t xml:space="preserve"> </t>
  </si>
  <si>
    <t>Advertising</t>
  </si>
  <si>
    <t>Total</t>
  </si>
  <si>
    <t xml:space="preserve">  Revenue Requirement Effect</t>
  </si>
  <si>
    <t>Cascade Natural Gas Corporation</t>
  </si>
  <si>
    <t>Promotional</t>
  </si>
  <si>
    <t>Adjustment</t>
  </si>
  <si>
    <t xml:space="preserve">Interest </t>
  </si>
  <si>
    <t>Coordination</t>
  </si>
  <si>
    <t>Additions</t>
  </si>
  <si>
    <t>Rate Case</t>
  </si>
  <si>
    <t>Costs</t>
  </si>
  <si>
    <t>Total Income Taxes</t>
  </si>
  <si>
    <t>Test Year</t>
  </si>
  <si>
    <t xml:space="preserve">Adjusted </t>
  </si>
  <si>
    <t>Requested</t>
  </si>
  <si>
    <t>Increase</t>
  </si>
  <si>
    <t>Adjusted Rate Base</t>
  </si>
  <si>
    <t>Required Return (ln 1 x ln 2)</t>
  </si>
  <si>
    <t>Adjusted Net Income</t>
  </si>
  <si>
    <t>Conversion Factor</t>
  </si>
  <si>
    <t>Revenue Increase Required (ln 5 / ln 6)</t>
  </si>
  <si>
    <t>Required Net Income Increase (ln 3 - ln 4)</t>
  </si>
  <si>
    <t>Summary</t>
  </si>
  <si>
    <t>of</t>
  </si>
  <si>
    <t>After Proposed</t>
  </si>
  <si>
    <t>Revenues</t>
  </si>
  <si>
    <t>PROMOTIONAL ADVERTISING EXPENSE ADJUSTMENT</t>
  </si>
  <si>
    <t>Account</t>
  </si>
  <si>
    <t>OR</t>
  </si>
  <si>
    <t>Interest Coordination Adjustment</t>
  </si>
  <si>
    <t>427.0</t>
  </si>
  <si>
    <t>428.0</t>
  </si>
  <si>
    <t>Amort. of Debt Discount and Exp.</t>
  </si>
  <si>
    <t>428.1</t>
  </si>
  <si>
    <t>Amort. of Loss on Reacquired Debt</t>
  </si>
  <si>
    <t xml:space="preserve">Rate Base </t>
  </si>
  <si>
    <t>Avg Cost of</t>
  </si>
  <si>
    <t>Test period</t>
  </si>
  <si>
    <t>State and</t>
  </si>
  <si>
    <t>Debt</t>
  </si>
  <si>
    <t>Subtotal</t>
  </si>
  <si>
    <t>Interest Expense</t>
  </si>
  <si>
    <t>F.I.T.</t>
  </si>
  <si>
    <t>Total Adjust</t>
  </si>
  <si>
    <t>Combo-State &amp; Federal Income Tax</t>
  </si>
  <si>
    <t xml:space="preserve">  State</t>
  </si>
  <si>
    <t xml:space="preserve">  Federal </t>
  </si>
  <si>
    <t>State and Federal Effective Tax Rate</t>
  </si>
  <si>
    <t>Deferred Tax</t>
  </si>
  <si>
    <t>Black &amp; Veatch</t>
  </si>
  <si>
    <t>McDowell Rackner</t>
  </si>
  <si>
    <t xml:space="preserve">Rate Case Costs </t>
  </si>
  <si>
    <t xml:space="preserve">   </t>
  </si>
  <si>
    <t>Total Wages</t>
  </si>
  <si>
    <t>WA</t>
  </si>
  <si>
    <t>Services</t>
  </si>
  <si>
    <t>Wages</t>
  </si>
  <si>
    <t>Test Year Adjusted Revenue</t>
  </si>
  <si>
    <t>(a)</t>
  </si>
  <si>
    <t>(b)</t>
  </si>
  <si>
    <t>Revenue Requirement Calculation</t>
  </si>
  <si>
    <t>Cascade Natural Gas</t>
  </si>
  <si>
    <t xml:space="preserve">Cascade Natural Gas </t>
  </si>
  <si>
    <t>3-Factor Formula</t>
  </si>
  <si>
    <t>Customer Formula</t>
  </si>
  <si>
    <t>Rate Base Ratio</t>
  </si>
  <si>
    <t>WA:</t>
  </si>
  <si>
    <t>OR:</t>
  </si>
  <si>
    <t>CASCADE NATURAL GAS CORPORATION</t>
  </si>
  <si>
    <t>ROLLING 12 MONTHS:</t>
  </si>
  <si>
    <t>WASHINGTON:</t>
  </si>
  <si>
    <t>STATE ALLOCATION OF INCOME &amp; EXPENSES</t>
  </si>
  <si>
    <t>DIRECT</t>
  </si>
  <si>
    <t>ALLOCATED</t>
  </si>
  <si>
    <t>TOTAL</t>
  </si>
  <si>
    <t>GAS SALES</t>
  </si>
  <si>
    <t>480</t>
  </si>
  <si>
    <t>Residential Sales</t>
  </si>
  <si>
    <t>481</t>
  </si>
  <si>
    <t>Commercial - Interruptible Sales</t>
  </si>
  <si>
    <t xml:space="preserve">    TOTAL GAS SALES</t>
  </si>
  <si>
    <t>OTHER OPERATING REVENUE</t>
  </si>
  <si>
    <t xml:space="preserve"> 4880</t>
  </si>
  <si>
    <t>Miscellaneous Service Revenues</t>
  </si>
  <si>
    <t>4890</t>
  </si>
  <si>
    <t>Rev. From Transp. of Gas of Others</t>
  </si>
  <si>
    <t>4930</t>
  </si>
  <si>
    <t>Rent From Gas Property</t>
  </si>
  <si>
    <t>4940</t>
  </si>
  <si>
    <t>Interdepartmental Rents</t>
  </si>
  <si>
    <t>4950</t>
  </si>
  <si>
    <t>Other Gas Revenue</t>
  </si>
  <si>
    <t xml:space="preserve"> 495.1</t>
  </si>
  <si>
    <t>Overrun Penalty Income</t>
  </si>
  <si>
    <t xml:space="preserve">    TOTAL OTHER OPERATING REVENUE</t>
  </si>
  <si>
    <t xml:space="preserve">      * TOTAL OPERATING REVENUE *</t>
  </si>
  <si>
    <t>NATURAL GAS PURCHASED</t>
  </si>
  <si>
    <t>804</t>
  </si>
  <si>
    <t>Natural Gas City Gate Purchases</t>
  </si>
  <si>
    <t>805</t>
  </si>
  <si>
    <t>Other Gas Purchases</t>
  </si>
  <si>
    <t xml:space="preserve"> 805.1</t>
  </si>
  <si>
    <t>Purchased Gas Cost Adjustments</t>
  </si>
  <si>
    <t xml:space="preserve"> 808.1</t>
  </si>
  <si>
    <t>Gas Withdrawn From Storage</t>
  </si>
  <si>
    <t xml:space="preserve"> 808.2</t>
  </si>
  <si>
    <t>Gas Delivered To Storage</t>
  </si>
  <si>
    <t>812</t>
  </si>
  <si>
    <t>Gas Used For Other Utility Oper.</t>
  </si>
  <si>
    <t xml:space="preserve">    TOTAL NATURAL GAS PURCHASED</t>
  </si>
  <si>
    <t>MANUFACTURED GAS PRODUCTION</t>
  </si>
  <si>
    <t>712</t>
  </si>
  <si>
    <t>Other Power Expenses</t>
  </si>
  <si>
    <t>717</t>
  </si>
  <si>
    <t>Liquefied Petroleum Gas Expenses</t>
  </si>
  <si>
    <t>718</t>
  </si>
  <si>
    <t>Other Process Production Expenses</t>
  </si>
  <si>
    <t>723</t>
  </si>
  <si>
    <t>Fuel for Liq. Petrol. Gas Process</t>
  </si>
  <si>
    <t>724</t>
  </si>
  <si>
    <t>Other Gas Fuels</t>
  </si>
  <si>
    <t>728</t>
  </si>
  <si>
    <t>Liquefied Petroleum Gas</t>
  </si>
  <si>
    <t>733</t>
  </si>
  <si>
    <t>Gas Mixing Expenses</t>
  </si>
  <si>
    <t>735</t>
  </si>
  <si>
    <t>Miscellaneous Production Expenses</t>
  </si>
  <si>
    <t>740</t>
  </si>
  <si>
    <t>Maint. Supervision &amp; Engineering</t>
  </si>
  <si>
    <t>741</t>
  </si>
  <si>
    <t>Maint. of Structures &amp; Improvement</t>
  </si>
  <si>
    <t>742</t>
  </si>
  <si>
    <t>Maint. of Production Equipment</t>
  </si>
  <si>
    <t xml:space="preserve">    TOTAL MANUFACTURED GAS PRODUCTION EXPENSE</t>
  </si>
  <si>
    <t xml:space="preserve"> 408.5</t>
  </si>
  <si>
    <t xml:space="preserve">          * OPERATING MARGIN *</t>
  </si>
  <si>
    <t>PRODUCTION EXPENSES</t>
  </si>
  <si>
    <t>Other Gas Supply Expenses</t>
  </si>
  <si>
    <t>DISTRIBUTION EXPENSES</t>
  </si>
  <si>
    <t xml:space="preserve">   Operation</t>
  </si>
  <si>
    <t>870</t>
  </si>
  <si>
    <t>Oper.,Supervision &amp; Engineering</t>
  </si>
  <si>
    <t>871</t>
  </si>
  <si>
    <t>Distribution Load Dispatching</t>
  </si>
  <si>
    <t>872</t>
  </si>
  <si>
    <t>Compressor Station</t>
  </si>
  <si>
    <t xml:space="preserve"> 874</t>
  </si>
  <si>
    <t>Mains &amp; Services Exp.</t>
  </si>
  <si>
    <t>875</t>
  </si>
  <si>
    <t>Meas. &amp; Reg. Stat. Exp.-Gen.</t>
  </si>
  <si>
    <t>876</t>
  </si>
  <si>
    <t>Meas. &amp; Reg. Stat. Exp.-Ind.</t>
  </si>
  <si>
    <t>878</t>
  </si>
  <si>
    <t>Meter &amp; House Regulator Exp.</t>
  </si>
  <si>
    <t>879</t>
  </si>
  <si>
    <t>Customer Installations Exp.</t>
  </si>
  <si>
    <t>880</t>
  </si>
  <si>
    <t>Other Exp.</t>
  </si>
  <si>
    <t>881</t>
  </si>
  <si>
    <t>Rents</t>
  </si>
  <si>
    <t>882</t>
  </si>
  <si>
    <t>Transportation Exp.</t>
  </si>
  <si>
    <t>Subtotal Operations</t>
  </si>
  <si>
    <t xml:space="preserve">   Maintenance</t>
  </si>
  <si>
    <t>885</t>
  </si>
  <si>
    <t>Supervision &amp; Engineering</t>
  </si>
  <si>
    <t>886</t>
  </si>
  <si>
    <t>Structures &amp; Improvements</t>
  </si>
  <si>
    <t>887</t>
  </si>
  <si>
    <t>Mains</t>
  </si>
  <si>
    <t>8880</t>
  </si>
  <si>
    <t>889</t>
  </si>
  <si>
    <t>Meas. &amp; Reg. Equip.-Gen.</t>
  </si>
  <si>
    <t>890</t>
  </si>
  <si>
    <t>Meas. &amp; Reg. Equip.-Ind.</t>
  </si>
  <si>
    <t>892</t>
  </si>
  <si>
    <t>893</t>
  </si>
  <si>
    <t>Meters &amp; House Regulators</t>
  </si>
  <si>
    <t>894</t>
  </si>
  <si>
    <t>Other Equipment</t>
  </si>
  <si>
    <t>Subtotal Maintenance</t>
  </si>
  <si>
    <t xml:space="preserve">    TOTAL DISTRIBUTION EXPENSES</t>
  </si>
  <si>
    <t>CUSTOMER ACCOUNTS EXPENSES</t>
  </si>
  <si>
    <t>901</t>
  </si>
  <si>
    <t>Supervision</t>
  </si>
  <si>
    <t>902</t>
  </si>
  <si>
    <t>Meter Reading Exp.</t>
  </si>
  <si>
    <t>903</t>
  </si>
  <si>
    <t>Cust. Records &amp; Collection Exp.</t>
  </si>
  <si>
    <t>904</t>
  </si>
  <si>
    <t>905</t>
  </si>
  <si>
    <t>Misc. Exp.</t>
  </si>
  <si>
    <t xml:space="preserve">    TOTAL CUSTOMER ACCOUNTS EXP.</t>
  </si>
  <si>
    <t>CUSTOMER SERVICE AND INFORMATIONAL EXPENSES</t>
  </si>
  <si>
    <t>907</t>
  </si>
  <si>
    <t>908</t>
  </si>
  <si>
    <t>Cust. Assistance Exp.</t>
  </si>
  <si>
    <t>909</t>
  </si>
  <si>
    <t>Info. &amp; Instr. Advertising Exp.</t>
  </si>
  <si>
    <t>910</t>
  </si>
  <si>
    <t>Misc. Cust. Serv. &amp; Info. Exp.</t>
  </si>
  <si>
    <t xml:space="preserve">    TOTAL CUST. SRVC. &amp; INFO. EXPENSES</t>
  </si>
  <si>
    <t>SALES EXPENSES</t>
  </si>
  <si>
    <t>911</t>
  </si>
  <si>
    <t>912</t>
  </si>
  <si>
    <t>Demonstrating &amp; Selling</t>
  </si>
  <si>
    <t>913</t>
  </si>
  <si>
    <t>916</t>
  </si>
  <si>
    <t>Misc. Sales Exp.</t>
  </si>
  <si>
    <t xml:space="preserve">    TOTAL SALES EXPENSES</t>
  </si>
  <si>
    <t>ADMINISTRATIVE AND GENERAL EXPENSES</t>
  </si>
  <si>
    <t>920</t>
  </si>
  <si>
    <t>Admin. &amp; General Salaries</t>
  </si>
  <si>
    <t>921</t>
  </si>
  <si>
    <t>Office Supplies &amp; Exp.</t>
  </si>
  <si>
    <t>923</t>
  </si>
  <si>
    <t>Outside Services Employed</t>
  </si>
  <si>
    <t>924</t>
  </si>
  <si>
    <t>Property Insurance</t>
  </si>
  <si>
    <t>925</t>
  </si>
  <si>
    <t>Injuries &amp; Damages</t>
  </si>
  <si>
    <t>926</t>
  </si>
  <si>
    <t>Employee Pensions &amp; Benefits</t>
  </si>
  <si>
    <t>928</t>
  </si>
  <si>
    <t>Regulatory Commission Exp.</t>
  </si>
  <si>
    <t xml:space="preserve"> 930.1</t>
  </si>
  <si>
    <t>General Advertising Exp.</t>
  </si>
  <si>
    <t xml:space="preserve"> 930.2</t>
  </si>
  <si>
    <t>Misc. General Exp.</t>
  </si>
  <si>
    <t>931</t>
  </si>
  <si>
    <t>932</t>
  </si>
  <si>
    <t>Maintenance of General Plant</t>
  </si>
  <si>
    <t>922</t>
  </si>
  <si>
    <t>Capitalized Exp.</t>
  </si>
  <si>
    <t xml:space="preserve">    TOTAL ADM. &amp; GEN. EXPENSES</t>
  </si>
  <si>
    <t xml:space="preserve">       TOTAL O&amp;M EXPENSES (Excluding Gas Cost and Revenue Taxes)</t>
  </si>
  <si>
    <t>DEPRECIATION AND AMORTIZATION</t>
  </si>
  <si>
    <t>403</t>
  </si>
  <si>
    <t>Depreciation Expense</t>
  </si>
  <si>
    <t xml:space="preserve">  Propane Air Plant</t>
  </si>
  <si>
    <t xml:space="preserve">  Telemetry</t>
  </si>
  <si>
    <t xml:space="preserve">  Meters &amp; Regulators</t>
  </si>
  <si>
    <t xml:space="preserve">  Central Stores Warehouse</t>
  </si>
  <si>
    <t xml:space="preserve">  General Office</t>
  </si>
  <si>
    <t>407.1</t>
  </si>
  <si>
    <t>Amortization of Property Losses</t>
  </si>
  <si>
    <t xml:space="preserve">    TOTAL DEPRECIATION AND AMORTIZATION</t>
  </si>
  <si>
    <t>407.3</t>
  </si>
  <si>
    <t>TAXES OTHER THAN INCOME TAXES</t>
  </si>
  <si>
    <t xml:space="preserve"> 408.1</t>
  </si>
  <si>
    <t>Property, Payroll and Misc. Taxes</t>
  </si>
  <si>
    <t>INCOME TAXES - OPERATING</t>
  </si>
  <si>
    <t xml:space="preserve"> 409.1</t>
  </si>
  <si>
    <t>Federal Inc Taxes, Util Oper Inc</t>
  </si>
  <si>
    <t>State Income Taxes, Util Oper Inc</t>
  </si>
  <si>
    <t xml:space="preserve"> 410.1</t>
  </si>
  <si>
    <t>Provision For Defer'd Fed Inc Tax</t>
  </si>
  <si>
    <t>Provis'n For Defer'd State Inc Tax</t>
  </si>
  <si>
    <t xml:space="preserve"> 411.1</t>
  </si>
  <si>
    <t>Prov For Deferred Inc Tax - Credit</t>
  </si>
  <si>
    <t xml:space="preserve"> 411.4</t>
  </si>
  <si>
    <t>Investment Tax Credit Adjustments</t>
  </si>
  <si>
    <t xml:space="preserve">    TOTAL INCOME TAXES - OPERATING</t>
  </si>
  <si>
    <t xml:space="preserve">      * TOTAL OPERATING EXPENSES *</t>
  </si>
  <si>
    <t xml:space="preserve">          * TOTAL OPERATING INCOME *</t>
  </si>
  <si>
    <t>INTEREST CHARGES</t>
  </si>
  <si>
    <t>Interest on Long Term Debt</t>
  </si>
  <si>
    <t>431.0</t>
  </si>
  <si>
    <t>Other Interest Expense</t>
  </si>
  <si>
    <t>431.1</t>
  </si>
  <si>
    <t>Interest on Short Term Debt</t>
  </si>
  <si>
    <t>432.0</t>
  </si>
  <si>
    <t>AFUDC - Borrowed Funds</t>
  </si>
  <si>
    <t xml:space="preserve">    TOTAL INTEREST CHARGES</t>
  </si>
  <si>
    <t>MISCELLANEOUS NON-OPERATING INCOME</t>
  </si>
  <si>
    <t>415</t>
  </si>
  <si>
    <t>Rev. from Jobbing &amp; Contract Work</t>
  </si>
  <si>
    <t>416</t>
  </si>
  <si>
    <t>Exp. of Jobbing &amp; Contract Work</t>
  </si>
  <si>
    <t>417</t>
  </si>
  <si>
    <t>Revenues of Non-Utility Operations</t>
  </si>
  <si>
    <t xml:space="preserve"> 417.1</t>
  </si>
  <si>
    <t>Expenses of Non-Utility Operations</t>
  </si>
  <si>
    <t xml:space="preserve"> 418.1</t>
  </si>
  <si>
    <t>Equity in Earnings of Sub. Co.'s</t>
  </si>
  <si>
    <t>419</t>
  </si>
  <si>
    <t>Interest and Dividend Income</t>
  </si>
  <si>
    <t xml:space="preserve"> 419.1</t>
  </si>
  <si>
    <t>AFUDC - Equity Funds</t>
  </si>
  <si>
    <t>Taxes other Than Income Taxes</t>
  </si>
  <si>
    <t>421</t>
  </si>
  <si>
    <t>Misc. Non-Operating Income</t>
  </si>
  <si>
    <t xml:space="preserve"> 421.1</t>
  </si>
  <si>
    <t xml:space="preserve">    TOTAL MISCELLANEOUS NON-OPERATING INCOME</t>
  </si>
  <si>
    <t>INCOME TAXES AND OTHER INCOME DEDUCTIONS</t>
  </si>
  <si>
    <t xml:space="preserve"> 409.2</t>
  </si>
  <si>
    <t>Fed Income Taxes, Other Inc. &amp; Ded</t>
  </si>
  <si>
    <t>State Inc Taxes, Other Inc. &amp; Ded.</t>
  </si>
  <si>
    <t xml:space="preserve"> 410.2</t>
  </si>
  <si>
    <t>Prov For Def'd Inc Tax - Non Op</t>
  </si>
  <si>
    <t xml:space="preserve"> 411.2</t>
  </si>
  <si>
    <t>Prov For Def'd Inc Tax  CR  Non Op</t>
  </si>
  <si>
    <t xml:space="preserve"> 421.2</t>
  </si>
  <si>
    <t>Loss on Disposition of Property</t>
  </si>
  <si>
    <t xml:space="preserve"> 426.1</t>
  </si>
  <si>
    <t>Donations</t>
  </si>
  <si>
    <t xml:space="preserve"> 426.2</t>
  </si>
  <si>
    <t>Life Insurance</t>
  </si>
  <si>
    <t xml:space="preserve"> 426.3</t>
  </si>
  <si>
    <t>Penalties</t>
  </si>
  <si>
    <t xml:space="preserve"> 426.4</t>
  </si>
  <si>
    <t>Civic, Political &amp; Related Activ.</t>
  </si>
  <si>
    <t xml:space="preserve"> 426.5</t>
  </si>
  <si>
    <t>Other Deductions</t>
  </si>
  <si>
    <t xml:space="preserve">    TOTAL INCOME TAXES &amp; OTHER INCOME DEDUCTIONS</t>
  </si>
  <si>
    <t xml:space="preserve">              * NET INCOME *</t>
  </si>
  <si>
    <t>Net Plant in Service</t>
  </si>
  <si>
    <t>Customer Advances for construction</t>
  </si>
  <si>
    <t>Customer Advances for Construction</t>
  </si>
  <si>
    <t>AMA</t>
  </si>
  <si>
    <t>Twelve Months</t>
  </si>
  <si>
    <t>System</t>
  </si>
  <si>
    <t>Line</t>
  </si>
  <si>
    <t>No.</t>
  </si>
  <si>
    <t>Description</t>
  </si>
  <si>
    <t>Invested Capital</t>
  </si>
  <si>
    <t>Operating Investments</t>
  </si>
  <si>
    <t>Non-Operating Investments</t>
  </si>
  <si>
    <t>Total Investments</t>
  </si>
  <si>
    <t>Investor-Supplied Working Capital (Line 1 minus Line 4)</t>
  </si>
  <si>
    <t>Ratio (Line 5 divided by Line 4)</t>
  </si>
  <si>
    <t>Sate of Washington</t>
  </si>
  <si>
    <t>Washington</t>
  </si>
  <si>
    <t>Utility Plant in Service</t>
  </si>
  <si>
    <t>Accumulated Depreciation</t>
  </si>
  <si>
    <t>Deferred Income Taxes</t>
  </si>
  <si>
    <t>Total Average Operating Investments</t>
  </si>
  <si>
    <t>Ledger Type</t>
  </si>
  <si>
    <t>Year</t>
  </si>
  <si>
    <t>Format</t>
  </si>
  <si>
    <t>Period</t>
  </si>
  <si>
    <t>Currency</t>
  </si>
  <si>
    <t>Invested</t>
  </si>
  <si>
    <t>Operating</t>
  </si>
  <si>
    <t>Non-operating</t>
  </si>
  <si>
    <t>Working</t>
  </si>
  <si>
    <t>Object Account</t>
  </si>
  <si>
    <t>Sub Account</t>
  </si>
  <si>
    <t>Acct #</t>
  </si>
  <si>
    <t>Capital</t>
  </si>
  <si>
    <t>Investment</t>
  </si>
  <si>
    <t>1012</t>
  </si>
  <si>
    <t>*</t>
  </si>
  <si>
    <t>Gas Plant In Service</t>
  </si>
  <si>
    <t>1062</t>
  </si>
  <si>
    <t>Gas Plant Completed Not Classified</t>
  </si>
  <si>
    <t>@2:107</t>
  </si>
  <si>
    <t>CWIP - Gas</t>
  </si>
  <si>
    <t xml:space="preserve">   TOTAL UTILITY PLANT</t>
  </si>
  <si>
    <t>1082</t>
  </si>
  <si>
    <t>8</t>
  </si>
  <si>
    <t>RWIP - Gas</t>
  </si>
  <si>
    <t>[*,/8]</t>
  </si>
  <si>
    <t>Accum Prov Deprec - Gas Util</t>
  </si>
  <si>
    <t>1112</t>
  </si>
  <si>
    <t>Amortization Expense (Intangible Plant)</t>
  </si>
  <si>
    <t>1152</t>
  </si>
  <si>
    <t>Accum Prov for Gas Acq Adj</t>
  </si>
  <si>
    <t xml:space="preserve">    Subtotal - Accum Depreciation</t>
  </si>
  <si>
    <t>1087</t>
  </si>
  <si>
    <t>Accum Prov Gas - Non-ARO</t>
  </si>
  <si>
    <t xml:space="preserve">   Subtotal - reclassed Accum Deprec</t>
  </si>
  <si>
    <t xml:space="preserve">   TOTAL ACCUM DEPRECIATION</t>
  </si>
  <si>
    <t xml:space="preserve">    NET PLANT</t>
  </si>
  <si>
    <t>1231</t>
  </si>
  <si>
    <t xml:space="preserve">Investment in Subs </t>
  </si>
  <si>
    <t xml:space="preserve">   TOTAL INVESTMENT IN SUBS</t>
  </si>
  <si>
    <t>124*</t>
  </si>
  <si>
    <t>124X</t>
  </si>
  <si>
    <t>Other Investments</t>
  </si>
  <si>
    <t>1210</t>
  </si>
  <si>
    <t>Nonutility Property</t>
  </si>
  <si>
    <t>1220</t>
  </si>
  <si>
    <t>Nonutility Acc Prov Depr &amp; Amort</t>
  </si>
  <si>
    <t xml:space="preserve">   TOTAL OTHER INVESTMENTS</t>
  </si>
  <si>
    <t>1310</t>
  </si>
  <si>
    <t>Cash</t>
  </si>
  <si>
    <t>1340</t>
  </si>
  <si>
    <t>1*</t>
  </si>
  <si>
    <t>Other Special Deposit - NewWood Escrow</t>
  </si>
  <si>
    <t>1350</t>
  </si>
  <si>
    <t>Working Funds</t>
  </si>
  <si>
    <t xml:space="preserve">   TOTAL CASH</t>
  </si>
  <si>
    <t>1360</t>
  </si>
  <si>
    <t>Temporary Cash Investments</t>
  </si>
  <si>
    <t xml:space="preserve">   TOTAL CASH EQUIVALENTS</t>
  </si>
  <si>
    <t>1420</t>
  </si>
  <si>
    <t>Customer Accounts Receivable</t>
  </si>
  <si>
    <t>1432</t>
  </si>
  <si>
    <t>Other Accounts Receivable</t>
  </si>
  <si>
    <t>1710</t>
  </si>
  <si>
    <t>Interest &amp; Dividends Receivable</t>
  </si>
  <si>
    <t xml:space="preserve">   Subtotal - Other A/R</t>
  </si>
  <si>
    <t>1410</t>
  </si>
  <si>
    <t xml:space="preserve">Notes Receivable - Imperium Renewable  </t>
  </si>
  <si>
    <t>2*</t>
  </si>
  <si>
    <t>Notes Receivable - Touchstone</t>
  </si>
  <si>
    <t>1460</t>
  </si>
  <si>
    <t>000*</t>
  </si>
  <si>
    <t>Accts Receivable - MDU</t>
  </si>
  <si>
    <t>001*</t>
  </si>
  <si>
    <t>041*</t>
  </si>
  <si>
    <t>Accts Receivable - CGCE</t>
  </si>
  <si>
    <t>067*</t>
  </si>
  <si>
    <t>Accts Receivable - CSG</t>
  </si>
  <si>
    <t>044*</t>
  </si>
  <si>
    <t>Accts Receivable - CGCP</t>
  </si>
  <si>
    <t>046*</t>
  </si>
  <si>
    <t>Accts Receivable - PCEH</t>
  </si>
  <si>
    <t>047*</t>
  </si>
  <si>
    <t>Accts Receivable - CNGC</t>
  </si>
  <si>
    <t>048*</t>
  </si>
  <si>
    <t>Accts Receivable - IGC</t>
  </si>
  <si>
    <t>060*</t>
  </si>
  <si>
    <t>Accts Receivable - WBI</t>
  </si>
  <si>
    <t>062*</t>
  </si>
  <si>
    <t>Accts Receivable - Knife River</t>
  </si>
  <si>
    <t xml:space="preserve">   Subtotal - Interco A/R</t>
  </si>
  <si>
    <t>1466</t>
  </si>
  <si>
    <t>Intercompany settlements</t>
  </si>
  <si>
    <t xml:space="preserve">   TOTAL RECEIVABLES</t>
  </si>
  <si>
    <t>1442</t>
  </si>
  <si>
    <t>Accum Prov for Uncollect - Gas</t>
  </si>
  <si>
    <t>1443</t>
  </si>
  <si>
    <t>Accum Prov for Uncollect - Lrg Volume</t>
  </si>
  <si>
    <t>1449</t>
  </si>
  <si>
    <t>Other Receivables</t>
  </si>
  <si>
    <t xml:space="preserve">   TOTAL ACCUM PROV UNCOLLECT</t>
  </si>
  <si>
    <t xml:space="preserve">   NET RECEIVABLES</t>
  </si>
  <si>
    <t>1540</t>
  </si>
  <si>
    <t>Plant Materials &amp; Op Supplies</t>
  </si>
  <si>
    <t>1630</t>
  </si>
  <si>
    <t>Undistributed Stores Exp - Freight</t>
  </si>
  <si>
    <t>1641</t>
  </si>
  <si>
    <t>[01,03]</t>
  </si>
  <si>
    <t>Gas in Underground Storage - Current</t>
  </si>
  <si>
    <t>02</t>
  </si>
  <si>
    <t>Pipeline Imbalances</t>
  </si>
  <si>
    <t>1642</t>
  </si>
  <si>
    <t>Liquified Natural Gas Stored</t>
  </si>
  <si>
    <t xml:space="preserve">    NET INVENTORIES</t>
  </si>
  <si>
    <t>1655</t>
  </si>
  <si>
    <t xml:space="preserve">Prepayments - Insurance </t>
  </si>
  <si>
    <t>1659</t>
  </si>
  <si>
    <t>[18,19,20]</t>
  </si>
  <si>
    <t>Prepayments - Income Tax</t>
  </si>
  <si>
    <t>22</t>
  </si>
  <si>
    <t>Prepayments - Gas Storage</t>
  </si>
  <si>
    <t>[/20,/21,/22,/18,/19]</t>
  </si>
  <si>
    <t>Prepayments - Miscellaneous</t>
  </si>
  <si>
    <t>1860</t>
  </si>
  <si>
    <t>[20424,20425]</t>
  </si>
  <si>
    <t>Misc Def Dr - Regulatory assets current</t>
  </si>
  <si>
    <t>1747</t>
  </si>
  <si>
    <t>Misc Current and Accrued Assets</t>
  </si>
  <si>
    <t>1750</t>
  </si>
  <si>
    <t>01</t>
  </si>
  <si>
    <t>1750.01</t>
  </si>
  <si>
    <t>Derivative Instruments - Current</t>
  </si>
  <si>
    <t xml:space="preserve">   TOTAL CURRENT &amp; ACCR ASSETS</t>
  </si>
  <si>
    <t>1732</t>
  </si>
  <si>
    <t>Accrued Gas Revenues</t>
  </si>
  <si>
    <t>1734</t>
  </si>
  <si>
    <t>Accrued Transportation Revenues</t>
  </si>
  <si>
    <t xml:space="preserve">   TOTAL ACCRUED REVENUES</t>
  </si>
  <si>
    <t>1900</t>
  </si>
  <si>
    <t>[/*6*]</t>
  </si>
  <si>
    <t>Accumulated Deferred Income Tax - current</t>
  </si>
  <si>
    <t>[*6*]</t>
  </si>
  <si>
    <t>Accumulated Deferred Income Tax - noncurrent</t>
  </si>
  <si>
    <t>1910</t>
  </si>
  <si>
    <t>(Over) Under Recovery of Purchased Gas</t>
  </si>
  <si>
    <t>1810</t>
  </si>
  <si>
    <t>12</t>
  </si>
  <si>
    <t>Unamort Debt Exp - 7.48% - 2027</t>
  </si>
  <si>
    <t>13</t>
  </si>
  <si>
    <t>Unamort Debt Exp - 7.10% - 2029</t>
  </si>
  <si>
    <t>17</t>
  </si>
  <si>
    <t xml:space="preserve">Unamort Debt Exp - 5.25% Insured notes </t>
  </si>
  <si>
    <t>18</t>
  </si>
  <si>
    <t>Unamort Debt Exp - 5.21% - 2020</t>
  </si>
  <si>
    <t>19</t>
  </si>
  <si>
    <t>Unamort Debt Exp - 5.79% - 2037</t>
  </si>
  <si>
    <t>20</t>
  </si>
  <si>
    <t>Unamort Debt Exp - 4.11% - 2025</t>
  </si>
  <si>
    <t>21</t>
  </si>
  <si>
    <t>Unamort Debt Exp - 4.36% - 2028</t>
  </si>
  <si>
    <t>Unamort Debt Exp - LOC 7/9/2018</t>
  </si>
  <si>
    <t>23</t>
  </si>
  <si>
    <t>Unamort Debt Exp - Dec 2014 Issued Debt</t>
  </si>
  <si>
    <t>24</t>
  </si>
  <si>
    <t>Unamort Debt Exp - Jan 2015 Issued Debt</t>
  </si>
  <si>
    <t>25</t>
  </si>
  <si>
    <t>26</t>
  </si>
  <si>
    <t xml:space="preserve">   TOTAL UNAMORT DEBT EXPENSE</t>
  </si>
  <si>
    <t>1890</t>
  </si>
  <si>
    <t>Unam Loss Reaq Debt - 10.15% - 2001</t>
  </si>
  <si>
    <t>Unam Loss Reaq Debt - 10.125% - XX</t>
  </si>
  <si>
    <t>03</t>
  </si>
  <si>
    <t>Unam Loss Reaq Debt - 9.875% - 201X</t>
  </si>
  <si>
    <t>04</t>
  </si>
  <si>
    <t>Unam Loss Reaq Debt - 7.50% - 2031</t>
  </si>
  <si>
    <t>Unam Loss Reaq Debt - 0.00% - 20xx</t>
  </si>
  <si>
    <t>Derivative Instruments - Noncurrent</t>
  </si>
  <si>
    <t>[21]</t>
  </si>
  <si>
    <t>1823</t>
  </si>
  <si>
    <t>Other Regulatory Asset -</t>
  </si>
  <si>
    <t>1840</t>
  </si>
  <si>
    <t>Payroll clearing</t>
  </si>
  <si>
    <t>@2:184</t>
  </si>
  <si>
    <t>184X</t>
  </si>
  <si>
    <t>Other clearing</t>
  </si>
  <si>
    <t>205*</t>
  </si>
  <si>
    <t>Prepaid - NC Retiree Medical</t>
  </si>
  <si>
    <t>201*</t>
  </si>
  <si>
    <t>Misc Def Dr -  Deferred Gas Cost</t>
  </si>
  <si>
    <t>202*</t>
  </si>
  <si>
    <t>Misc Def Dr - Miscellaneous deferrals</t>
  </si>
  <si>
    <t>20206</t>
  </si>
  <si>
    <t>Misc Def Dr - Intangible non compete</t>
  </si>
  <si>
    <t>[20426,20427]</t>
  </si>
  <si>
    <t>Misc Def Dr - Regulatory Deferred Charges</t>
  </si>
  <si>
    <t>[204*,/20424,/20425,/20426,/20427]</t>
  </si>
  <si>
    <t>Misc Def Dr - Regulatory assets</t>
  </si>
  <si>
    <t>1862</t>
  </si>
  <si>
    <t>204*</t>
  </si>
  <si>
    <t>Misc Def Dr - Conservation Program</t>
  </si>
  <si>
    <t>1866</t>
  </si>
  <si>
    <t>I/C Asset-Net Benefit Funding</t>
  </si>
  <si>
    <t xml:space="preserve">   TOTAL DEFERRED CHG &amp; OTH ASSETS</t>
  </si>
  <si>
    <t>^Pgas</t>
  </si>
  <si>
    <t>Purchased Gas Costs</t>
  </si>
  <si>
    <t>^OMGasOp</t>
  </si>
  <si>
    <t>Gas Operating Expense</t>
  </si>
  <si>
    <t>[*,/5191]</t>
  </si>
  <si>
    <t>2488*</t>
  </si>
  <si>
    <t>Gas Operating Expense-4880</t>
  </si>
  <si>
    <t>^OMGasM</t>
  </si>
  <si>
    <t>Gas Maintenance Expense</t>
  </si>
  <si>
    <t xml:space="preserve">   TOTAL O&amp;M EXPENSES</t>
  </si>
  <si>
    <t>4073</t>
  </si>
  <si>
    <t>Regulatory debits</t>
  </si>
  <si>
    <t>4081</t>
  </si>
  <si>
    <t>Taxes Other Than Income - Util Operations</t>
  </si>
  <si>
    <t>^TOIPR</t>
  </si>
  <si>
    <t>4081(5191)</t>
  </si>
  <si>
    <t>Taxes Other Than Income - Payroll Taxes</t>
  </si>
  <si>
    <t xml:space="preserve">     Subtotal Taxes Other Than Income</t>
  </si>
  <si>
    <t>4032</t>
  </si>
  <si>
    <t>Depreciation Expense - Gas</t>
  </si>
  <si>
    <t>4042</t>
  </si>
  <si>
    <t>Amortization Lim-Term Plant - Gas</t>
  </si>
  <si>
    <t>4062</t>
  </si>
  <si>
    <t>Amort Acquis Adj - Gas</t>
  </si>
  <si>
    <t xml:space="preserve">   TOTAL DEPRECIATION</t>
  </si>
  <si>
    <t>4271</t>
  </si>
  <si>
    <t>Interest on LTD - 1st Mortgage Bonds</t>
  </si>
  <si>
    <t>4279</t>
  </si>
  <si>
    <t>Interest on LTD - Other</t>
  </si>
  <si>
    <t>1</t>
  </si>
  <si>
    <t>LOC Interest</t>
  </si>
  <si>
    <t>4310</t>
  </si>
  <si>
    <t>[/011]</t>
  </si>
  <si>
    <t>011</t>
  </si>
  <si>
    <t>4310.011</t>
  </si>
  <si>
    <t>Other Interest Expense - Accrued Tax Interest</t>
  </si>
  <si>
    <t>4280</t>
  </si>
  <si>
    <t>Amort of Debt Disc &amp; Expense</t>
  </si>
  <si>
    <t>4281</t>
  </si>
  <si>
    <t>Amort of Loss on Reacq Debt</t>
  </si>
  <si>
    <t xml:space="preserve">     Subtotal Interest Expense</t>
  </si>
  <si>
    <t>4091</t>
  </si>
  <si>
    <t>Income Taxes, Utility Operations</t>
  </si>
  <si>
    <t>4092</t>
  </si>
  <si>
    <t>Income Taxes, Other Inc &amp; Deductions</t>
  </si>
  <si>
    <t>4101</t>
  </si>
  <si>
    <t>Prov for DIT- Utility Operations</t>
  </si>
  <si>
    <t>4102</t>
  </si>
  <si>
    <t>Prov for DIT- Other Inc &amp; Deductions</t>
  </si>
  <si>
    <t>4111</t>
  </si>
  <si>
    <t>Prov for DIT (CR) - Utility Op Income</t>
  </si>
  <si>
    <t>4112</t>
  </si>
  <si>
    <t>Prov for DIT (CR) - Other Inc &amp; Deductions</t>
  </si>
  <si>
    <t>[4200,4114]</t>
  </si>
  <si>
    <t>Investment Tax Credit</t>
  </si>
  <si>
    <t xml:space="preserve">     Subtotal Income Taxes</t>
  </si>
  <si>
    <t>4211</t>
  </si>
  <si>
    <t>Gain on Disposition of Property</t>
  </si>
  <si>
    <t>4212</t>
  </si>
  <si>
    <t>@21:4261*</t>
  </si>
  <si>
    <t>4261</t>
  </si>
  <si>
    <t>@21:4263*</t>
  </si>
  <si>
    <t>4263</t>
  </si>
  <si>
    <t>4264</t>
  </si>
  <si>
    <t>Expend for Civic,  Political</t>
  </si>
  <si>
    <t>@21:4265*</t>
  </si>
  <si>
    <t>4265</t>
  </si>
  <si>
    <t>@21:4171*</t>
  </si>
  <si>
    <t>4171</t>
  </si>
  <si>
    <t>Expense of Nonutility</t>
  </si>
  <si>
    <t>6011</t>
  </si>
  <si>
    <t>Purchased Gas Expense of Nonutility</t>
  </si>
  <si>
    <t>4082</t>
  </si>
  <si>
    <t>Taxes Other Than Income - BTL</t>
  </si>
  <si>
    <t xml:space="preserve">     Subtotal BTL Expense</t>
  </si>
  <si>
    <t>4380</t>
  </si>
  <si>
    <t>Dividend Decl - Common Stock</t>
  </si>
  <si>
    <t xml:space="preserve">     Subtotal Dividends</t>
  </si>
  <si>
    <t xml:space="preserve">   TOTAL DEBITS</t>
  </si>
  <si>
    <t>2010</t>
  </si>
  <si>
    <t>Common Stock Issued</t>
  </si>
  <si>
    <t>2160</t>
  </si>
  <si>
    <t>Unapprop Retained Earnings</t>
  </si>
  <si>
    <t>2</t>
  </si>
  <si>
    <t>Unapprop RE - Stock Options</t>
  </si>
  <si>
    <t>3</t>
  </si>
  <si>
    <t>R/E Performance Share Dividend Equivalents</t>
  </si>
  <si>
    <t>2161</t>
  </si>
  <si>
    <t>Unapprop Sub Retained Earnings</t>
  </si>
  <si>
    <t>2071</t>
  </si>
  <si>
    <t>Premium on Capital Stock</t>
  </si>
  <si>
    <t>2100</t>
  </si>
  <si>
    <t>Gain on Resale of Reacquired Stock</t>
  </si>
  <si>
    <t>2110</t>
  </si>
  <si>
    <t>Misc Paid in Capital</t>
  </si>
  <si>
    <t>2190</t>
  </si>
  <si>
    <t>Other Comprehensive Income</t>
  </si>
  <si>
    <t>2141</t>
  </si>
  <si>
    <t>Capital Stock Expense</t>
  </si>
  <si>
    <t xml:space="preserve">     TOTAL EQUITY</t>
  </si>
  <si>
    <t>2240</t>
  </si>
  <si>
    <t>7.48% MTN Due 9/15/2027</t>
  </si>
  <si>
    <t>7.10% MTN Due 3/16/2029</t>
  </si>
  <si>
    <t>Insured Qtrly 5.25% Notes Due 2/1/2035</t>
  </si>
  <si>
    <t>5.21% MTN Due 9/1/2020</t>
  </si>
  <si>
    <t>5.79% MTN Due 3/8/2037</t>
  </si>
  <si>
    <t>4.11% Snr Nt Due 8/23/2025</t>
  </si>
  <si>
    <t>4.36% Snr Nt Due 8/23/2028</t>
  </si>
  <si>
    <t>Dec 2014 Issued Debt</t>
  </si>
  <si>
    <t>Jan 2015 Issued Debt</t>
  </si>
  <si>
    <t>2241</t>
  </si>
  <si>
    <t>8.06% MTN Due 9/4/2012 - Due within 1 Year</t>
  </si>
  <si>
    <t>8.10% MTN Due 10/8/2012 - Due within 1 Year</t>
  </si>
  <si>
    <t>8.11% MTN Due 10/8/2012 - Due within 1 Year</t>
  </si>
  <si>
    <t>06</t>
  </si>
  <si>
    <t>7.95% MTN Due 2/4/2013 - Due within 1 Year</t>
  </si>
  <si>
    <t>07</t>
  </si>
  <si>
    <t>8.01% MTN Due 2/12/2013 - Due within 1 Year</t>
  </si>
  <si>
    <t>08</t>
  </si>
  <si>
    <t>7.95% MTN Due 2/25/2013 - Due within 1 Year</t>
  </si>
  <si>
    <t>2242</t>
  </si>
  <si>
    <t>Committed Line of Credit</t>
  </si>
  <si>
    <t xml:space="preserve">     TOTAL LONG-TERM DEBT</t>
  </si>
  <si>
    <t>2310</t>
  </si>
  <si>
    <t>Short-term debt</t>
  </si>
  <si>
    <t>2330</t>
  </si>
  <si>
    <t>045</t>
  </si>
  <si>
    <t>Notes payable to Associated Companies</t>
  </si>
  <si>
    <t>2321</t>
  </si>
  <si>
    <t xml:space="preserve">Trade Accts Pay </t>
  </si>
  <si>
    <t>2322</t>
  </si>
  <si>
    <t>Accts Pay - Gas costs</t>
  </si>
  <si>
    <t>[2*,/217]</t>
  </si>
  <si>
    <t xml:space="preserve">Accts Pay </t>
  </si>
  <si>
    <t>[217*]</t>
  </si>
  <si>
    <t>Accts Pay - Pipeline Imbalances</t>
  </si>
  <si>
    <t>[4*,009]</t>
  </si>
  <si>
    <t>Accts Pay - Miscellaneous Accruals</t>
  </si>
  <si>
    <t>3*</t>
  </si>
  <si>
    <t>Accts Pay - Payroll Withholding</t>
  </si>
  <si>
    <t>2323</t>
  </si>
  <si>
    <t>Received Not Vouchered</t>
  </si>
  <si>
    <t>2340</t>
  </si>
  <si>
    <t>[000,001]</t>
  </si>
  <si>
    <t>Accts Pay - MDU/MDUR</t>
  </si>
  <si>
    <t>005</t>
  </si>
  <si>
    <t>Accts Pay - CHCC</t>
  </si>
  <si>
    <t>008</t>
  </si>
  <si>
    <t>Accts Pay - Future Source</t>
  </si>
  <si>
    <t>0620</t>
  </si>
  <si>
    <t>Accts Pay - Knife River</t>
  </si>
  <si>
    <t>0670</t>
  </si>
  <si>
    <t>Accts Pay - CSG</t>
  </si>
  <si>
    <t>043</t>
  </si>
  <si>
    <t>Accts Pay - Cascade Land Leasing</t>
  </si>
  <si>
    <t>044</t>
  </si>
  <si>
    <t>Accts Pay - CGC Properties, Inc.</t>
  </si>
  <si>
    <t>Accts Pay - MDU Energy Capital</t>
  </si>
  <si>
    <t>046</t>
  </si>
  <si>
    <t>Accts Pay - PCEH</t>
  </si>
  <si>
    <t>047</t>
  </si>
  <si>
    <t>Accts Pay - CNGC</t>
  </si>
  <si>
    <t>048</t>
  </si>
  <si>
    <t>Accts Pay - Intermountain</t>
  </si>
  <si>
    <t xml:space="preserve">     Subtotal Accounts Payable Intercompany</t>
  </si>
  <si>
    <t>2412</t>
  </si>
  <si>
    <t>Tax Collection Pay - Emp State W/H</t>
  </si>
  <si>
    <t>2411</t>
  </si>
  <si>
    <t>Tax Collection Pay - Emp Fed W/H</t>
  </si>
  <si>
    <t>2413.2414</t>
  </si>
  <si>
    <t>2413-2414</t>
  </si>
  <si>
    <t>Tax Collection Pay - StCitySalesFranExc</t>
  </si>
  <si>
    <t xml:space="preserve">     Subtotal Tax Collections Payable</t>
  </si>
  <si>
    <t xml:space="preserve">     TOTAL ACCOUNTS PAYABLE</t>
  </si>
  <si>
    <t>2360</t>
  </si>
  <si>
    <t>Income Taxes Accrued</t>
  </si>
  <si>
    <t>2361</t>
  </si>
  <si>
    <t>[*,/42]</t>
  </si>
  <si>
    <t>[42*]</t>
  </si>
  <si>
    <t>Income Taxes Accrued non-current</t>
  </si>
  <si>
    <t>2362</t>
  </si>
  <si>
    <t>Other Taxes Accrued</t>
  </si>
  <si>
    <t>2363</t>
  </si>
  <si>
    <t>Other Taxes Accrued use tax WA</t>
  </si>
  <si>
    <t>2364</t>
  </si>
  <si>
    <t>Other Taxes Accrued property tax wa or</t>
  </si>
  <si>
    <t>2380</t>
  </si>
  <si>
    <t>Dividends Declared</t>
  </si>
  <si>
    <t>2351</t>
  </si>
  <si>
    <t>Customer Deposits</t>
  </si>
  <si>
    <t>2370</t>
  </si>
  <si>
    <t>Interest Accrued - Short-term Debt</t>
  </si>
  <si>
    <t>2371</t>
  </si>
  <si>
    <t>Interest Accrued - Customer Deposits</t>
  </si>
  <si>
    <t>2372</t>
  </si>
  <si>
    <t>Interest Accrued - Long-term Debt</t>
  </si>
  <si>
    <t>2422</t>
  </si>
  <si>
    <t>Misc Current Liab - Payroll</t>
  </si>
  <si>
    <t>2420</t>
  </si>
  <si>
    <t>Other Current Liabilities</t>
  </si>
  <si>
    <t>2423</t>
  </si>
  <si>
    <t>Misc Current Liab - Vacation Wages</t>
  </si>
  <si>
    <t>2429</t>
  </si>
  <si>
    <t>[4*,00*,01*,02*,03*]</t>
  </si>
  <si>
    <t>Misc Current Liab - Other</t>
  </si>
  <si>
    <t>Misc Current Liab - Payroll related</t>
  </si>
  <si>
    <t>Workers Comp Withholding - WA</t>
  </si>
  <si>
    <t>Workers Comp Withholding - OR</t>
  </si>
  <si>
    <t>2282</t>
  </si>
  <si>
    <t>[/02,/03]</t>
  </si>
  <si>
    <t>Accrued Provision - Injuries &amp; Damages</t>
  </si>
  <si>
    <t>2284</t>
  </si>
  <si>
    <t>02*</t>
  </si>
  <si>
    <t>Misc Current Liabilities</t>
  </si>
  <si>
    <t>03*</t>
  </si>
  <si>
    <t>Curr Yr Due SGL Automotive</t>
  </si>
  <si>
    <t>2292</t>
  </si>
  <si>
    <t>Accrued Provision - Gas Rate Refund</t>
  </si>
  <si>
    <t>2530</t>
  </si>
  <si>
    <t>01*</t>
  </si>
  <si>
    <t>Other Deferred Credits - Gas costs</t>
  </si>
  <si>
    <t>[02008,02009]</t>
  </si>
  <si>
    <t>Core Gas Supply Hedging - Reg Liability</t>
  </si>
  <si>
    <t>2440</t>
  </si>
  <si>
    <t xml:space="preserve">     TOTAL MISC CURRENT LIABILITIES</t>
  </si>
  <si>
    <t>[02,03]</t>
  </si>
  <si>
    <t>Accrued Provision - Injuries &amp; Damages NC</t>
  </si>
  <si>
    <t>2283</t>
  </si>
  <si>
    <t>Pension and Benefits</t>
  </si>
  <si>
    <t>2300</t>
  </si>
  <si>
    <t>ARO Liability</t>
  </si>
  <si>
    <t>2520</t>
  </si>
  <si>
    <t>[02*,/02008,/02009,/02010]</t>
  </si>
  <si>
    <t>Other Deferred Credits - Regulatory Liability</t>
  </si>
  <si>
    <t>[02010]</t>
  </si>
  <si>
    <t>Misc Def Cr - Regulatory Liability</t>
  </si>
  <si>
    <t>Other Deferred Credits - Def Revenue Adjustments</t>
  </si>
  <si>
    <t>2539</t>
  </si>
  <si>
    <t>[/0104*,/0107*,/0108*]</t>
  </si>
  <si>
    <t>Other Deferred Credits</t>
  </si>
  <si>
    <t>[0104*,0107*,0108*]</t>
  </si>
  <si>
    <t>Pension contribution</t>
  </si>
  <si>
    <t>2540</t>
  </si>
  <si>
    <t>20222</t>
  </si>
  <si>
    <t>Reg Liab Post Retirement FAS 158</t>
  </si>
  <si>
    <t>[20201*]</t>
  </si>
  <si>
    <t>Other Regulatory Liabilities - SFAS 109 Regulatory</t>
  </si>
  <si>
    <t>[/20211,/20201*,/20222]</t>
  </si>
  <si>
    <t>Other Regulatory Liabilities</t>
  </si>
  <si>
    <t>[20211]</t>
  </si>
  <si>
    <t xml:space="preserve">     TOTAL DEFERRED CREDITS</t>
  </si>
  <si>
    <t>2550</t>
  </si>
  <si>
    <t>Deferred Investment Tax Credits</t>
  </si>
  <si>
    <t>2820</t>
  </si>
  <si>
    <t>Accum DIT - Other Property</t>
  </si>
  <si>
    <t>2830</t>
  </si>
  <si>
    <t xml:space="preserve">Accum DIT - Other </t>
  </si>
  <si>
    <t xml:space="preserve">    TOTAL INCOME TAXES</t>
  </si>
  <si>
    <t>4002</t>
  </si>
  <si>
    <t>Gas Billed Revenue</t>
  </si>
  <si>
    <t>4009</t>
  </si>
  <si>
    <t>Unbilled Gas Revenue</t>
  </si>
  <si>
    <t>4880</t>
  </si>
  <si>
    <t>Misc Gas Service Revenue</t>
  </si>
  <si>
    <t>Gas Transportation Revenues</t>
  </si>
  <si>
    <t>4891</t>
  </si>
  <si>
    <t>Unbilled Gas Transport Revenues</t>
  </si>
  <si>
    <t>Rent from Gas Properties</t>
  </si>
  <si>
    <t>Other Gas Revenues</t>
  </si>
  <si>
    <t>4962</t>
  </si>
  <si>
    <t>Provision for Gas Refunds</t>
  </si>
  <si>
    <t>5000</t>
  </si>
  <si>
    <t>conversion earnings</t>
  </si>
  <si>
    <t xml:space="preserve">     TOTAL GAS REVENUE</t>
  </si>
  <si>
    <t>4190</t>
  </si>
  <si>
    <t>Interest and Dividend Income - Accrued Tax Interest</t>
  </si>
  <si>
    <t>4210</t>
  </si>
  <si>
    <t>Misc Non-Oper Income</t>
  </si>
  <si>
    <t>4181</t>
  </si>
  <si>
    <t>Equity in Earnings of Subsidiaries</t>
  </si>
  <si>
    <t>4191</t>
  </si>
  <si>
    <t>Allow Other Funds Used Dur Construct</t>
  </si>
  <si>
    <t>4320</t>
  </si>
  <si>
    <t>Allow Borrowed Funds Used Dur Construct</t>
  </si>
  <si>
    <t>4170</t>
  </si>
  <si>
    <t>Nonutility Revenues</t>
  </si>
  <si>
    <t xml:space="preserve">     TOTAL OTHER REVENUE</t>
  </si>
  <si>
    <t xml:space="preserve">     TOTAL CREDITS</t>
  </si>
  <si>
    <t>Totals</t>
  </si>
  <si>
    <t>Total Investment</t>
  </si>
  <si>
    <t>Working Capital %</t>
  </si>
  <si>
    <t xml:space="preserve">Weather </t>
  </si>
  <si>
    <t>Normalization</t>
  </si>
  <si>
    <t>Line No.</t>
  </si>
  <si>
    <t>Therms</t>
  </si>
  <si>
    <t>Residential</t>
  </si>
  <si>
    <t>Rate Schedule No. 503</t>
  </si>
  <si>
    <t>Commercial</t>
  </si>
  <si>
    <t>Rate Schedule No. 504</t>
  </si>
  <si>
    <t>Gas Cost</t>
  </si>
  <si>
    <t xml:space="preserve">    (WACOG x Adjustment)</t>
  </si>
  <si>
    <t>Concentrix</t>
  </si>
  <si>
    <t>Depreciation Expense  -  Rate 2.58%</t>
  </si>
  <si>
    <t xml:space="preserve">   Accumulated Depr. (Avg)</t>
  </si>
  <si>
    <t>Accum Tax depreciation</t>
  </si>
  <si>
    <t xml:space="preserve">   Accum Def Tax (Avg)</t>
  </si>
  <si>
    <t>FIT</t>
  </si>
  <si>
    <t>Rate Bate</t>
  </si>
  <si>
    <t>UTC Fees</t>
  </si>
  <si>
    <t>State B&amp;O Tax</t>
  </si>
  <si>
    <t xml:space="preserve">Greater Grays Harbor, Inc     </t>
  </si>
  <si>
    <t xml:space="preserve">                              </t>
  </si>
  <si>
    <t xml:space="preserve">HOQUIAM LOGGERS PLAYDAY INC   </t>
  </si>
  <si>
    <t xml:space="preserve">sponsorship                   </t>
  </si>
  <si>
    <t xml:space="preserve">HOME BUILDERS ASSOCIATION     </t>
  </si>
  <si>
    <t xml:space="preserve">COLUMBIA CENTER               </t>
  </si>
  <si>
    <t xml:space="preserve">GRAYS HARBOR MOUNTED POSSE    </t>
  </si>
  <si>
    <t>MASON COUNTY FOREST FESTIVAL A</t>
  </si>
  <si>
    <t xml:space="preserve">MDUR Cross Charge 29995       </t>
  </si>
  <si>
    <t>TRI-CITY REGIONAL CHAMBER OF C</t>
  </si>
  <si>
    <t>PACIFIC BASEBALL VENTURES- YAK</t>
  </si>
  <si>
    <t>Total account 913</t>
  </si>
  <si>
    <t>Total Account 930.1</t>
  </si>
  <si>
    <t>Proposed Adjustments to Test Year Results</t>
  </si>
  <si>
    <t>R-1</t>
  </si>
  <si>
    <t>R-2</t>
  </si>
  <si>
    <t>P-1</t>
  </si>
  <si>
    <t>P-2</t>
  </si>
  <si>
    <t>P-4</t>
  </si>
  <si>
    <t>P-5</t>
  </si>
  <si>
    <t>P-6</t>
  </si>
  <si>
    <t>P-7</t>
  </si>
  <si>
    <t>Pro Forma</t>
  </si>
  <si>
    <t>Results of</t>
  </si>
  <si>
    <t>Operation</t>
  </si>
  <si>
    <t>Annual Wages</t>
  </si>
  <si>
    <t>Wage</t>
  </si>
  <si>
    <t>Annual Wage</t>
  </si>
  <si>
    <t>Annualize</t>
  </si>
  <si>
    <t>2017 Wage</t>
  </si>
  <si>
    <t>Number</t>
  </si>
  <si>
    <t>Non-Capital</t>
  </si>
  <si>
    <t>Date</t>
  </si>
  <si>
    <t>Prior to increase</t>
  </si>
  <si>
    <t>increase</t>
  </si>
  <si>
    <t>Non-Union</t>
  </si>
  <si>
    <t>Union</t>
  </si>
  <si>
    <t>Apr 1 2015</t>
  </si>
  <si>
    <t>28130</t>
  </si>
  <si>
    <t>28700</t>
  </si>
  <si>
    <t>28710</t>
  </si>
  <si>
    <t>28740</t>
  </si>
  <si>
    <t>28780</t>
  </si>
  <si>
    <t>28790</t>
  </si>
  <si>
    <t>28800</t>
  </si>
  <si>
    <t>28870</t>
  </si>
  <si>
    <t>28890</t>
  </si>
  <si>
    <t>28900</t>
  </si>
  <si>
    <t>28920</t>
  </si>
  <si>
    <t>28930</t>
  </si>
  <si>
    <t>29020</t>
  </si>
  <si>
    <t>29030</t>
  </si>
  <si>
    <t>29200</t>
  </si>
  <si>
    <t>2488</t>
  </si>
  <si>
    <t>28720</t>
  </si>
  <si>
    <t>28750</t>
  </si>
  <si>
    <t>28760</t>
  </si>
  <si>
    <t>28880</t>
  </si>
  <si>
    <t>28940</t>
  </si>
  <si>
    <t>29350</t>
  </si>
  <si>
    <t>Employer FICA</t>
  </si>
  <si>
    <t>Revenue</t>
  </si>
  <si>
    <t>Revenue adjustment associated with annualizing the CRM rate</t>
  </si>
  <si>
    <t>Property Tax</t>
  </si>
  <si>
    <t>R-3</t>
  </si>
  <si>
    <t>Restate</t>
  </si>
  <si>
    <t>Plant</t>
  </si>
  <si>
    <t>Res</t>
  </si>
  <si>
    <t>Comm&amp; Indust</t>
  </si>
  <si>
    <t>Trans</t>
  </si>
  <si>
    <t>----------------</t>
  </si>
  <si>
    <t>Capital Structure Calculation</t>
  </si>
  <si>
    <t>Pro Forma Wage Adjustment</t>
  </si>
  <si>
    <t>Pro Forma Plant Additions</t>
  </si>
  <si>
    <t>Rate Case Costs</t>
  </si>
  <si>
    <t>Revenue Adjustment</t>
  </si>
  <si>
    <t>Gas Costs</t>
  </si>
  <si>
    <t>Twelve Months Ended December 31, 2016</t>
  </si>
  <si>
    <t>12 Months Ended December 31, 2016</t>
  </si>
  <si>
    <t xml:space="preserve">                       -  </t>
  </si>
  <si>
    <t xml:space="preserve">                        -  </t>
  </si>
  <si>
    <t>Ended 12/31/2016</t>
  </si>
  <si>
    <t>12 Months ended December 31, 2016</t>
  </si>
  <si>
    <t>UG 17____</t>
  </si>
  <si>
    <t>***</t>
  </si>
  <si>
    <t>December 2015</t>
  </si>
  <si>
    <t>January 2016</t>
  </si>
  <si>
    <t>February 2016</t>
  </si>
  <si>
    <t>March 2016</t>
  </si>
  <si>
    <t>April 2016</t>
  </si>
  <si>
    <t>May 2016</t>
  </si>
  <si>
    <t>June 2016</t>
  </si>
  <si>
    <t>July 2016</t>
  </si>
  <si>
    <t>August 2016</t>
  </si>
  <si>
    <t>September 2016</t>
  </si>
  <si>
    <t>October 2016</t>
  </si>
  <si>
    <t>November 2016</t>
  </si>
  <si>
    <t>December 2016</t>
  </si>
  <si>
    <t>1088</t>
  </si>
  <si>
    <t>Gas Accum Prov ARO</t>
  </si>
  <si>
    <t>Storage Boil-Off</t>
  </si>
  <si>
    <t>99</t>
  </si>
  <si>
    <t xml:space="preserve"> Debt Issuance Cost Reclass</t>
  </si>
  <si>
    <t>Debt Issuance Cost Reclass</t>
  </si>
  <si>
    <t>000</t>
  </si>
  <si>
    <t>Trade Accts Pay - PNC Bank</t>
  </si>
  <si>
    <t>20209</t>
  </si>
  <si>
    <t>1860.20209</t>
  </si>
  <si>
    <t>Regulatory Asset - ARO</t>
  </si>
  <si>
    <t>For Rate Base</t>
  </si>
  <si>
    <t>Oregon</t>
  </si>
  <si>
    <t>2017 Estimated Deferral</t>
  </si>
  <si>
    <t>Total Estimated Deferral through 2017</t>
  </si>
  <si>
    <t>Annual Amortization</t>
  </si>
  <si>
    <t>MAOP</t>
  </si>
  <si>
    <t>Deferral</t>
  </si>
  <si>
    <t>Amortization</t>
  </si>
  <si>
    <t>MAOP Deferral Amortization</t>
  </si>
  <si>
    <t>Miscellaneous Charges</t>
  </si>
  <si>
    <t>Name of Fee</t>
  </si>
  <si>
    <t>Impact on Revenue</t>
  </si>
  <si>
    <t>Pilot Light</t>
  </si>
  <si>
    <t>New Premise Charge</t>
  </si>
  <si>
    <t>Reconnect - business hours</t>
  </si>
  <si>
    <t>Reconnect - after hours</t>
  </si>
  <si>
    <t>Proposed Revenue</t>
  </si>
  <si>
    <t>Current Revenue</t>
  </si>
  <si>
    <t>2016 wage</t>
  </si>
  <si>
    <t xml:space="preserve">2017 Total </t>
  </si>
  <si>
    <t>2018 Wage</t>
  </si>
  <si>
    <t>Jan 1 2016</t>
  </si>
  <si>
    <t xml:space="preserve">CENTURYLINK                   </t>
  </si>
  <si>
    <t xml:space="preserve">PETTY CASH - BARBARA BURRITT  </t>
  </si>
  <si>
    <t xml:space="preserve">Pendleton Babe Ruth           </t>
  </si>
  <si>
    <t xml:space="preserve">PENDLETON BUCKAROO BOOSTERS   </t>
  </si>
  <si>
    <t xml:space="preserve">NORTHWEST GAS ASSOCIATION     </t>
  </si>
  <si>
    <t xml:space="preserve">M KINGERY 4-16                </t>
  </si>
  <si>
    <t xml:space="preserve">M KINGERY 5-16                </t>
  </si>
  <si>
    <t xml:space="preserve">M KINGERY 8-16                </t>
  </si>
  <si>
    <t xml:space="preserve">YAKIMA VALLEY PIPPINS         </t>
  </si>
  <si>
    <t xml:space="preserve">BRITTEN BANNERS INC           </t>
  </si>
  <si>
    <t xml:space="preserve">Acct 300311214                </t>
  </si>
  <si>
    <t xml:space="preserve">REIMBURSEMENT                 </t>
  </si>
  <si>
    <t xml:space="preserve">BANNER AT PARK                </t>
  </si>
  <si>
    <t xml:space="preserve">BUSINESS MEMBERSHIP           </t>
  </si>
  <si>
    <t xml:space="preserve">Gas Night Western Conf        </t>
  </si>
  <si>
    <t xml:space="preserve">Facebook promoted posts       </t>
  </si>
  <si>
    <t xml:space="preserve">Facebook promotion            </t>
  </si>
  <si>
    <t xml:space="preserve">Annual Fee                    </t>
  </si>
  <si>
    <t xml:space="preserve">2016 sponsor                  </t>
  </si>
  <si>
    <t xml:space="preserve">BB CAMPAIGN (2) 2016          </t>
  </si>
  <si>
    <t xml:space="preserve">RENT 8262-0316-SBV-01779      </t>
  </si>
  <si>
    <t xml:space="preserve">SPONSORSHIP                   </t>
  </si>
  <si>
    <t xml:space="preserve">CUST: CASCADE NATURAL         </t>
  </si>
  <si>
    <t>LEASE RENT 8262-0316-SBV-01779</t>
  </si>
  <si>
    <t xml:space="preserve">LEASE 8262-0316-SBV-01779     </t>
  </si>
  <si>
    <t xml:space="preserve">LEASE RENT                    </t>
  </si>
  <si>
    <t>Amount</t>
  </si>
  <si>
    <t>WA Allocated</t>
  </si>
  <si>
    <t>WA Situs</t>
  </si>
  <si>
    <t xml:space="preserve">T URLAND 5-16                 </t>
  </si>
  <si>
    <t xml:space="preserve">UNITED WAY OF SKAGIT COUNTY   </t>
  </si>
  <si>
    <t>MOUNT VERNON DOWNTOW ASSOCIATI</t>
  </si>
  <si>
    <t xml:space="preserve">IMAGE IN ACTION               </t>
  </si>
  <si>
    <t>VISUAL THINKING NORTHWEST, INC</t>
  </si>
  <si>
    <t xml:space="preserve">TOWN &amp; COUNTRY ADVERTISING    </t>
  </si>
  <si>
    <t xml:space="preserve">K MCCAULEY 6-16               </t>
  </si>
  <si>
    <t xml:space="preserve">J.D. POWER AND ASSOCIATES     </t>
  </si>
  <si>
    <t xml:space="preserve">MDUR 01-2016                  </t>
  </si>
  <si>
    <t xml:space="preserve">MDUR 02-2016                  </t>
  </si>
  <si>
    <t xml:space="preserve">MDUR 03-2016                  </t>
  </si>
  <si>
    <t xml:space="preserve">MDUR 04-2016                  </t>
  </si>
  <si>
    <t xml:space="preserve">ETS 04-2014                   </t>
  </si>
  <si>
    <t xml:space="preserve">ETS 05-2016                   </t>
  </si>
  <si>
    <t xml:space="preserve">MDUR 05-2016                  </t>
  </si>
  <si>
    <t xml:space="preserve">MDUR 06-2016                  </t>
  </si>
  <si>
    <t xml:space="preserve">MDUR 07-2014                  </t>
  </si>
  <si>
    <t xml:space="preserve">MDUR 8-2016                   </t>
  </si>
  <si>
    <t xml:space="preserve">MDUR 09-2016                  </t>
  </si>
  <si>
    <t xml:space="preserve">MDUR 10-2016                  </t>
  </si>
  <si>
    <t xml:space="preserve">MDUR 11-2016                  </t>
  </si>
  <si>
    <t xml:space="preserve">MDUR 12-2016                  </t>
  </si>
  <si>
    <t>BISMARCK TRIBUNE - advertising</t>
  </si>
  <si>
    <t xml:space="preserve">A BERGER 8-16                 </t>
  </si>
  <si>
    <t xml:space="preserve">CHERRY CREEK RADIO            </t>
  </si>
  <si>
    <t xml:space="preserve">M COWLISHAW 4-16              </t>
  </si>
  <si>
    <t xml:space="preserve">TOWN TOYOTA CENTER            </t>
  </si>
  <si>
    <t xml:space="preserve">MV Parks Foundation           </t>
  </si>
  <si>
    <t xml:space="preserve">SPONSORSHIP CAMPAIGN T-SHIRTS </t>
  </si>
  <si>
    <t xml:space="preserve">HOLIDAY KICK OFF              </t>
  </si>
  <si>
    <t xml:space="preserve">arena sign                    </t>
  </si>
  <si>
    <t xml:space="preserve">MEMBERSHIP DUES               </t>
  </si>
  <si>
    <t xml:space="preserve">QUARTER PAGE AD               </t>
  </si>
  <si>
    <t xml:space="preserve">Oysterfest Preview            </t>
  </si>
  <si>
    <t xml:space="preserve">PROGRAM ADVERTISEMENT         </t>
  </si>
  <si>
    <t xml:space="preserve">YAKIMA RADIO-JUNE             </t>
  </si>
  <si>
    <t xml:space="preserve">AD# A271673                   </t>
  </si>
  <si>
    <t xml:space="preserve">ACCT 20856 ROUND UP PROMO     </t>
  </si>
  <si>
    <t xml:space="preserve">ACCT 20856                    </t>
  </si>
  <si>
    <t xml:space="preserve">ACCT 300311214                </t>
  </si>
  <si>
    <t xml:space="preserve">Baker and Malheur County Fair </t>
  </si>
  <si>
    <t xml:space="preserve">CUST 529326                   </t>
  </si>
  <si>
    <t xml:space="preserve">MDUR Cross Charge 20982       </t>
  </si>
  <si>
    <t xml:space="preserve">NEW SIGN SPONSOR              </t>
  </si>
  <si>
    <t xml:space="preserve">CAPITOL SPONSOR               </t>
  </si>
  <si>
    <t xml:space="preserve">Acct 104-60001147             </t>
  </si>
  <si>
    <t xml:space="preserve">Job No 90-21.23-16 &amp; 90-24.25 </t>
  </si>
  <si>
    <t xml:space="preserve">General Outreach images       </t>
  </si>
  <si>
    <t xml:space="preserve">photo for Dasherboard Artwork </t>
  </si>
  <si>
    <t>Less 2016 Actual Expense</t>
  </si>
  <si>
    <t>Miscellaneous</t>
  </si>
  <si>
    <t>Charge</t>
  </si>
  <si>
    <t>Changes</t>
  </si>
  <si>
    <t>29030A</t>
  </si>
  <si>
    <t>29200A</t>
  </si>
  <si>
    <t>Low-Income</t>
  </si>
  <si>
    <t>Bill</t>
  </si>
  <si>
    <t>Assistance</t>
  </si>
  <si>
    <t>Low-Income Bill Assistance</t>
  </si>
  <si>
    <t>Amounts included in Test Year that need to be removed due to implementing a new recovery mechanism</t>
  </si>
  <si>
    <t>Jan</t>
  </si>
  <si>
    <t>Feb</t>
  </si>
  <si>
    <t>Mar</t>
  </si>
  <si>
    <t>Apr</t>
  </si>
  <si>
    <t>May</t>
  </si>
  <si>
    <t>Jun</t>
  </si>
  <si>
    <t>Jul</t>
  </si>
  <si>
    <t>Aug</t>
  </si>
  <si>
    <t>Schedules</t>
  </si>
  <si>
    <t>Commodity</t>
  </si>
  <si>
    <t>Demand</t>
  </si>
  <si>
    <t>Weather</t>
  </si>
  <si>
    <t>Normalized</t>
  </si>
  <si>
    <t>Rate</t>
  </si>
  <si>
    <t>Total Gas Cost Revenue</t>
  </si>
  <si>
    <t>Misc</t>
  </si>
  <si>
    <t>R-4</t>
  </si>
  <si>
    <t>Compliance</t>
  </si>
  <si>
    <t>Department</t>
  </si>
  <si>
    <t>CRM</t>
  </si>
  <si>
    <t>P-3</t>
  </si>
  <si>
    <t>P-8</t>
  </si>
  <si>
    <t>P-9</t>
  </si>
  <si>
    <t>2018 Estimate through May 31</t>
  </si>
  <si>
    <t>5110: O&amp;M Straight time allocated to CNG by Business Unit for 2016</t>
  </si>
  <si>
    <t>4760500 MDUR Cross Charges to CNGC</t>
  </si>
  <si>
    <t>4763400 Mapping &amp; Design</t>
  </si>
  <si>
    <t>4766000 MDU Allocated Costs</t>
  </si>
  <si>
    <t>4766200 IGC Allocated Costs</t>
  </si>
  <si>
    <t>4767000 Credit and Collections</t>
  </si>
  <si>
    <t>4767100 Customer Services, Dir</t>
  </si>
  <si>
    <t>4767200 Meridian-Cust Svc Ctr</t>
  </si>
  <si>
    <t>4767300 Customer Development/Programs</t>
  </si>
  <si>
    <t>4767400 Scheduling</t>
  </si>
  <si>
    <t>4767500 IT Risk Mgt</t>
  </si>
  <si>
    <t>4767600 Information Tech, Dir</t>
  </si>
  <si>
    <t>4767700 Communications</t>
  </si>
  <si>
    <t>4767800 Information Systems</t>
  </si>
  <si>
    <t>4767900 Mobile Services Manager</t>
  </si>
  <si>
    <t>4768000 Office Services</t>
  </si>
  <si>
    <t>2017 New Position</t>
  </si>
  <si>
    <t>Dir, MAOP Validation</t>
  </si>
  <si>
    <t>Engineer -System Integrity</t>
  </si>
  <si>
    <t>Start Date</t>
  </si>
  <si>
    <t>Title</t>
  </si>
  <si>
    <t>O&amp;M</t>
  </si>
  <si>
    <t>CAP</t>
  </si>
  <si>
    <t>WA Allocation %</t>
  </si>
  <si>
    <t>Pro Forma Adj</t>
  </si>
  <si>
    <t>Loading Factor</t>
  </si>
  <si>
    <t>FICA</t>
  </si>
  <si>
    <t>Restated Gas Costs</t>
  </si>
  <si>
    <t>Restated Gas Cost Revenues</t>
  </si>
  <si>
    <t>AA</t>
  </si>
  <si>
    <t>PRD</t>
  </si>
  <si>
    <t>PER</t>
  </si>
  <si>
    <t>00047</t>
  </si>
  <si>
    <t>Work Order</t>
  </si>
  <si>
    <t>Funding Project</t>
  </si>
  <si>
    <t>Description/</t>
  </si>
  <si>
    <t>Status</t>
  </si>
  <si>
    <t>District</t>
  </si>
  <si>
    <t>Depr Rate</t>
  </si>
  <si>
    <t>FP-200687</t>
  </si>
  <si>
    <t>CRM RPL ANACORTES STEEL</t>
  </si>
  <si>
    <t>00193978</t>
  </si>
  <si>
    <t xml:space="preserve">     - 6" PE Main</t>
  </si>
  <si>
    <t>I/S - 09/08/14</t>
  </si>
  <si>
    <t>Mount Vernon</t>
  </si>
  <si>
    <t>3763</t>
  </si>
  <si>
    <t>00212775</t>
  </si>
  <si>
    <t xml:space="preserve">     - Retire/Replace 3/4" Steel Service</t>
  </si>
  <si>
    <t>I/S - 09/17/14</t>
  </si>
  <si>
    <t>3801</t>
  </si>
  <si>
    <t>00215109</t>
  </si>
  <si>
    <t>I/S - 09/24/14</t>
  </si>
  <si>
    <t>00215113</t>
  </si>
  <si>
    <t xml:space="preserve">     - Retire/Replace 1" Steel Service</t>
  </si>
  <si>
    <t>I/S - 09/15/14</t>
  </si>
  <si>
    <t>00224186</t>
  </si>
  <si>
    <t xml:space="preserve">     - RP-6" HP STL Anacortes Phase 3 S 1</t>
  </si>
  <si>
    <t>I/S - 10/19/15</t>
  </si>
  <si>
    <t>00224188</t>
  </si>
  <si>
    <t xml:space="preserve">     - RP 2" PE Main Anacortes Phase 3 S 2</t>
  </si>
  <si>
    <t>I/S - 01/11/16</t>
  </si>
  <si>
    <t>00224189</t>
  </si>
  <si>
    <t xml:space="preserve">     - RP-2" PE Anacortes Phase 3 S 3</t>
  </si>
  <si>
    <t>I/S - 10/20/15</t>
  </si>
  <si>
    <t>00224190</t>
  </si>
  <si>
    <t xml:space="preserve">     - RP 2" PE Anacortes Phase 3 S4</t>
  </si>
  <si>
    <t>I/S - 12/22/15</t>
  </si>
  <si>
    <t>00224191</t>
  </si>
  <si>
    <t xml:space="preserve">     - RP 2" PE Main Anacortes Phase 3 S5</t>
  </si>
  <si>
    <t>I/S - 12/16/15</t>
  </si>
  <si>
    <t>00224192</t>
  </si>
  <si>
    <t xml:space="preserve">     - RP 2" PE Main Anacortes Phase 3 S 6</t>
  </si>
  <si>
    <t>I/S - 09/30/15</t>
  </si>
  <si>
    <t>00233395</t>
  </si>
  <si>
    <t xml:space="preserve">     - RP 2" PE Main Anacortes Phase 4 Section 1</t>
  </si>
  <si>
    <t>Open</t>
  </si>
  <si>
    <t>00226756</t>
  </si>
  <si>
    <t>FP-306986</t>
  </si>
  <si>
    <t>CRM 3" BURLINGTON HP LINE REPL</t>
  </si>
  <si>
    <t>3762</t>
  </si>
  <si>
    <t>FP-302663</t>
  </si>
  <si>
    <t>CRM BELLINGHAM BRIDGE CROSSINGS RMV</t>
  </si>
  <si>
    <t>00226370</t>
  </si>
  <si>
    <t>Reg Sta R-172 in Bellingham</t>
  </si>
  <si>
    <t>Bellingham</t>
  </si>
  <si>
    <t>3780</t>
  </si>
  <si>
    <t>00227163</t>
  </si>
  <si>
    <t>2" Steel Main - Bellingham</t>
  </si>
  <si>
    <t>3761</t>
  </si>
  <si>
    <t>00227166</t>
  </si>
  <si>
    <t>CRM Bridge Crossing</t>
  </si>
  <si>
    <t>I/S - 12/14/15</t>
  </si>
  <si>
    <t>00228479</t>
  </si>
  <si>
    <t>8" HP Retirement</t>
  </si>
  <si>
    <t>I/S - 12/28/15</t>
  </si>
  <si>
    <t>00208729</t>
  </si>
  <si>
    <t>FP-302664</t>
  </si>
  <si>
    <t>CRM WENATCHEE RIVER RR BRIDGE RPL</t>
  </si>
  <si>
    <t>I/S - 12/08/15</t>
  </si>
  <si>
    <t>Wenatchee</t>
  </si>
  <si>
    <t>00225882</t>
  </si>
  <si>
    <t>FP-304022</t>
  </si>
  <si>
    <t>CRM 4" GRANDVIEW HP LINE #3 RPL</t>
  </si>
  <si>
    <t>I/S - 11/20/15</t>
  </si>
  <si>
    <t>Yakima</t>
  </si>
  <si>
    <t>00218481</t>
  </si>
  <si>
    <t>FP-307003</t>
  </si>
  <si>
    <t>CRM DAKOTA CREEK BRIDGE RELOCATE</t>
  </si>
  <si>
    <t>I/S - 04/27/15</t>
  </si>
  <si>
    <t>00222311</t>
  </si>
  <si>
    <t>FP-307024</t>
  </si>
  <si>
    <t>CRM SUNNYSIDE 2" IP MAIN RPL</t>
  </si>
  <si>
    <t>I/S - 03/04/16</t>
  </si>
  <si>
    <t>FP-200686</t>
  </si>
  <si>
    <t>CRM RPL LONGVIEW BARE STEEL</t>
  </si>
  <si>
    <t>Longview</t>
  </si>
  <si>
    <t>00193977</t>
  </si>
  <si>
    <t xml:space="preserve"> - Longview Bare Steel Replacement - Phase II</t>
  </si>
  <si>
    <t>I/S - 10/02/13</t>
  </si>
  <si>
    <t>Multiple</t>
  </si>
  <si>
    <t>00213338</t>
  </si>
  <si>
    <t xml:space="preserve"> - Longview Bare Steel Replacement - Phase III</t>
  </si>
  <si>
    <t>I/S - 10/07/14</t>
  </si>
  <si>
    <t xml:space="preserve"> - Longview Bare Steel Replacement - Phase IV</t>
  </si>
  <si>
    <t>00221030</t>
  </si>
  <si>
    <t xml:space="preserve">     - Phase 4, Part A</t>
  </si>
  <si>
    <t>I/S - 01/26/16</t>
  </si>
  <si>
    <t>00221031</t>
  </si>
  <si>
    <t xml:space="preserve">     - Phase 4, Part B</t>
  </si>
  <si>
    <t>I/S - 06/06/16</t>
  </si>
  <si>
    <t>00221032</t>
  </si>
  <si>
    <t xml:space="preserve">     - Phase 4, Part C</t>
  </si>
  <si>
    <t>I/S - 10/12/15</t>
  </si>
  <si>
    <t>00222041</t>
  </si>
  <si>
    <t xml:space="preserve">     - Phase 4, Part D</t>
  </si>
  <si>
    <t>I/S - 08/05/15</t>
  </si>
  <si>
    <t>00229825</t>
  </si>
  <si>
    <t>I/S - 09/14/16</t>
  </si>
  <si>
    <t>00229826</t>
  </si>
  <si>
    <t>I/S - 10/22/16</t>
  </si>
  <si>
    <t>00229827</t>
  </si>
  <si>
    <t>I/S - 09/30/16</t>
  </si>
  <si>
    <t>00229835</t>
  </si>
  <si>
    <t>00221510</t>
  </si>
  <si>
    <t>FP-306996</t>
  </si>
  <si>
    <t>CRM KELSO MILL STREET REPLACEMENT</t>
  </si>
  <si>
    <t>I/S - 12/30/15</t>
  </si>
  <si>
    <t>00219107</t>
  </si>
  <si>
    <t>FP-307212</t>
  </si>
  <si>
    <t>CRM KELSO GRADE ST BRIDGE RELOCATE</t>
  </si>
  <si>
    <t>00222042</t>
  </si>
  <si>
    <t>FP-307027</t>
  </si>
  <si>
    <t>CRM BREMERTON HWY 3 CASING REMOVAL</t>
  </si>
  <si>
    <t>I/S - 09/09/15</t>
  </si>
  <si>
    <t>Bremerton</t>
  </si>
  <si>
    <t>FP-200691</t>
  </si>
  <si>
    <t>RL 6" HP MAIN, ZILLAH</t>
  </si>
  <si>
    <t>00193985</t>
  </si>
  <si>
    <t>I/S - 07/08/16</t>
  </si>
  <si>
    <t>Walla Walla</t>
  </si>
  <si>
    <t>00226921</t>
  </si>
  <si>
    <t>FP-305740</t>
  </si>
  <si>
    <t>CRM COLLEGE PLACE CARS PROJECT</t>
  </si>
  <si>
    <t>00218444</t>
  </si>
  <si>
    <t>I/S - 09/25/15</t>
  </si>
  <si>
    <t>00228240</t>
  </si>
  <si>
    <t>I/S - 06/01/16</t>
  </si>
  <si>
    <t>00220979</t>
  </si>
  <si>
    <t>FP-307025</t>
  </si>
  <si>
    <t>CRM SHELTON 4" IP BRIDGE REPLACEMENT</t>
  </si>
  <si>
    <t>I/S - 03/17/16</t>
  </si>
  <si>
    <t>Aberdeen</t>
  </si>
  <si>
    <t>00230683</t>
  </si>
  <si>
    <t>FP-313701</t>
  </si>
  <si>
    <t>4"HP SHORTED CASING - 1ST &amp; PARK</t>
  </si>
  <si>
    <t>I/S - 03/11/16</t>
  </si>
  <si>
    <t>00217915</t>
  </si>
  <si>
    <t>FP-309001</t>
  </si>
  <si>
    <t>RPL 2" steel main</t>
  </si>
  <si>
    <t>Kennewick</t>
  </si>
  <si>
    <t>00213962</t>
  </si>
  <si>
    <t>FP-101192</t>
  </si>
  <si>
    <t>CRM RP; 4" HP MAIN, LACONNER - LaConner Bridge</t>
  </si>
  <si>
    <t>I/S - 02/06/15</t>
  </si>
  <si>
    <t>00217876</t>
  </si>
  <si>
    <t>FP-302676</t>
  </si>
  <si>
    <t>CRM 8" BELLINGHAM LINE #1</t>
  </si>
  <si>
    <t>I/S - 01/21/15</t>
  </si>
  <si>
    <t>00217470</t>
  </si>
  <si>
    <t>FP-308761</t>
  </si>
  <si>
    <t>CRM 8" STL BORE, BURLINGTON</t>
  </si>
  <si>
    <t>I/S - 12/18/14</t>
  </si>
  <si>
    <t>00237001</t>
  </si>
  <si>
    <t>FP-306982</t>
  </si>
  <si>
    <t>CRM VANCE CREEK EXPOSURE REPLACE</t>
  </si>
  <si>
    <t>I/S - 10/27/16</t>
  </si>
  <si>
    <t>00236997</t>
  </si>
  <si>
    <t>FP-306983</t>
  </si>
  <si>
    <t>CRM CAMP CREEK EXPOSURE REPLACEMENT</t>
  </si>
  <si>
    <t>I/S - 10/28/16</t>
  </si>
  <si>
    <t>00198862</t>
  </si>
  <si>
    <t>FP-300346</t>
  </si>
  <si>
    <t>CRM RPL; 12" STL HP, KELSO</t>
  </si>
  <si>
    <t>I/S - 10/17/13</t>
  </si>
  <si>
    <t>00237680</t>
  </si>
  <si>
    <t>FP-312041</t>
  </si>
  <si>
    <t>CRM 6" NOB HILL REPLACEMENT</t>
  </si>
  <si>
    <t>00235812</t>
  </si>
  <si>
    <t>FP-312043</t>
  </si>
  <si>
    <t>KENNEWICK RR CROSS NEAR KAMIAKIN</t>
  </si>
  <si>
    <t>CRM RPL 2" STL MN - Bellingham</t>
  </si>
  <si>
    <t>CRM Investment from UG-160788</t>
  </si>
  <si>
    <t>AMA of CRM Investment in Test Year</t>
  </si>
  <si>
    <t>Plant adjustment to match CRM Revenue Adjustment with Investment</t>
  </si>
  <si>
    <t>Rate/Rev. Sen.</t>
  </si>
  <si>
    <t>Operating Report</t>
  </si>
  <si>
    <t xml:space="preserve">    REVENUES</t>
  </si>
  <si>
    <t xml:space="preserve">  Nat. Gas/Production Costs</t>
  </si>
  <si>
    <t xml:space="preserve">  Revenue Taxes</t>
  </si>
  <si>
    <t xml:space="preserve">    REVENUE</t>
  </si>
  <si>
    <t>From Exhibit No. MPP-6</t>
  </si>
  <si>
    <t>Function</t>
  </si>
  <si>
    <t>Funding Project - Description</t>
  </si>
  <si>
    <t>January</t>
  </si>
  <si>
    <t>February</t>
  </si>
  <si>
    <t>March</t>
  </si>
  <si>
    <t>April</t>
  </si>
  <si>
    <t>June</t>
  </si>
  <si>
    <t>July</t>
  </si>
  <si>
    <t>August</t>
  </si>
  <si>
    <t>September</t>
  </si>
  <si>
    <t>October</t>
  </si>
  <si>
    <t>November</t>
  </si>
  <si>
    <t>December</t>
  </si>
  <si>
    <t>Estimated In-Service Date</t>
  </si>
  <si>
    <t>Account No.</t>
  </si>
  <si>
    <t>2017 Total</t>
  </si>
  <si>
    <t>WA Alloc</t>
  </si>
  <si>
    <t>Actuals thru June</t>
  </si>
  <si>
    <t>Remaining Yr Budget</t>
  </si>
  <si>
    <t>Proposed Adjustment</t>
  </si>
  <si>
    <t>Notes</t>
  </si>
  <si>
    <t>Gas Intangible</t>
  </si>
  <si>
    <t>FP-101472 - UG-PIM Installation</t>
  </si>
  <si>
    <t>FP-101481 - UG-GPS Based Leak Survey - Replac</t>
  </si>
  <si>
    <t>FP-101510 - UG GMS PURCHASE SOFTWARE</t>
  </si>
  <si>
    <t>FP-200028 - UG AUTO TEST CNG DIRECT</t>
  </si>
  <si>
    <t>FP-200064 - UG-Customer Self-Service Web/IVR</t>
  </si>
  <si>
    <t>o</t>
  </si>
  <si>
    <t>FP-200663 - UG-GIS Enhancements</t>
  </si>
  <si>
    <t>FP-301813 - UG-GAS SCADA System Enhancements</t>
  </si>
  <si>
    <t>FP-302571 - UG-CC&amp;B Upgrade to v2.4</t>
  </si>
  <si>
    <t>FP-302579 - Upgrade CyberSecurity Environment</t>
  </si>
  <si>
    <t>FP-302616 - UG-Taleo-Human Capital Management</t>
  </si>
  <si>
    <t xml:space="preserve">FP-302621 - LV Customer Website </t>
  </si>
  <si>
    <t>FP-311939 - UG-PCAD Upgrade to v6.5</t>
  </si>
  <si>
    <t>FP-315501 - UG-JDE Corporate Consolidation</t>
  </si>
  <si>
    <t>FP-315524 - UG-PowerPlan Lease Module</t>
  </si>
  <si>
    <t>FP-315723 - UG PS&amp;I Enterprise Asset Mgmt CNG</t>
  </si>
  <si>
    <t>PS&amp;I</t>
  </si>
  <si>
    <t>Total Intangible Plant</t>
  </si>
  <si>
    <t>Gas Distribution</t>
  </si>
  <si>
    <t>FP-101170 - MAIN-GROWTH-OREGON</t>
  </si>
  <si>
    <t>FP-101171 - MAIN-REINFORCE-OREGON</t>
  </si>
  <si>
    <t>FP-101172 - MAIN-RELO-REPL-OREGON</t>
  </si>
  <si>
    <t>FP-101173 - R STA-GROWTH-OREGON</t>
  </si>
  <si>
    <t>FP-101175 - R STA-RELO-REPL-OREGON</t>
  </si>
  <si>
    <t>FP-101176 - SERV-GROWTH-OREGON</t>
  </si>
  <si>
    <t>FP-101177 - SERV-RELO-REPL-OREGON</t>
  </si>
  <si>
    <t>FP-101178 - STD M&amp;R-GROWTH-OREGON</t>
  </si>
  <si>
    <t>FP-101179 - STD M&amp;R-RELO-REPL-OREGON</t>
  </si>
  <si>
    <t>FP-101180 - IND M&amp;R-GROWTH-OREGON</t>
  </si>
  <si>
    <t>FP-101181 - IND M&amp;R-REMOVE&amp;REPLACE-OREGON</t>
  </si>
  <si>
    <t>FP-101190 - MAIN-GROWTH-WASHINGTON</t>
  </si>
  <si>
    <t>g</t>
  </si>
  <si>
    <t>FP-101191 - MAIN-REINFORCE-WASHINGTON</t>
  </si>
  <si>
    <t>b</t>
  </si>
  <si>
    <t>FP-101192 - MAIN-RELO-REPL-WASHINGTON</t>
  </si>
  <si>
    <t>FP-101194 - R STA-GROWTH-WASHINGTON</t>
  </si>
  <si>
    <t>FP-101196 - R STA-RELO-REPL-WASHINGTON</t>
  </si>
  <si>
    <t>FP-101197 - SERV-GROWTH-WASHINGTON</t>
  </si>
  <si>
    <t>FP-101198 - STD M&amp;R-GROWTH-WASHINGTON</t>
  </si>
  <si>
    <t>FP-101199 - STD M&amp;R-RELO-REPL-WASHINGTON</t>
  </si>
  <si>
    <t>FP-101200 - IND M&amp;R-GROWTH-WASHINGTON</t>
  </si>
  <si>
    <t>FP-101201 - IND M&amp;R-REMOVE&amp;REPL-WASHINGTON</t>
  </si>
  <si>
    <t>FP-101210 - PRE-CAP MTR-GROWTH-INTERSTAT</t>
  </si>
  <si>
    <t>FP-101259 - PRE-CAP REG-GROWTH-INTERSTAT</t>
  </si>
  <si>
    <t>FP-101275 - SERV-RELO-REPL-WASHINGTON</t>
  </si>
  <si>
    <t>FP-200080 - RF; 12" STEEL HP SHELTON</t>
  </si>
  <si>
    <t>c</t>
  </si>
  <si>
    <t>FP-200122 - RP; R-58, ABERDEEN</t>
  </si>
  <si>
    <t>FP-200162 - RPL; 4" STEEL HP MAIN, PASCO</t>
  </si>
  <si>
    <t>n</t>
  </si>
  <si>
    <t>FP-200282 - R STA - SUN RIVER GATE UPGRADE</t>
  </si>
  <si>
    <t>FP-200686 - CRM LONGVIEW PIPE REPLACEMENT</t>
  </si>
  <si>
    <t>FP-200687 - CRM ANACORTES PIPE REPLACEMENT</t>
  </si>
  <si>
    <t>FP-200688 - BEND PIPE REPL</t>
  </si>
  <si>
    <t>FP-200689 - MAOP RPL BEND HP LINE #1</t>
  </si>
  <si>
    <t>FP-200691 - CRM REL ZILLAH @ MEYERS BRIDGE RD</t>
  </si>
  <si>
    <t>FP-300346 - CRM/MAOP RPL; 12" STEEL HP, KELSO</t>
  </si>
  <si>
    <t>FP-300363 - CRM SHELTON PIPE REPLACEMENT</t>
  </si>
  <si>
    <t>FP-302369 - GB - GROUNDBED WASHINGTON</t>
  </si>
  <si>
    <t>FP-302370 - GB - GROUNDBED OREGON</t>
  </si>
  <si>
    <t>FP-302588 - HILDEBRAND BLVD 6" HP MAIN</t>
  </si>
  <si>
    <t>FP-302640 - 6" PILOT ROCK HP REPLACEMENT</t>
  </si>
  <si>
    <t>FP-302641 - 4" PILOT ROCK IP REINFORCEMENT</t>
  </si>
  <si>
    <t>FP-302648 - SOUTHRIDGE GATE STATION</t>
  </si>
  <si>
    <t>FP-302650 - O-4 UMATILLA</t>
  </si>
  <si>
    <t>FP-302653 - BREMERTON R-64 REPLACE/RELOCATE</t>
  </si>
  <si>
    <t>FP-302663 - CRM/MAOP BELLINGHAM RMV BRG XINGS</t>
  </si>
  <si>
    <t>FP-302665 - RICHLAND 4" IP CANAL/HWY CROSSING</t>
  </si>
  <si>
    <t>FP-302714 - PENDLETON V-23 REPLACEMENT</t>
  </si>
  <si>
    <t>FP-303081 - LAND &amp; LAND RIGHTS - WASHINGTON</t>
  </si>
  <si>
    <t>FP-303142 - PENDLETON PIPE REPLACEMENT</t>
  </si>
  <si>
    <t>FP-304020 - BELLINGHAM GATE UPGRADE</t>
  </si>
  <si>
    <t>FP-305740 - CRM College Place CARS Project</t>
  </si>
  <si>
    <t xml:space="preserve">FP-306100 - R-98, STANFIELD </t>
  </si>
  <si>
    <t>FP-306563 - REL/RE N RIM REPLACEMENT REDMOND</t>
  </si>
  <si>
    <t>FP-306982 - CRM VANCE CREEK EXPOSURE REPLACE</t>
  </si>
  <si>
    <t>FP-306983 - CRM CAMP CREEK EXPOSURE REPLACEMENT</t>
  </si>
  <si>
    <t>FP-306984 - STANWOOD REINFORCEMENT</t>
  </si>
  <si>
    <t>FP-306986 - CRM/MAOP 3" BURLINGTON HP LINE RPL</t>
  </si>
  <si>
    <t>FP-306993 - PORT ORCHARD 4" PE REINFORCEMENT</t>
  </si>
  <si>
    <t>FP-306995 - OTHELLO REYNOLDS RD REINFORCEMENT</t>
  </si>
  <si>
    <t>FP-306997 - MAOP 4" MADRAS HP LINE REPLACEMENT</t>
  </si>
  <si>
    <t>FP-306999 - V-13 BREMERTON REPLACEMENT</t>
  </si>
  <si>
    <t>FP-307002 - V-9 ABERDEEN REPLACEMENT</t>
  </si>
  <si>
    <t>FP-307212 - CRM KELSO GRADE ST BRIDGE RELOCATE</t>
  </si>
  <si>
    <t>FP-307221 - 8" YAKIMA HP PIPELINE</t>
  </si>
  <si>
    <t xml:space="preserve">FP-309000 - 4 in Steel IP Bore Columbia Park </t>
  </si>
  <si>
    <t>FP-309001 - CRM 2 IN STEEL IP BORE BELFAIR PL</t>
  </si>
  <si>
    <t>FP-309380 - MN; 6" PE Burlington to Bow</t>
  </si>
  <si>
    <t>FP-311354 - DEEP WELL GB - YAKIMA</t>
  </si>
  <si>
    <t>FP-311357 - DEEP WELL GB - ANACORTES</t>
  </si>
  <si>
    <t>FP-311358 - DEEP WELL GB - WALLA WALLA</t>
  </si>
  <si>
    <t>FP-311997 - 0-1 Ontario</t>
  </si>
  <si>
    <t>FP-311999 - 0-1 Mission</t>
  </si>
  <si>
    <t>FP-312000 - 0-2 Terrace Heights</t>
  </si>
  <si>
    <t>FP-312005 - R-29 Nooksack</t>
  </si>
  <si>
    <t>FP-312007 - R-19 Kennewick</t>
  </si>
  <si>
    <t>FP-312013 - R-9 Weston</t>
  </si>
  <si>
    <t>FP-312014 - R-13 Umatilla</t>
  </si>
  <si>
    <t>FP-312036 - R-51 Pendleton</t>
  </si>
  <si>
    <t>FP-312041 - CRM 6" Nob Hill Replacement</t>
  </si>
  <si>
    <t>FP-312043 - CRM Kenn RR Cross Near Kamiakin</t>
  </si>
  <si>
    <t>FP-312044 - V-12 PORT ORCHARD</t>
  </si>
  <si>
    <t>FP-312076 - 0-2 FINLEY</t>
  </si>
  <si>
    <t>FP-313429 - 6" MN FORCED RELOCATE-HWY 372 CASCA</t>
  </si>
  <si>
    <t>FP-313621 - FAMILY METER REPLACEMENT</t>
  </si>
  <si>
    <t>FP-314402 - FREESTONE BAYSIDE PHASE II</t>
  </si>
  <si>
    <t>FP-314501 - Replace 844' of steel main</t>
  </si>
  <si>
    <t>FP-314643 - 2" STL MN, RE 2 REG STATIONS - BELL</t>
  </si>
  <si>
    <t>FP-314963 - MAOP RPL 8" ANACORTES - SEG. 18191</t>
  </si>
  <si>
    <t>FP-314964 - MAOP RPL 8" MARCH POINT - 11C1144-1</t>
  </si>
  <si>
    <t>FP-315022 - R-64 SUNNYSIDE</t>
  </si>
  <si>
    <t xml:space="preserve">FP-315122 - 6" 4" &amp; 2" MAIN FOR WEST VILLAGE </t>
  </si>
  <si>
    <t>FP-315143 - 2000' 6" Southridge Blvd Kennewick</t>
  </si>
  <si>
    <t>FP-315144 - AUTOZONE CLS 349</t>
  </si>
  <si>
    <t>FP-315222 - DEEP WELL GB - WENATCHEE</t>
  </si>
  <si>
    <t>FP-315223 - DEEP WELL GB - PILOT ROCK</t>
  </si>
  <si>
    <t>FP-315224 - DEEP WELL GB - SHELTON</t>
  </si>
  <si>
    <t>FP-315226 - DEEP WELL GB - BAKER CITY</t>
  </si>
  <si>
    <t>FP-315574 - REINFORCEMENT 4" NE BRINSON BLVD</t>
  </si>
  <si>
    <t>FP-315575 - 2" STEEL MAIN - BELLINGHAM</t>
  </si>
  <si>
    <t>FP-315582 - Legends Casino MN &amp; Reinforcement</t>
  </si>
  <si>
    <t>FP-315607 - RF; 6" STEEL HP MAIN, KENNWICK/RICH</t>
  </si>
  <si>
    <t>FP-315610 - MN 4" PE JOHN STEVENS WAY HOQUIAM</t>
  </si>
  <si>
    <t>FP-315622 - Redmond R-30 Replacement</t>
  </si>
  <si>
    <t>FP-315634 - 2" PE MN - FERNDALE</t>
  </si>
  <si>
    <t>FP-315637 - 6" 4" 2" 1" PE MN EXT TRIPLE RIDGE</t>
  </si>
  <si>
    <t>FP-315638 - IN MN @ BARKLEY DR VALE</t>
  </si>
  <si>
    <t>FP-315639 - Main 4", 2" &amp; 1" PE Port Orchard</t>
  </si>
  <si>
    <t>FP-315641 - CRM Vance Creek Replacement (#2)</t>
  </si>
  <si>
    <t>FP-315668 - 4323' of 2" &amp; 1" pe main Pasco</t>
  </si>
  <si>
    <t>FP-315671 - INSTALL MAIN WALLA WALLA</t>
  </si>
  <si>
    <t>FP-315678 - RE/REL 4" Main IN SUNNYSIDE</t>
  </si>
  <si>
    <t>FP-315693 - REL MN@NE PURCELL BLVD&amp;NEFF BEND</t>
  </si>
  <si>
    <t>FP-315695 - INSTALL 4" MN COLLEGE PLACE</t>
  </si>
  <si>
    <t>FP-315709 - RP; ZILLAH 6" TRAN</t>
  </si>
  <si>
    <t>FP-315710 - YEW ST, PIPE REPLACEMENT</t>
  </si>
  <si>
    <t>FP-315712 - DEEP WELL GB 1 - BELLINGHAM</t>
  </si>
  <si>
    <t>FP-315713 - DEEP WELL GB 5 - BELLINGHAM</t>
  </si>
  <si>
    <t>FP-315714 - INSTALL 2" ST ARO BORE SHELTON</t>
  </si>
  <si>
    <t>FP-315731 - CRM RPL 2" STL MN - BELLINGHAM</t>
  </si>
  <si>
    <t>FP-315733 - 3175' pf 2" &amp; 1" PE main Kennewick</t>
  </si>
  <si>
    <t>FP-315735 - Future Dev. Broadmoor &amp; Burns Pasco</t>
  </si>
  <si>
    <t>FP-315741 - MN RPL; 8" Kitsap HP Line</t>
  </si>
  <si>
    <t>FP-315776 - 2988' of 4" &amp; 1" pe main Sunrise Ke</t>
  </si>
  <si>
    <t>FP-315802 - WHITE BLUFFS PHASE 4</t>
  </si>
  <si>
    <t>FP-315827 - 3195' of main into PH-3 Madidson Pa</t>
  </si>
  <si>
    <t>FP-315835 - INSTALL 4" PE MN MOXEE</t>
  </si>
  <si>
    <t>FP-315843 - McCormick Woods Parcel D Phase II</t>
  </si>
  <si>
    <t>FP-315850 - Forced MN Reloc@Nels Anderson Bend</t>
  </si>
  <si>
    <t>FP-315852 - 5969' &amp; 900' of Main Aple Valley Ke</t>
  </si>
  <si>
    <t>FP-315854 - CLEARWATER CREEK PHASE 4</t>
  </si>
  <si>
    <t>FP-315859 - SUNDANCE ESTATES PHASE 1</t>
  </si>
  <si>
    <t>FP-315861 - 5780' of 2" 640' 1" pe Linda Lov. P</t>
  </si>
  <si>
    <t>FP-315894 - 10,700 of 6" &amp; 800' 4" Reinforce Pasco</t>
  </si>
  <si>
    <t>FP-315895 - GRAYHAWK PHASE 2</t>
  </si>
  <si>
    <t>FP-315901 - 3639' &amp; 180' of main Volterra Dev P</t>
  </si>
  <si>
    <t>FP-315903 - 4725' &amp; 170' into cherry creek Kenn</t>
  </si>
  <si>
    <t>FP-315935 - WESTCLIFFE PHASE 15</t>
  </si>
  <si>
    <t>Gas Transmission</t>
  </si>
  <si>
    <t>FP-200076 - MN - HANFORD DOE PRELIMINARY</t>
  </si>
  <si>
    <t>FP-309960 - RP 20" HP Anacortes Lateral</t>
  </si>
  <si>
    <t>Total Distribution Plant</t>
  </si>
  <si>
    <t>Gas General</t>
  </si>
  <si>
    <t>FP-101163 - GP POWER EQUIP - INTERSTATE</t>
  </si>
  <si>
    <t>FP-101164 - General Purpose Communication Equip</t>
  </si>
  <si>
    <t>FP-101184 - GP TRAN. VEHICLE - OREGON</t>
  </si>
  <si>
    <t>FP-101186 - GP POWER EQUIP - OREGON</t>
  </si>
  <si>
    <t>FP-101204 - GP TRAN. VEHICLE - WASHINGTO</t>
  </si>
  <si>
    <t>FP-101206 - GP POWER EQUIP - WASHINGTON</t>
  </si>
  <si>
    <t>FP-101207 - GP COMM EQUIP - WASHINGTON</t>
  </si>
  <si>
    <t>FP-101213 - GP BUILDINGS - INTERSTATE</t>
  </si>
  <si>
    <t>FP-101215 - GP TRAN. VEHICLE - INTERSTAT</t>
  </si>
  <si>
    <t>FP-101216 - GP TOOLS - INTERSTATE</t>
  </si>
  <si>
    <t>FP-101218 - GP TOOLS - BEND</t>
  </si>
  <si>
    <t>FP-101237 - GP TOOLS - PENDLETON</t>
  </si>
  <si>
    <t>FP-101261 - GP TOOLS - WENATCHEE</t>
  </si>
  <si>
    <t>FP-101266 - GP OFFICE EQUIP - INTERSTATE</t>
  </si>
  <si>
    <t>FP-101285 - GP BUILDINGS - BELLINGHAM</t>
  </si>
  <si>
    <t>FP-101288 - GP TOOLS - BELLINGHAM</t>
  </si>
  <si>
    <t>FP-101344 - GP TOOLS - LONGVIEW</t>
  </si>
  <si>
    <t>FP-101359 - GP BUILDINGS - ABERDEEN</t>
  </si>
  <si>
    <t>FP-101362 - GP TOOLS - ABERDEEN</t>
  </si>
  <si>
    <t>FP-101395 - GP BUILDINGS - TRI - CITIES</t>
  </si>
  <si>
    <t>FP-101396 - GP OFFICE EQUIP - TRI - CITIES</t>
  </si>
  <si>
    <t>FP-101398 - GP TOOLS - TRI - CITIES</t>
  </si>
  <si>
    <t>FP-101413 - GP BUILDINGS - WALLAWALLA</t>
  </si>
  <si>
    <t>FP-101432 - GP BUILDINGS - WENATCHEE</t>
  </si>
  <si>
    <t>FP-101451 - GP TOOLS - YAKIMA</t>
  </si>
  <si>
    <t>FP-200268 - CNGC Engineering &amp; Supervision</t>
  </si>
  <si>
    <t>FP-200269 - CNGC General &amp; Administrative</t>
  </si>
  <si>
    <t>FP-200661 - Data Center &amp; Network Equipment</t>
  </si>
  <si>
    <t>FP-200662 - Personal Computers &amp; Peripherals</t>
  </si>
  <si>
    <t>FP-307020 - Longview - New Operations Bldg 2018</t>
  </si>
  <si>
    <t>FP-311969 - Sensit Portable Methane Detectors</t>
  </si>
  <si>
    <t>FP-313181 - CNGC Payroll Accrual</t>
  </si>
  <si>
    <t>FP-315865 - UG - ThoughtSpot Implementation Prj</t>
  </si>
  <si>
    <t>Notes:</t>
  </si>
  <si>
    <t>Blanket</t>
  </si>
  <si>
    <t>Growth</t>
  </si>
  <si>
    <t>Beyond 2017</t>
  </si>
  <si>
    <t>No Support</t>
  </si>
  <si>
    <t>Depreciation</t>
  </si>
  <si>
    <t>Expense</t>
  </si>
  <si>
    <t>FERC</t>
  </si>
  <si>
    <t>Acct</t>
  </si>
  <si>
    <t>Budgeted 2017</t>
  </si>
  <si>
    <t>Transportation</t>
  </si>
  <si>
    <t>Note:</t>
  </si>
  <si>
    <t>Explanation and Support</t>
  </si>
  <si>
    <t>Cost Recover Mechanism (CRM).  These projects are identified as qualifying for recovery under the and will be included in the annual CRM filing for recovery and are therefore not included in the current docket.</t>
  </si>
  <si>
    <t>Growth.  These projects are primarily for growth of the system and would have associated offsetting revenue with the investment.  These projects are not included in the request for recovery.</t>
  </si>
  <si>
    <t>System betterment to loop the Kennewick system between the new tap on Brinkley to the existing tap on Clearwater and Kellogg</t>
  </si>
  <si>
    <t>The Pasco reinforcement is required to continue to meet load requirements.  The system was in danger of not meeting peek requirements.</t>
  </si>
  <si>
    <t>Miscellaneous tool replacements for broken units allowing employees to perform tasks using proper equipment and in a safe manner.</t>
  </si>
  <si>
    <t xml:space="preserve">Cameras for office security thus providing a safe and secure work environment. </t>
  </si>
  <si>
    <t xml:space="preserve">3 new CGIs to replace broken units.  </t>
  </si>
  <si>
    <t xml:space="preserve">Yard improvements required by City of Bellingham due to environmental concerns.  </t>
  </si>
  <si>
    <t>Normal customer loads in Othello, specifically east of S 4th St and south of E Main St are in danger of not being met during winter months.  This reinforcement will meet the Company's obligation to service customer requirements.</t>
  </si>
  <si>
    <t>Exposures to the 8” Grays Harbor HP Line running from the McCleary gate to Aberdeen have been exposed at the Camp Creek and Vance Creek crossings, thereby prompting the replacement of the pipeline in these areas.  In conjunction with this project, the current vaulted valve station V-9, V-37, and V-38 is located in the intersection of two logging roads and therefore subject to logging vehicle traffic.  It has been in service since 1965.  This project is done to provide safe reliable service.</t>
  </si>
  <si>
    <t>Yakima County informed Cascade Natural Gas of construction plans for a Cheyne Road improvement project located in rural Yakima County about 2 miles north of the city of Zillah.  The improvement project parallels the existing 6-inch Toppenish-Zillah line where a 400 foot segment of 6-inch pipeline will have to be replaced and lowered to meet the minimum cover requirements.</t>
  </si>
  <si>
    <t>The effects of flooding on the regulator has lead to numerous operating issues that could be preventable.  The city of Aberdeen has proposed to install a flood wall that is in close proximity to the current regulator.  In the installation of the city's flood wall the regulator will have to be replaced due to its proximity to the flood wall.  This project will provide safe and reliable operations especially during flood conditions.</t>
  </si>
  <si>
    <t>It was discovered that a warehouse expansion built over a 4-inch intermediate pressure line. Due to safety concerns and code violations Cascade is obligated to relocate the line to a safe location.</t>
  </si>
  <si>
    <t>This project reinforces the Pasco system due to the heavy loads and interruptions that occurred in January 2017 to maintain minimal operating pressures.  This project will provide necessary capacity to reinforce the distribution infrastructure.</t>
  </si>
  <si>
    <t>Blanket Funding Project for Corrosion Control projects less than $50,000.  These projects are required to maintain and expand our existing cathodic protection systems to provide cathodic protection to underground steel structures to prevent external corrosion and maintain the integrity of our buried facilities.</t>
  </si>
  <si>
    <t>New deep well groundbed in Yakima to supplement our existing cathodic protection system in Yakima.  Deep well groundbeds are a method for providing cathodic protection to underground steel structures to prevent external corrosion and maintain the integrity of our buried facilities.</t>
  </si>
  <si>
    <t>New deep well groundbed in Anacortes to supplement our existing cathodic protection system in Anacortes.  Deep well groundbeds are a method for providing cathodic protection to underground steel structures to prevent external corrosion and maintain the integrity of our buried facilities.</t>
  </si>
  <si>
    <t>New deep well groundbed in Walla Walla to replace and existing deep well that failed.  Deep well groundbeds are a method for providing cathodic protection to underground steel structures to prevent external corrosion and maintain the integrity of our buried facilities.</t>
  </si>
  <si>
    <t>New deep well groundbed in Wenatchee to supplement our existing cathodic protection system in Wenatchee.  Deep well groundbeds are a method for providing cathodic protection to underground steel structures to prevent external corrosion and maintain the integrity of our buried facilities.</t>
  </si>
  <si>
    <t>New deep well groundbed in Shelton to supplement our existing cathodic protection system in Shelton.  Deep well groundbeds are a method for providing cathodic protection to underground steel structures to prevent external corrosion and maintain the integrity of our buried facilities.</t>
  </si>
  <si>
    <t>New deep well groundbed in Bellingham to replace and existing deep well that failed.  Deep well groundbeds are a method for providing cathodic protection to underground steel structures to prevent external corrosion and maintain the integrity of our buried facilities.</t>
  </si>
  <si>
    <t>Replace 844' of 1 1/4" steel main with new 2" PE main due to corrosion.</t>
  </si>
  <si>
    <t>New 2" IP Steel main and retirement of 2 regulator stations at Short Street Bellingham for continued reliable and safe service.</t>
  </si>
  <si>
    <t>Replacement of 8" March Point H.P. Line Segment 11C1144-1.  This segment is part of the MAOP Validation Plan.  This project will replace the section of the 8" March Point Transmission Line that passes beneath WA-20 and will replace the section between the existing Shell meter set and the existing Tesoro meter set.  This project will validate missing MAOP on the 8” March Point Line, replace a 1957 pipeline with some history of external corrosion, and replace a shorted casing crossing WA-20.  This project is broken into two phases, the first phase, between the Shell meter set and Tesoro Meter set, is scheduled for 2017 and the second phase, WA-20 crossing, will be completed in 2018.  Completion of the first phase of this project is dependent on receiving permitting to allow for completion of phase 1 by the end of 2017.  Each phase will be placed in service and provide service to customers independent of each other.</t>
  </si>
  <si>
    <t>Installation of a new 2” main along Shelton Matlock Rd. in Shelton.  Installation of new main was required due to retirement and removal of R-13 and underground vault due to maintenance reasons. This regulator station has been written up on different maintenance issues dating back to 2011.  This project eliminated a regulator that was in poor condition.</t>
  </si>
  <si>
    <t>This project replaced the 900 gallon below ground odorant storage tank at Terrace Heights in Yakima, WA with a 500 gallon above ground storage tank.  The gages on the 900 gallon below ground tank were broken and replacement gages could not be sourced due to the age of the tank.  As-built drawings for the original 900 gallon below ground tank could not be located, the oldest as-built that was found for this facility showed the tank as existing.  The company that CNG contracts with to supply odorant indicated they would not continue to fill the tank unless there were working gages present.</t>
  </si>
  <si>
    <t>Construct/install new regulator station R-173 in Nooksack.  This is a replacement for the existing station R-29.</t>
  </si>
  <si>
    <t>This project was to replace an above ground crossing in Kennewick on Columbia Park Drive. This was a district identified project to address a short due to metal on metal on the hangers that could not be inspected.  The project results in pipe that is properly located and properly protected to reduce corrosion.</t>
  </si>
  <si>
    <t>District identified project to remove short pipe on bridge over canal.</t>
  </si>
  <si>
    <t>This project was completed in 2016.  Costs included in 2017 were lingering costs for an in-service project.B39</t>
  </si>
  <si>
    <t xml:space="preserve">Implement, enhance and upgrade overall CyberSecurity footprint to protect Personal Identifiable Information (PII) and company assets.  These funds represent our need to keep on top of CyberSecurity threats that are constantly changing, requiring constant monitoring and flexibility to react quickly. </t>
  </si>
  <si>
    <t>This project was in service in 2016.  2017 costs were lingering costs not posted until after project went into service.</t>
  </si>
  <si>
    <t>Annual replacement of computing devices and peripherals supporting the office environment and also includes the replacement for Toughbook laptops in the field for mobile field work.</t>
  </si>
  <si>
    <t>Investment from MPP-6</t>
  </si>
  <si>
    <t xml:space="preserve">           Cascade Natural Gas</t>
  </si>
  <si>
    <t xml:space="preserve">This project replaces meters from a family that was discovered to be out of compliance of WAC 480-90-338, during meter testing in compliance with WAC 480-90-348.  The project is scheduled to be completed by the end of 2017. </t>
  </si>
  <si>
    <t>DOCKET UG-17_____</t>
  </si>
  <si>
    <t>Exhibit No. __ (MPP-2)</t>
  </si>
  <si>
    <t>Witness: Michael P. Parvinen</t>
  </si>
  <si>
    <t>EXHIBIT OF MICHAEL P. PARVINEN</t>
  </si>
  <si>
    <t>Exhibit No. __ (MPP-3)</t>
  </si>
  <si>
    <t>Exhibit No. __ (MPP-4)</t>
  </si>
  <si>
    <t>Exhibit No. __ (MPP-5)</t>
  </si>
  <si>
    <t>Exhibit No. __ (MPP-6)</t>
  </si>
  <si>
    <t>Results</t>
  </si>
  <si>
    <t>Overall Revenue Increase</t>
  </si>
  <si>
    <t xml:space="preserve">FP-313143 - V-89; Wenatchee 8" isolation valve </t>
  </si>
  <si>
    <t>FP-315655 - MN 2" PE-32SL Burlington</t>
  </si>
  <si>
    <t>1. Project Description: CC&amp;B is the new customer information system selected for all utilities part of the Utility Group.  Implementation began in 2007 and completed in 2015 with all utilities sharing costs across the entire project.  CNG went live in 2010, MDU in 2013, GPNG in 2015 and IGC in 2015.  The version 2.2 was the version implemented for all four brands  
2. Need for the project:  We need to upgrade to a supported release of CC&amp;B which also provides for updated technical tools and positions in a favorably to migrate to new releases in future years.
Please note that this is a Utility Group wide implementation.  Costs are being distributed across all 4 brands.</t>
  </si>
  <si>
    <t>Implement the Taleo HR onboarding module and recruiting.  This phase will eliminate the Utility Group from using the in-house developed and maintained application for recruiting and onboarding.  There is a possibility that this project will be delayed until 2018.</t>
  </si>
  <si>
    <t>Upgrade the existing PragmaCAD system for field deployment, management and scheduling to v6.5. This project is complete. Please note that this is a Utility Group wide implementation.  Costs are being distributed across all 4 brands.</t>
  </si>
  <si>
    <t>This funding project supports the continual refreshing of the Computer Server and Network hardware supporting the operations of the Data Center located at the Cascade Natural Gas General Office in Kennewick.</t>
  </si>
  <si>
    <t xml:space="preserve">Bulk Purchase of Sensit Portable Methane Detectors for all Service Mechanics. Approx. 87 Units to perform leak investigation with survey function.  </t>
  </si>
  <si>
    <t>ThoughtSpot is a business-intelligence search-driven analytics software application.  It presents a search-based interface for users to explore and visualize data.  The application is hosted on a dedicated appliance that uses an in-memory engine that indexes all of the searchable data with machine-learning algorithms that increase performance and ease-of-use.  ThoughtSpot provides the ability for non-technical employees to conduct self-service relational type data analysis searches.
Please note that this is a Utility Group wide implementation.  Costs are being distributed across all 4 brands.</t>
  </si>
  <si>
    <t>Replace an intermediate pressure valve due to corrosion and operational concerns.</t>
  </si>
  <si>
    <t>Replace 800' of 4" pipe for a reinforcement to provide reliable service during peak periods.</t>
  </si>
  <si>
    <t>Blanket work orders.  These projects are routine in nature and typically have offsetting benefits. They are not included for recovering except for FP101191, FP-101192, and FP-101201.  These three Blanket Funding projects are for forced relocates.  A forced relocate is where the city or municipality requires Cascade to move facilities under the franchise agreement.</t>
  </si>
  <si>
    <t>Outside the test year.  These projects have an in-service date beyond the end of 2017 and are not included in the request.</t>
  </si>
  <si>
    <t>No Support.  These projects don't have specific support at the time of filing so they are not included in the request for recovery.</t>
  </si>
  <si>
    <t>These are specifically identified forced relocate projects where the city or municipality has required Cascade to move its facilities for various reasons.  Cascade must honor the request to relocate as part of the franchise agreement to operate within the boundary of the city.</t>
  </si>
  <si>
    <t>These projects are to replace the protection to the pipe to stop or delay corrosion thus increasing the safety and integrity of the pipe.</t>
  </si>
  <si>
    <t>Aging regulator station needing replacement/retirement for pipeline safety/integrity reasons.  Current vault in driveway.  Estimated in service 8/25/16.</t>
  </si>
  <si>
    <t xml:space="preserve">1. Project Description:  PIM (Pipeline Integrity Management)  is designed to schedule, track, execute and archive field data inspections for a variety of assets and business processes. It is designed to manage compliance activities for assets that are defined and maintained in an ESRI Geo-database, or for assets defined and maintained in the Essentials Asset Register.  The Essentials Scheduling and Tracking module is used to manage the compliance activities, while the Essentials Field Manager application provides a set of electronic forms to support the automated (non-paper based) field data capture.  Configuration, hardware, and software implementation began in 2011.
2. Need for the project:  Implementation of the PIM software transitions O&amp;M record keeping from multiple databases and paper formats to a single operational repository of data and activity at Cascade Natural Gas Company.  PIM interfaces with the ESRI GIS, allowing field personnel the opportunity to view O&amp;M record data from the GIS system while in the field.  Also, automates scheduling of O&amp;M activities, and provides reporting and notification of activities before they are out of compliance.
Please note that this is a Utility Group wide implementation.  Costs are being distributed across all 4 brands.
</t>
  </si>
  <si>
    <t>The Southridge Gate Station was installed in 2016 to provide gas to reinforce the existing distribution system.  Shortly after being constructed it was discovered that the existing 8" meter at this gate station is sufficient for high flows but does not work for low flows experienced during warmer weather.  Replacing the existing 8" meter will allow the gate station to work during both low and high flows.</t>
  </si>
  <si>
    <t>The reinforcement addresses the lack of adequate distribution capacity to serve core customers in downtown Richland as the company experienced very low pressure conditions in Richland during extreme cold weather in early January 2017.  This reinforcement will also accommodate additional load requested by Lamb Weston.</t>
  </si>
  <si>
    <t>This project consists of installing an 8 inch valve with a high-head extension for accessibility, in-line with the already existing line.  This will allow sections 1 and 2 to be shut down independently from one another.  This allows for a controlled safe operation particularly during wildland fires that have endangered the area in recent past.</t>
  </si>
  <si>
    <t>The Hildebrand Blvd. 6” HP Main (Project) will provide additional natural gas capacity as necessary to reinforce Cascade's natural gas distribution infrastructure.  The project also provides looping capabilities thus increasing reliability to other sections of the distribution system.</t>
  </si>
  <si>
    <t xml:space="preserve">1. Project Description:  The GIS Enhancements project is designed to augment and enhance the current GIS deployment.  A base configuration of GIS was deployed at CNG in the past few years but additional functionality has been required to meet the increasing needs of the business.  We are implementing a repository to store as-builts and project related paperwork (allowing us to view this data from GIS). We are purchasing additional GIS licenses and tools to meet the growing demand for GIS data.
2. Need for the Project:  Numerous business systems now interface or require information from CNG’s GIS system.  Additionally, many regulatory reports are completed using information from GIS.    We need to continue to enhance this system to meet the needs of the various departments at CNG.  We are also enhancing the Landbase components within the environment to increase spatial accuracy.
3. Contingencies:  Cascade Natural Gas will continue to use the existing system until the enhancements can be completed.  
5. Reconciliation with Prior Budget:  This is the continuation of the multi-year project; prior phases have been implemented.  We will continue to update our CNGC landbase, enhance the existing GIS web tools, and add necessary tools to create a highly effective GIS system.  Additionally a number of GIS related PHMSA regulations are on the horizon which will require new components. 
Please note that this is a Utility Group wide implementation.  Costs are being distributed across all 4 brands.
</t>
  </si>
  <si>
    <t>Schedule of Investor-Supplied Working Capital</t>
  </si>
  <si>
    <t>Total Incremental Pro Forma Increase</t>
  </si>
  <si>
    <t>Vance Creek Replacement (#2)</t>
  </si>
  <si>
    <t>Projected Revenue adjustment using Weather Normalized volumes at current margin rates</t>
  </si>
  <si>
    <t>RESULTS OF OPERATIONS SUMMARY SHEET</t>
  </si>
  <si>
    <t>Results of Operations Summary Sheet</t>
  </si>
  <si>
    <t>Replace a regulator station to place above ground due to flooding of a vault and deterioration of the valve.</t>
  </si>
  <si>
    <t>Replace the existing regulator with an updated station that is above ground and in an area that has minimal to no risk.  The existing regulator station is subject to damage and is no longer supported.  The project will assure continued safe and reliable service.</t>
  </si>
  <si>
    <t>REVENUE REQUIREMENT CALCULATION</t>
  </si>
  <si>
    <t>CONVERSION FACTOR CALCULATION</t>
  </si>
  <si>
    <t>SUMMARY OF PROPOSED ADJUSTMENTS TO TEST YEAR RESULTS</t>
  </si>
  <si>
    <t>2017 PLANT ADDITIONS</t>
  </si>
  <si>
    <t>Summary of Proposed Adjustments to Test Year Results</t>
  </si>
  <si>
    <t>Conversion Factor Calculation</t>
  </si>
  <si>
    <t>Summary of Plant Additions</t>
  </si>
  <si>
    <t>Summary of Proposed Plant Additions</t>
  </si>
  <si>
    <t>Replace two regulator stations to increase reliability during peak periods.</t>
  </si>
  <si>
    <t>UG 17_____</t>
  </si>
  <si>
    <t>MPP WP-1.0</t>
  </si>
  <si>
    <t>Index</t>
  </si>
  <si>
    <t>Michael P. Parvinen</t>
  </si>
  <si>
    <t>Page(s)</t>
  </si>
  <si>
    <t>WP #</t>
  </si>
  <si>
    <t>MPP WP-1.1</t>
  </si>
  <si>
    <t>MPP WP-1.2</t>
  </si>
  <si>
    <t>MPP WP-1.3</t>
  </si>
  <si>
    <t>MPP WP-1.4</t>
  </si>
  <si>
    <t>MPP WP-1.5</t>
  </si>
  <si>
    <t>MPP WP-1.6</t>
  </si>
  <si>
    <t>MPP WP-1.7</t>
  </si>
  <si>
    <t>MPP WP-1.8</t>
  </si>
  <si>
    <t>MPP WP-1.9</t>
  </si>
  <si>
    <t>MPP WP-1.10</t>
  </si>
  <si>
    <t>MPP WP-1.11</t>
  </si>
  <si>
    <t>MPP WP-1.12</t>
  </si>
  <si>
    <t>MPP WP-1.13</t>
  </si>
  <si>
    <t>MPP WP-1.14</t>
  </si>
  <si>
    <t>MPP WP-1.15</t>
  </si>
  <si>
    <t>MPP WP-1.16</t>
  </si>
  <si>
    <t>ADJUSTMENT WORKPAPERS</t>
  </si>
  <si>
    <t>WORKPAPER - SUPPORT DOCUMENTS</t>
  </si>
  <si>
    <t>Adjustment Workpapers</t>
  </si>
  <si>
    <t>Weather Normalization</t>
  </si>
  <si>
    <t>Restate Revenues</t>
  </si>
  <si>
    <t>Pro Forma Compliance Department</t>
  </si>
  <si>
    <t>CRM Adjustment (a)</t>
  </si>
  <si>
    <t>CRM Adjustment (b)</t>
  </si>
  <si>
    <t>Promotional Advertising Expense Adjustment</t>
  </si>
  <si>
    <t>MPP WP-1.17</t>
  </si>
  <si>
    <t>MPP WP-1.18</t>
  </si>
  <si>
    <t>MPP WP-1.19</t>
  </si>
  <si>
    <t>Electronic Tab Name: Index</t>
  </si>
  <si>
    <t>Month</t>
  </si>
  <si>
    <t>Margin</t>
  </si>
  <si>
    <t>Line No:</t>
  </si>
  <si>
    <t xml:space="preserve">A </t>
  </si>
  <si>
    <t>B</t>
  </si>
  <si>
    <t>C</t>
  </si>
  <si>
    <t>A</t>
  </si>
  <si>
    <t xml:space="preserve">C </t>
  </si>
  <si>
    <t>D</t>
  </si>
  <si>
    <t>E</t>
  </si>
  <si>
    <t>Revenue at Restating Rate</t>
  </si>
  <si>
    <t>Therms Adjustment</t>
  </si>
  <si>
    <t>Rate Schedule No. 505</t>
  </si>
  <si>
    <t>Rate Schedule No. 511</t>
  </si>
  <si>
    <t>Change in Gas Cost - Residential 503</t>
  </si>
  <si>
    <t>Change in Gas Cost - Commercial 504</t>
  </si>
  <si>
    <t>Change in Gas Cost - Industrial 505</t>
  </si>
  <si>
    <t>Change in Gas Cost - Industrial 511</t>
  </si>
  <si>
    <t>F</t>
  </si>
  <si>
    <t>G</t>
  </si>
  <si>
    <t>H</t>
  </si>
  <si>
    <t>I</t>
  </si>
  <si>
    <t>J</t>
  </si>
  <si>
    <t>K</t>
  </si>
  <si>
    <t>L</t>
  </si>
  <si>
    <t>M</t>
  </si>
  <si>
    <t>N</t>
  </si>
  <si>
    <t>O</t>
  </si>
  <si>
    <t>Ln 1</t>
  </si>
  <si>
    <t>Ln.</t>
  </si>
  <si>
    <t>Ln 6 / 2</t>
  </si>
  <si>
    <t>Ln 5 *3.75%</t>
  </si>
  <si>
    <t>(Ln 8 - Ln 6) * .35</t>
  </si>
  <si>
    <t>Ln 9 / 2</t>
  </si>
  <si>
    <t>Ln 6 * .35</t>
  </si>
  <si>
    <t>Percentage Change in Fee</t>
  </si>
  <si>
    <t>AMA Total</t>
  </si>
  <si>
    <t>State</t>
  </si>
  <si>
    <t>Depr Group</t>
  </si>
  <si>
    <t>Dec-2015 Plant</t>
  </si>
  <si>
    <t>Dec-2015 Reserve</t>
  </si>
  <si>
    <t>Jan-2016 Plant</t>
  </si>
  <si>
    <t>Jan-2016 Reserve</t>
  </si>
  <si>
    <t>Feb-2016 Plant</t>
  </si>
  <si>
    <t>Feb-2016 Reserve</t>
  </si>
  <si>
    <t>Mar-2016 Plant</t>
  </si>
  <si>
    <t>Mar-2016 Reserve</t>
  </si>
  <si>
    <t>Apr-2016 Plant</t>
  </si>
  <si>
    <t>Apr-2016 Reserve</t>
  </si>
  <si>
    <t>May-2016 Plant</t>
  </si>
  <si>
    <t>May-2016 Reserve</t>
  </si>
  <si>
    <t>Jun-2016 Plant</t>
  </si>
  <si>
    <t>Jun-2016 Reserve</t>
  </si>
  <si>
    <t>Jul-2016 Plant</t>
  </si>
  <si>
    <t>Jul-2016 Reserve</t>
  </si>
  <si>
    <t>Aug-2016 Plant</t>
  </si>
  <si>
    <t>Aug-2016 Reserve</t>
  </si>
  <si>
    <t>Sept-2016 Plant</t>
  </si>
  <si>
    <t>Sept-2016 Reserve</t>
  </si>
  <si>
    <t>Oct-2016 Plant</t>
  </si>
  <si>
    <t>Oct-2016 Reserve</t>
  </si>
  <si>
    <t>Nov-2016 Plant</t>
  </si>
  <si>
    <t>Nov-2016 Reserve</t>
  </si>
  <si>
    <t>Dec-2016 Plant</t>
  </si>
  <si>
    <t>Dec-2016 Reserve</t>
  </si>
  <si>
    <t>Average of Monthly Avg Plant</t>
  </si>
  <si>
    <t>Average of MonthlyAvg Reserve</t>
  </si>
  <si>
    <t>CNG-302-G-Franchises-00038</t>
  </si>
  <si>
    <t>CNG-303-G-Intang-00038-40 YR-2014</t>
  </si>
  <si>
    <t>00038</t>
  </si>
  <si>
    <t>CNG-303-G-Misc. Intangible Pl-00038</t>
  </si>
  <si>
    <t>CNG-365-G-Land and Land Right-00038</t>
  </si>
  <si>
    <t>CNG-365-G-Rights-of-Way-00038</t>
  </si>
  <si>
    <t>CNG-367-G-Mains-00038</t>
  </si>
  <si>
    <t>CNG-369-G-Measuring/Regulatin-00038</t>
  </si>
  <si>
    <t>CNG-374-G-Land Right-00038</t>
  </si>
  <si>
    <t>CNG-374-G-Land-00038</t>
  </si>
  <si>
    <t>CNG-375-G-Lease Hold Improvem-00038</t>
  </si>
  <si>
    <t>CNG-375-G-Structures &amp; Improv-00038</t>
  </si>
  <si>
    <t>CNG-376-G-Mains-High Pressure-00038</t>
  </si>
  <si>
    <t>CNG-376-G-Mains-Plastic-00038</t>
  </si>
  <si>
    <t>CNG-376-G-Mains-Steel-00038</t>
  </si>
  <si>
    <t>CNG-378-G-Measure/Regulation -00038</t>
  </si>
  <si>
    <t>CNG-380-G-Services-Plastc-00038</t>
  </si>
  <si>
    <t>CNG-380-G-Services-Steel-00038</t>
  </si>
  <si>
    <t>CNG-382-G-Meter Set Installat-00038</t>
  </si>
  <si>
    <t>CNG-385-G-Industrial Meas. &amp; -00038</t>
  </si>
  <si>
    <t>CNG-386-G-Other Property Cust-00038</t>
  </si>
  <si>
    <t>CNG-389-G-Land &amp; Land Rights-00038</t>
  </si>
  <si>
    <t>CNG-390-G-Leasehold Improveme-00038</t>
  </si>
  <si>
    <t>CNG-390-G-Structures &amp; Improv-00038</t>
  </si>
  <si>
    <t>CNG-391-G-Office Equip-00038</t>
  </si>
  <si>
    <t>CNG-391-G-Office Furniture &amp; -00038</t>
  </si>
  <si>
    <t>CNG-392-G-Trailers-00038</t>
  </si>
  <si>
    <t>CNG-392-G-Transportation Equi-00038</t>
  </si>
  <si>
    <t>CNG-393-G-Stores Equip-00038</t>
  </si>
  <si>
    <t>CNG-394-G-Tools,Shop,Garage E-00038</t>
  </si>
  <si>
    <t>CNG-396-G-Power Operated Equi-00038</t>
  </si>
  <si>
    <t>CNG-396-G-Trailers-Work Equip-00038</t>
  </si>
  <si>
    <t>CNG-397-G-Radio Comm Equip-Fi-00038</t>
  </si>
  <si>
    <t>CNG-397-G-Radio Comm Equip-Mo-00038</t>
  </si>
  <si>
    <t>CNG-397-G-Supervisory &amp; Telem-00038</t>
  </si>
  <si>
    <t>CNG-397-G-Telephone &amp; Telex E-00038</t>
  </si>
  <si>
    <t>CNG-398-G-Miscellaneous Equip-00038</t>
  </si>
  <si>
    <t>00038 Total</t>
  </si>
  <si>
    <t>CNG-302-G-Franchises-00048</t>
  </si>
  <si>
    <t>CNG-303-G-Intang-00048-20 YR-2016</t>
  </si>
  <si>
    <t>00048</t>
  </si>
  <si>
    <t>CNG-303-G-Intang-00048-40 YR-2014</t>
  </si>
  <si>
    <t>CNG-303-G-Intang-00048-40 YR-2015</t>
  </si>
  <si>
    <t>CNG-303-G-Misc. Intangible Pl-00048</t>
  </si>
  <si>
    <t>CNG-365-G-Land and Land Right-00048</t>
  </si>
  <si>
    <t>CNG-365-G-Rights-of-Way-00048</t>
  </si>
  <si>
    <t>CNG-367-G-Mains-00048</t>
  </si>
  <si>
    <t>CNG-369-G-Measuring/Regulatin-00048</t>
  </si>
  <si>
    <t>CNG-374-G-Land Right-00048</t>
  </si>
  <si>
    <t>CNG-374-G-Land-00048</t>
  </si>
  <si>
    <t>CNG-375-G-Structures &amp; Improv-00048</t>
  </si>
  <si>
    <t>CNG-376-G-Mains-High Pressure-00048</t>
  </si>
  <si>
    <t>CNG-376-G-Mains-Plastic-00048</t>
  </si>
  <si>
    <t>CNG-376-G-Mains-Steel-00048</t>
  </si>
  <si>
    <t>CNG-377-G-Compressor Station-00048</t>
  </si>
  <si>
    <t>CNG-378-G-Measure/Regulation -00048</t>
  </si>
  <si>
    <t>CNG-380-G-Services-Plastc-00048</t>
  </si>
  <si>
    <t>CNG-380-G-Services-Steel-00048</t>
  </si>
  <si>
    <t>CNG-381-G-Meters-00048</t>
  </si>
  <si>
    <t>CNG-382-G-Meter Set Installat-00048</t>
  </si>
  <si>
    <t>CNG-385-G-Industrial Meas. &amp; -00048</t>
  </si>
  <si>
    <t>CNG-386-G-Other Property Cust-00048</t>
  </si>
  <si>
    <t>CNG-389-G-Land &amp; Land Rights-00048</t>
  </si>
  <si>
    <t>CNG-390-G-Leasehold Improveme-00048</t>
  </si>
  <si>
    <t>CNG-390-G-Structures &amp; Improv-00048</t>
  </si>
  <si>
    <t>CNG-391-G-Office Equip-00048</t>
  </si>
  <si>
    <t>CNG-391-G-Office Furniture &amp; -00048</t>
  </si>
  <si>
    <t>CNG-392-G-Trailers-00048</t>
  </si>
  <si>
    <t>CNG-392-G-Transportation Equi-00048</t>
  </si>
  <si>
    <t>CNG-393-G-Stores Equip-00048</t>
  </si>
  <si>
    <t>CNG-394-G-Tools,Shop,Garage E-00048</t>
  </si>
  <si>
    <t>CNG-394-G-Vehicle CNG Equip-00048</t>
  </si>
  <si>
    <t>CNG-395-G-Laboratory Equip-00048</t>
  </si>
  <si>
    <t>CNG-396-G-Power Operated Equi-00048</t>
  </si>
  <si>
    <t>CNG-396-G-Trailers-Work Equip-00048</t>
  </si>
  <si>
    <t>CNG-397-G-Radio Comm Equip-Fi-00048</t>
  </si>
  <si>
    <t>CNG-397-G-Radio Comm Equip-Mo-00048</t>
  </si>
  <si>
    <t>CNG-397-G-Supervisory &amp; Telem-00048</t>
  </si>
  <si>
    <t>CNG-397-G-Telephone &amp; Telex E-00048</t>
  </si>
  <si>
    <t>CNG-398-G-Miscellaneous Equip-00048</t>
  </si>
  <si>
    <t>00048 Total</t>
  </si>
  <si>
    <t>AS</t>
  </si>
  <si>
    <t>Allocated States</t>
  </si>
  <si>
    <t>CNG-301-G-Organization-00100</t>
  </si>
  <si>
    <t>CNG-303-G-Intang-00100-10 YR-2013</t>
  </si>
  <si>
    <t>00100</t>
  </si>
  <si>
    <t>CNG-303-G-Intang-00100-10 YR-2015</t>
  </si>
  <si>
    <t>CNG-303-G-Intang-00100-11 YR-2015</t>
  </si>
  <si>
    <t>CNG-303-G-Intang-00100-13 YR-2012</t>
  </si>
  <si>
    <t>CNG-303-G-Intang-00100-14 YR-2010</t>
  </si>
  <si>
    <t>CNG-303-G-Intang-00100-14 YR-2011</t>
  </si>
  <si>
    <t>CNG-303-G-Intang-00100-15 YR-2010</t>
  </si>
  <si>
    <t>CNG-303-G-Intang-00100-15 YR-2012</t>
  </si>
  <si>
    <t>CNG-303-G-Intang-00100-3 YR-2010</t>
  </si>
  <si>
    <t>CNG-303-G-Intang-00100-5 YR-2011</t>
  </si>
  <si>
    <t>CNG-303-G-Intang-00100-7 YR-2012</t>
  </si>
  <si>
    <t>CNG-303-G-Intang-00100-7 YR-2013</t>
  </si>
  <si>
    <t>CNG-303-G-Intang-00100-7 YR-2014</t>
  </si>
  <si>
    <t>CNG-303-G-Intang-00100-7 YR-2015</t>
  </si>
  <si>
    <t>CNG-303-G-Misc. Intangible Pl-00100</t>
  </si>
  <si>
    <t>CNG-374-G-Land-00100</t>
  </si>
  <si>
    <t>CNG-375-G-Structures &amp; Improv-00100</t>
  </si>
  <si>
    <t>CNG-389-G-Land &amp; Land Rights-00100</t>
  </si>
  <si>
    <t>CNG-390-G-Structures &amp; Improv-00100</t>
  </si>
  <si>
    <t>CNG-391-G-Comp Equip-Server &amp;-00100</t>
  </si>
  <si>
    <t>CNG-391-G-Comp. Equip-Mainfra-00100</t>
  </si>
  <si>
    <t>CNG-391-G-Office Equip-00100</t>
  </si>
  <si>
    <t>CNG-391-G-Office Furniture &amp; -00100</t>
  </si>
  <si>
    <t>CNG-391-G-Software-00100</t>
  </si>
  <si>
    <t>CNG-392-G-Trailers-00100</t>
  </si>
  <si>
    <t>CNG-392-G-Transportation Equi-00100</t>
  </si>
  <si>
    <t>CNG-393-G-Stores Equip-00100</t>
  </si>
  <si>
    <t>CNG-394-G-Tools,Shop,Garage E-00100</t>
  </si>
  <si>
    <t>CNG-395-G-Laboratory Equip-00100</t>
  </si>
  <si>
    <t>CNG-396-G-Power Operated Equi-00100</t>
  </si>
  <si>
    <t>CNG-396-G-Trailers-Work Equip-00100</t>
  </si>
  <si>
    <t>CNG-397-G-Radio Comm Equip-Mo-00100</t>
  </si>
  <si>
    <t>CNG-397-G-Supervisory &amp; Telem-00100</t>
  </si>
  <si>
    <t>CNG-397-G-Telephone &amp; Telex E-00100</t>
  </si>
  <si>
    <t>CNG-398-G-Miscellaneous Equip-00100</t>
  </si>
  <si>
    <t>CNG-381-G-ERTS-00101</t>
  </si>
  <si>
    <t>CNG-381-G-Meters-00101</t>
  </si>
  <si>
    <t>CNG-383-G-Service Regulators-00101</t>
  </si>
  <si>
    <t>00100 - 00101 Total</t>
  </si>
  <si>
    <t>No Jurisdiction Allocation</t>
  </si>
  <si>
    <t>CNG-372-G-Aro Trans Plant</t>
  </si>
  <si>
    <t>CNG-388-G-Aro Distrib Plant-OR</t>
  </si>
  <si>
    <t>CNG-388-G-Aro Distrib Plant-WA</t>
  </si>
  <si>
    <t>Grand Total</t>
  </si>
  <si>
    <t>WA 00048 Total (from above)</t>
  </si>
  <si>
    <t>100 AS accounts (allocation on 3 Factor Allocator)</t>
  </si>
  <si>
    <t>101 AS accounts (allocation on Customer Allocator)</t>
  </si>
  <si>
    <t>Total WA Plant)</t>
  </si>
  <si>
    <t>Total WA Reserve</t>
  </si>
  <si>
    <t>Total WA Plant in Service</t>
  </si>
  <si>
    <t>Total WA Accumulated Depreciation</t>
  </si>
  <si>
    <t>WA Customer Advances for Construction</t>
  </si>
  <si>
    <t>WA Deferred Taxes</t>
  </si>
  <si>
    <t>WA Working Capital</t>
  </si>
  <si>
    <t>Total WA Rate Base</t>
  </si>
  <si>
    <t>Total WA Plant in Service (AMA)</t>
  </si>
  <si>
    <t>Total WA Accum. Deprec. (AMA)</t>
  </si>
  <si>
    <t>UW</t>
  </si>
  <si>
    <t>UO</t>
  </si>
  <si>
    <t>2015</t>
  </si>
  <si>
    <t>2016</t>
  </si>
  <si>
    <t>LTD</t>
  </si>
  <si>
    <t>4</t>
  </si>
  <si>
    <t>5</t>
  </si>
  <si>
    <t>6</t>
  </si>
  <si>
    <t>7</t>
  </si>
  <si>
    <t>9</t>
  </si>
  <si>
    <t>10</t>
  </si>
  <si>
    <t>11</t>
  </si>
  <si>
    <t>CO</t>
  </si>
  <si>
    <t>BUS UNIT</t>
  </si>
  <si>
    <t>OBJ</t>
  </si>
  <si>
    <t>SUB ACCT</t>
  </si>
  <si>
    <t>S/L TYPE</t>
  </si>
  <si>
    <t>S/L NAME</t>
  </si>
  <si>
    <t>47</t>
  </si>
  <si>
    <t>CUSTOMER ADVANCES FOR CONSTRUCTION:</t>
  </si>
  <si>
    <t>WA OLD ACCOUNTS</t>
  </si>
  <si>
    <t>47WA</t>
  </si>
  <si>
    <t>[2000.2900]</t>
  </si>
  <si>
    <t>NEW ACCOUNTS</t>
  </si>
  <si>
    <t>[000.2000]</t>
  </si>
  <si>
    <t>FORFEITURES</t>
  </si>
  <si>
    <t>300</t>
  </si>
  <si>
    <t>MRC</t>
  </si>
  <si>
    <t>2991</t>
  </si>
  <si>
    <t>REFUND. CUST COM.</t>
  </si>
  <si>
    <t>2992</t>
  </si>
  <si>
    <t>REFUND. COMM CONTR.</t>
  </si>
  <si>
    <t>2993</t>
  </si>
  <si>
    <t>DEFERRED TAXES:</t>
  </si>
  <si>
    <t>FED UTIL ACRS DEP.</t>
  </si>
  <si>
    <t>96301</t>
  </si>
  <si>
    <t>FED DEBT REFINANCING COSTS</t>
  </si>
  <si>
    <t>96302</t>
  </si>
  <si>
    <t>STATE UTIL ACRS DEP.</t>
  </si>
  <si>
    <t>86301</t>
  </si>
  <si>
    <t>STATE DEBT REFINANCING COSTS</t>
  </si>
  <si>
    <t>86302</t>
  </si>
  <si>
    <t>SYSTEM</t>
  </si>
  <si>
    <t>Amount booked to Account 908, Customer Assistance Expense</t>
  </si>
  <si>
    <t>See "Plant in Serv &amp; Accum Depr" tab</t>
  </si>
  <si>
    <t>See " Adv for Const. &amp; Def Tax" tab</t>
  </si>
  <si>
    <t>See "Working Capital" tab</t>
  </si>
  <si>
    <t>Ratio  (line 6)</t>
  </si>
  <si>
    <t>Working Capital Allowance (Line 11 times Line 12)</t>
  </si>
  <si>
    <t>Ties to tab entitled "Working Capital Work Paper" cell R9 plus cell R10 (Gas Plant in Service plus Completed Construction Not Classified)</t>
  </si>
  <si>
    <t>Ties to tab entitled "Working Capital Work Paper" cell R25 minus cell R15 (Total Accum Depr less RWIP)</t>
  </si>
  <si>
    <t>Ties to account 2520 as shown in the tab titled "Working Capital Work Paper" cell R299</t>
  </si>
  <si>
    <t>Working Capital Work Paper</t>
  </si>
  <si>
    <t>Depreciation Expense Adjustment</t>
  </si>
  <si>
    <t>Disconnect Visit Charge</t>
  </si>
  <si>
    <t>Returned Check Charge</t>
  </si>
  <si>
    <t>47OR</t>
  </si>
  <si>
    <t>861</t>
  </si>
  <si>
    <t>862</t>
  </si>
  <si>
    <t>865</t>
  </si>
  <si>
    <t>961</t>
  </si>
  <si>
    <t>962</t>
  </si>
  <si>
    <t>965</t>
  </si>
  <si>
    <t>T/B Total-2820</t>
  </si>
  <si>
    <t>T/B Total-2830</t>
  </si>
  <si>
    <t>OTHER DEFERRED TAXES:</t>
  </si>
  <si>
    <t>Link from Corresponding Trial Balance Acct 2820</t>
  </si>
  <si>
    <t>Link from Corresponding Trial Balance Acct 2830</t>
  </si>
  <si>
    <t>Difference (s/b zero)</t>
  </si>
  <si>
    <t>Total Booked Gas Costs (Exhibit MPP-2, Column (1), row 5 plus Weather Normalization</t>
  </si>
  <si>
    <t>gas costs (MPP WP 1.5, column (D), row 14)</t>
  </si>
  <si>
    <t>Total Restated Gas Costs</t>
  </si>
  <si>
    <t>Total Restate Gas Cost Revenue</t>
  </si>
  <si>
    <t>Net Unbilled and Deferrals (MCR WP- 1.1, Column Q, Line 35)</t>
  </si>
  <si>
    <t>Sept</t>
  </si>
  <si>
    <t>Oct</t>
  </si>
  <si>
    <t>Nov</t>
  </si>
  <si>
    <t>Dec</t>
  </si>
  <si>
    <t>Ties to</t>
  </si>
  <si>
    <t>Amounts</t>
  </si>
  <si>
    <t>Included in</t>
  </si>
  <si>
    <t>UG-160788</t>
  </si>
  <si>
    <t>2016 CRM Filing</t>
  </si>
  <si>
    <t>Test Year AMA Amount</t>
  </si>
  <si>
    <t>BR WP-1.4</t>
  </si>
  <si>
    <t>MCR-2, Column (H)</t>
  </si>
  <si>
    <t>Industrial</t>
  </si>
  <si>
    <t>Volumes</t>
  </si>
  <si>
    <t>Actual Test Period</t>
  </si>
  <si>
    <t>Net</t>
  </si>
  <si>
    <t>Volume</t>
  </si>
  <si>
    <t xml:space="preserve">Line No. </t>
  </si>
  <si>
    <t>P</t>
  </si>
  <si>
    <t>Q</t>
  </si>
  <si>
    <t>R</t>
  </si>
  <si>
    <t>S</t>
  </si>
  <si>
    <t>T</t>
  </si>
  <si>
    <t>U</t>
  </si>
  <si>
    <t>V</t>
  </si>
  <si>
    <t>W</t>
  </si>
  <si>
    <t>X</t>
  </si>
  <si>
    <t>Y</t>
  </si>
  <si>
    <t>Z</t>
  </si>
  <si>
    <t>AB</t>
  </si>
  <si>
    <t>AC</t>
  </si>
  <si>
    <t>AD</t>
  </si>
  <si>
    <t>AE</t>
  </si>
  <si>
    <t>Plant in Service &amp; Accumulated Depreciation</t>
  </si>
  <si>
    <t>MPP WP-1.20</t>
  </si>
  <si>
    <t>MPP WP-1.21</t>
  </si>
  <si>
    <t>AF</t>
  </si>
  <si>
    <t>AG</t>
  </si>
  <si>
    <t>AH</t>
  </si>
  <si>
    <t>AI</t>
  </si>
  <si>
    <t>AJ</t>
  </si>
  <si>
    <t>AK</t>
  </si>
  <si>
    <t>AL</t>
  </si>
  <si>
    <t>AM</t>
  </si>
  <si>
    <t>AN</t>
  </si>
  <si>
    <t>AO</t>
  </si>
  <si>
    <t>AP</t>
  </si>
  <si>
    <t>AQ</t>
  </si>
  <si>
    <t>AR</t>
  </si>
  <si>
    <t>AT</t>
  </si>
  <si>
    <t>AU</t>
  </si>
  <si>
    <t>AV</t>
  </si>
  <si>
    <t>AW</t>
  </si>
  <si>
    <t>Advance for Construction &amp; Deferred Taxes</t>
  </si>
  <si>
    <t>Description of Workpaper</t>
  </si>
  <si>
    <r>
      <t>Amortization Period (years)</t>
    </r>
    <r>
      <rPr>
        <vertAlign val="superscript"/>
        <sz val="12"/>
        <color theme="1"/>
        <rFont val="Calibri"/>
        <family val="2"/>
        <scheme val="minor"/>
      </rPr>
      <t>1</t>
    </r>
  </si>
  <si>
    <r>
      <rPr>
        <vertAlign val="superscript"/>
        <sz val="12"/>
        <color theme="1"/>
        <rFont val="Calibri"/>
        <family val="2"/>
        <scheme val="minor"/>
      </rPr>
      <t>1</t>
    </r>
    <r>
      <rPr>
        <sz val="12"/>
        <color theme="1"/>
        <rFont val="Calibri"/>
        <family val="2"/>
        <scheme val="minor"/>
      </rPr>
      <t>Remaining period of the program after rate case effective date</t>
    </r>
  </si>
  <si>
    <r>
      <t xml:space="preserve">* </t>
    </r>
    <r>
      <rPr>
        <i/>
        <sz val="12"/>
        <color theme="1"/>
        <rFont val="Times New Roman"/>
        <family val="1"/>
      </rPr>
      <t xml:space="preserve">See </t>
    </r>
    <r>
      <rPr>
        <sz val="12"/>
        <color theme="1"/>
        <rFont val="Times New Roman"/>
        <family val="1"/>
      </rPr>
      <t xml:space="preserve">https://www.bls.gov/data/inflation_calculator.htm for the CPI calculator used to determine how much the fees need to be increased to ensure the cost in today's dollars is equal to the cost the fees had when they were established in 2007. </t>
    </r>
  </si>
  <si>
    <t>2 - 17</t>
  </si>
  <si>
    <t>19 - 33</t>
  </si>
  <si>
    <t>34 - 43</t>
  </si>
  <si>
    <t>Total Operating Revenue Tab (MCR WP-1.1, Column Q, Line 5)</t>
  </si>
  <si>
    <t>Weather Normalization Adj. Tab (MCR WP-1.10, Col. D, Line 14)</t>
  </si>
  <si>
    <t>Per Rosales Exhibit MCR-2 (Sum. Of Rev by Rate Schd tab, Col. (K) Ln 301)</t>
  </si>
  <si>
    <t>Less Weather normalization Margin Adjustment (MCR WP-1.10, Col. E, Ln 5)</t>
  </si>
  <si>
    <t>Add Annualized CRM Rev. (Sum. Of Rev by Rate Schd tab, Col. (N) Ln 301)</t>
  </si>
  <si>
    <t>Less Actual Booked CRM (MCR WP-1.1, Col. Q, Ln 13)</t>
  </si>
  <si>
    <t>MCR-2, Col. O, Ln 22</t>
  </si>
  <si>
    <t>MCR-2, Col. O, Ln 34</t>
  </si>
  <si>
    <t>MCR-2, Col. H, Ln 52</t>
  </si>
  <si>
    <t>MCR-2, Col. H, Ln 70</t>
  </si>
  <si>
    <t>MCR-2, Col. H, Ln 92</t>
  </si>
  <si>
    <t>Sales &amp; Transportation combined equal $834,041</t>
  </si>
  <si>
    <t>Gas Cost Rate</t>
  </si>
  <si>
    <t>w/out Rev. Sen.</t>
  </si>
  <si>
    <t>(MCR WP-1.1, Col. V, Ln 8)</t>
  </si>
  <si>
    <t>(MCR WP-1.1, Col. V thru Z, Ln 8)</t>
  </si>
  <si>
    <t>(MCR WP-1.1, Col. AA &amp; AB, Ln 8)</t>
  </si>
  <si>
    <t>Average</t>
  </si>
  <si>
    <t>dec</t>
  </si>
  <si>
    <t>nov</t>
  </si>
  <si>
    <t>oct</t>
  </si>
  <si>
    <t>sep</t>
  </si>
  <si>
    <t>aug</t>
  </si>
  <si>
    <t>jul</t>
  </si>
  <si>
    <t>jun</t>
  </si>
  <si>
    <t>may</t>
  </si>
  <si>
    <t>apr</t>
  </si>
  <si>
    <t>mar</t>
  </si>
  <si>
    <t>feb</t>
  </si>
  <si>
    <t>jan</t>
  </si>
  <si>
    <r>
      <rPr>
        <vertAlign val="superscript"/>
        <sz val="10"/>
        <rFont val="Arial"/>
        <family val="2"/>
      </rPr>
      <t>3</t>
    </r>
    <r>
      <rPr>
        <sz val="10"/>
        <rFont val="Arial"/>
        <family val="2"/>
      </rPr>
      <t xml:space="preserve"> CC&amp;B Revs, Bills, and Therms File</t>
    </r>
  </si>
  <si>
    <r>
      <t>OR</t>
    </r>
    <r>
      <rPr>
        <vertAlign val="superscript"/>
        <sz val="10"/>
        <rFont val="Arial"/>
        <family val="2"/>
      </rPr>
      <t>3</t>
    </r>
  </si>
  <si>
    <r>
      <t>WA</t>
    </r>
    <r>
      <rPr>
        <vertAlign val="superscript"/>
        <sz val="10"/>
        <rFont val="Arial"/>
        <family val="2"/>
      </rPr>
      <t>3</t>
    </r>
  </si>
  <si>
    <r>
      <rPr>
        <vertAlign val="superscript"/>
        <sz val="10"/>
        <rFont val="Arial"/>
        <family val="2"/>
      </rPr>
      <t>2</t>
    </r>
    <r>
      <rPr>
        <sz val="10"/>
        <rFont val="Arial"/>
        <family val="2"/>
      </rPr>
      <t xml:space="preserve"> JD Edwards Rate Base File </t>
    </r>
  </si>
  <si>
    <r>
      <rPr>
        <vertAlign val="superscript"/>
        <sz val="10"/>
        <rFont val="Arial"/>
        <family val="2"/>
      </rPr>
      <t>1</t>
    </r>
    <r>
      <rPr>
        <sz val="10"/>
        <rFont val="Arial"/>
        <family val="2"/>
      </rPr>
      <t>Human Resources Department Monthly Employee Count Spreadsheet</t>
    </r>
  </si>
  <si>
    <t>(1)  Excludes Interstate employees</t>
  </si>
  <si>
    <t xml:space="preserve">  Percentage</t>
  </si>
  <si>
    <t>Average of Monthly Averages</t>
  </si>
  <si>
    <t>Percentage</t>
  </si>
  <si>
    <t>Formula</t>
  </si>
  <si>
    <t>Avg. of Mo. Avgs.</t>
  </si>
  <si>
    <t>Gross Plant</t>
  </si>
  <si>
    <t>Employees</t>
  </si>
  <si>
    <t>Incl. CCNC</t>
  </si>
  <si>
    <t>Customers</t>
  </si>
  <si>
    <t>of Customers</t>
  </si>
  <si>
    <t xml:space="preserve">  Employees (1)</t>
  </si>
  <si>
    <t>Mo-Yr</t>
  </si>
  <si>
    <t>The following percentages are used for allocating interest on debt:</t>
  </si>
  <si>
    <t>Average No.</t>
  </si>
  <si>
    <t>Source: Customers Per Employee report</t>
  </si>
  <si>
    <t>Average Number of Customers</t>
  </si>
  <si>
    <r>
      <t>Gross Plant Percentage</t>
    </r>
    <r>
      <rPr>
        <vertAlign val="superscript"/>
        <sz val="10"/>
        <rFont val="Arial"/>
        <family val="2"/>
      </rPr>
      <t>2</t>
    </r>
  </si>
  <si>
    <r>
      <t>Average No. of Employees</t>
    </r>
    <r>
      <rPr>
        <vertAlign val="superscript"/>
        <sz val="10"/>
        <rFont val="Arial"/>
        <family val="2"/>
      </rPr>
      <t>1</t>
    </r>
  </si>
  <si>
    <t>State Allocation Formulas</t>
  </si>
  <si>
    <t>CY 2015 Allocation Factors to be used in CY 2016</t>
  </si>
  <si>
    <t>2017 Total - Figures exported from "Power Plan" the company's budget and plant accounting software</t>
  </si>
  <si>
    <t>Depr. Rate</t>
  </si>
  <si>
    <t>UG-150762</t>
  </si>
  <si>
    <t>Operating Report (Report is exported from Company's JDE accounting software)</t>
  </si>
  <si>
    <t>Figures are exported from JDE the company's accounting software.</t>
  </si>
  <si>
    <t>Figures are exported from JDE, the company's accounting software.</t>
  </si>
  <si>
    <t>Figures come from Tammy J Nygard Testimony Exhibit No. ____ (TJN-1T), page 3</t>
  </si>
  <si>
    <t>Rate Effective 9/1/2016</t>
  </si>
  <si>
    <t>Funding Project expected incremental volumes per year</t>
  </si>
  <si>
    <t>Total incremental revenue</t>
  </si>
  <si>
    <t>Rate schedule 663 average rate</t>
  </si>
  <si>
    <t>2017 est.</t>
  </si>
  <si>
    <t>All figures above are exported from ""Power Plant" the company's plant accounting software</t>
  </si>
  <si>
    <t>Figures are exported from JDE the company's accounting software</t>
  </si>
  <si>
    <t>Tariff Effective Nov. 1, 2016</t>
  </si>
  <si>
    <t>[1] Provided by Cascade Human Resources Accounting System</t>
  </si>
  <si>
    <t>[2] Union increase from the 2015 Agreement between CNGC and Local No. 121-C of the International Chemical Workers' Union Council/UFCW</t>
  </si>
  <si>
    <t>2016 [1]</t>
  </si>
  <si>
    <t>Year-to-date [1]</t>
  </si>
  <si>
    <t>[2]</t>
  </si>
  <si>
    <t>Increase [2]</t>
  </si>
  <si>
    <t>[1]</t>
  </si>
  <si>
    <t>2015 Assessment (Final)</t>
  </si>
  <si>
    <t xml:space="preserve">Actual taxes to be paid in 2016  </t>
  </si>
  <si>
    <t>Effective Tax Rate</t>
  </si>
  <si>
    <t>2016 Property Tax Rate [1]</t>
  </si>
  <si>
    <t>New Revenue Associated with existing customer on Funding Project 315607 [2]</t>
  </si>
  <si>
    <t>CC&amp;B Billing query</t>
  </si>
  <si>
    <t>Cascade Exhibit No.__JGG-2 Proposed Sch. 200</t>
  </si>
  <si>
    <t>Fee Amount Current Rate Sch. 200</t>
  </si>
  <si>
    <t>Instances the Fee was Charged in Test Year [1]</t>
  </si>
  <si>
    <t>Proposed Fees [2]</t>
  </si>
  <si>
    <t>2016 Actual Deferral [1]</t>
  </si>
  <si>
    <t>Cascade Exhibit No.__RP-2,  December 2016 MAOP Deferred Costs Balance</t>
  </si>
  <si>
    <t>Workpaper - Support Documents</t>
  </si>
  <si>
    <t>State Allocation Formula</t>
  </si>
  <si>
    <t>MPP WP-1.22</t>
  </si>
  <si>
    <t>71 - 86</t>
  </si>
  <si>
    <t>64 - 69</t>
  </si>
  <si>
    <t>55 - 57</t>
  </si>
  <si>
    <t>51 - 52</t>
  </si>
  <si>
    <t>49 - 50</t>
  </si>
  <si>
    <t>8/31/2017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</si>
</sst>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dd\-mmm\-yy"/>
    <numFmt numFmtId="165" formatCode="hh:mm\ AM/PM"/>
    <numFmt numFmtId="166" formatCode="_(* #,##0_);_(* \(#,##0\);_(* &quot;-&quot;??_);_(@_)"/>
    <numFmt numFmtId="167" formatCode="0.000%"/>
    <numFmt numFmtId="168" formatCode="0.0000%"/>
    <numFmt numFmtId="169" formatCode="_-* #,##0\ &quot;F&quot;_-;\-* #,##0\ &quot;F&quot;_-;_-* &quot;-&quot;\ &quot;F&quot;_-;_-@_-"/>
    <numFmt numFmtId="170" formatCode="&quot;$&quot;###0;[Red]\(&quot;$&quot;###0\)"/>
    <numFmt numFmtId="171" formatCode="&quot;$&quot;#,##0\ ;\(&quot;$&quot;#,##0\)"/>
    <numFmt numFmtId="172" formatCode="########\-###\-###"/>
    <numFmt numFmtId="173" formatCode="0.0"/>
    <numFmt numFmtId="174" formatCode="#,##0.000;[Red]\-#,##0.000"/>
    <numFmt numFmtId="175" formatCode="#,##0.0_);\(#,##0.0\);\-\ ;"/>
    <numFmt numFmtId="176" formatCode="#,##0.0000"/>
    <numFmt numFmtId="177" formatCode="mmm\ dd\,\ yyyy"/>
    <numFmt numFmtId="178" formatCode="General_)"/>
    <numFmt numFmtId="179" formatCode="mmmm\ d\,\ yyyy"/>
    <numFmt numFmtId="180" formatCode="_-* #,##0.000000_-;\-* #,##0.000000_-;_-* &quot;-&quot;??????_-;_-@_-"/>
    <numFmt numFmtId="181" formatCode="#,##0.0_);\(#,##0.0\)"/>
    <numFmt numFmtId="182" formatCode="&quot;$&quot;#,##0.0000_);\(&quot;$&quot;#,##0.0000\)"/>
    <numFmt numFmtId="183" formatCode="&quot;$&quot;#,##0.000_);\(&quot;$&quot;#,##0.000\)"/>
    <numFmt numFmtId="184" formatCode="&quot;$&quot;#,##0.00000000_);\(&quot;$&quot;#,##0.00000000\)"/>
    <numFmt numFmtId="185" formatCode="0.00000"/>
    <numFmt numFmtId="186" formatCode="_(&quot;$&quot;* #,##0_);_(&quot;$&quot;* \(#,##0\);_(&quot;$&quot;* &quot;-&quot;??_);_(@_)"/>
    <numFmt numFmtId="187" formatCode="0.0000000%"/>
    <numFmt numFmtId="188" formatCode="_(* #,##0.0000_);_(* \(#,##0.0000\);_(* &quot;-&quot;??_);_(@_)"/>
    <numFmt numFmtId="189" formatCode="#,##0.00000_);\(#,##0.00000\)"/>
    <numFmt numFmtId="190" formatCode="&quot;$&quot;#,##0"/>
    <numFmt numFmtId="191" formatCode="dd\-mmm\-yy_)"/>
    <numFmt numFmtId="192" formatCode="_(&quot;$&quot;* #,##0.00000_);_(&quot;$&quot;* \(#,##0.00000\);_(&quot;$&quot;* &quot;-&quot;??_);_(@_)"/>
    <numFmt numFmtId="193" formatCode="&quot;$&quot;#,##0.00"/>
    <numFmt numFmtId="194" formatCode="#,##0.000000000_);\(#,##0.000000000\)"/>
    <numFmt numFmtId="195" formatCode="#,##0.0000000000_);[Red]\(#,##0.0000000000\)"/>
    <numFmt numFmtId="196" formatCode="0.00000%"/>
    <numFmt numFmtId="197" formatCode="[$-F800]dddd\,\ mmmm\ dd\,\ yyyy"/>
    <numFmt numFmtId="198" formatCode="&quot;$&quot;#,##0.00000_);[Red]\(&quot;$&quot;#,##0.00000\)"/>
    <numFmt numFmtId="199" formatCode="#,##0.0000_);\(#,##0.0000\)"/>
    <numFmt numFmtId="200" formatCode="mmm\-yy_)"/>
    <numFmt numFmtId="201" formatCode="0_)"/>
    <numFmt numFmtId="202" formatCode="#,##0.000000_);\(#,##0.000000\)"/>
    <numFmt numFmtId="203" formatCode="#,##0.0000000"/>
  </numFmts>
  <fonts count="14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sz val="8"/>
      <name val="Arial"/>
      <family val="2"/>
    </font>
    <font>
      <b/>
      <sz val="9"/>
      <name val="Arial"/>
      <family val="2"/>
    </font>
    <font>
      <sz val="10"/>
      <color indexed="12"/>
      <name val="Arial"/>
      <family val="2"/>
    </font>
    <font>
      <b/>
      <sz val="8"/>
      <name val="Arial"/>
      <family val="2"/>
    </font>
    <font>
      <sz val="10"/>
      <color indexed="10"/>
      <name val="Arial"/>
      <family val="2"/>
    </font>
    <font>
      <b/>
      <sz val="12"/>
      <name val="Arial"/>
      <family val="2"/>
    </font>
    <font>
      <b/>
      <sz val="10"/>
      <color indexed="8"/>
      <name val="Arial"/>
      <family val="2"/>
    </font>
    <font>
      <b/>
      <sz val="18"/>
      <name val="Arial"/>
      <family val="2"/>
    </font>
    <font>
      <b/>
      <sz val="14"/>
      <name val="Arial"/>
      <family val="2"/>
    </font>
    <font>
      <sz val="10"/>
      <name val="Courier"/>
      <family val="3"/>
    </font>
    <font>
      <sz val="10"/>
      <color indexed="8"/>
      <name val="Helv"/>
    </font>
    <font>
      <sz val="12"/>
      <name val="Times New Roman"/>
      <family val="1"/>
    </font>
    <font>
      <sz val="12"/>
      <name val="Arial"/>
      <family val="2"/>
    </font>
    <font>
      <sz val="10"/>
      <color indexed="24"/>
      <name val="Courier New"/>
      <family val="3"/>
    </font>
    <font>
      <sz val="10"/>
      <name val="Helv"/>
    </font>
    <font>
      <sz val="8"/>
      <name val="Helv"/>
    </font>
    <font>
      <sz val="7"/>
      <name val="Arial"/>
      <family val="2"/>
    </font>
    <font>
      <b/>
      <sz val="16"/>
      <name val="Times New Roman"/>
      <family val="1"/>
    </font>
    <font>
      <b/>
      <sz val="12"/>
      <color indexed="24"/>
      <name val="Times New Roman"/>
      <family val="1"/>
    </font>
    <font>
      <sz val="10"/>
      <color indexed="24"/>
      <name val="Times New Roman"/>
      <family val="1"/>
    </font>
    <font>
      <b/>
      <i/>
      <sz val="8"/>
      <color indexed="18"/>
      <name val="Helv"/>
    </font>
    <font>
      <sz val="12"/>
      <color indexed="12"/>
      <name val="Times New Roman"/>
      <family val="1"/>
    </font>
    <font>
      <sz val="11"/>
      <name val="Times New Roman"/>
      <family val="1"/>
    </font>
    <font>
      <sz val="10"/>
      <name val="MS Sans Serif"/>
      <family val="2"/>
    </font>
    <font>
      <sz val="10"/>
      <color indexed="11"/>
      <name val="Geneva"/>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2"/>
      <name val="Arial MT"/>
    </font>
    <font>
      <sz val="10"/>
      <name val="LinePrinter"/>
    </font>
    <font>
      <sz val="8"/>
      <color indexed="12"/>
      <name val="Arial"/>
      <family val="2"/>
    </font>
    <font>
      <sz val="11"/>
      <color theme="1"/>
      <name val="Times New Roman"/>
      <family val="2"/>
    </font>
    <font>
      <sz val="10"/>
      <name val="Arial MT"/>
    </font>
    <font>
      <sz val="10"/>
      <color theme="1"/>
      <name val="Arial"/>
      <family val="2"/>
    </font>
    <font>
      <sz val="11"/>
      <color indexed="8"/>
      <name val="TimesNewRomanPS"/>
    </font>
    <font>
      <sz val="8"/>
      <color indexed="62"/>
      <name val="Arial"/>
      <family val="2"/>
    </font>
    <font>
      <sz val="11"/>
      <name val="Arial"/>
      <family val="2"/>
    </font>
    <font>
      <sz val="11"/>
      <color theme="1"/>
      <name val="Arial"/>
      <family val="2"/>
    </font>
    <font>
      <strike/>
      <sz val="8"/>
      <name val="Arial"/>
      <family val="2"/>
    </font>
    <font>
      <sz val="8"/>
      <color indexed="8"/>
      <name val="Arial"/>
      <family val="2"/>
    </font>
    <font>
      <sz val="8"/>
      <color indexed="12"/>
      <name val="Tms Rmn"/>
    </font>
    <font>
      <sz val="8"/>
      <name val="Times New Roman"/>
      <family val="1"/>
    </font>
    <font>
      <b/>
      <sz val="8"/>
      <name val="Times New Roman"/>
      <family val="1"/>
    </font>
    <font>
      <sz val="10"/>
      <name val="Times New Roman"/>
      <family val="1"/>
    </font>
    <font>
      <sz val="8"/>
      <color indexed="18"/>
      <name val="Times New Roman"/>
      <family val="1"/>
    </font>
    <font>
      <sz val="18"/>
      <name val="Times New Roman"/>
      <family val="1"/>
    </font>
    <font>
      <i/>
      <sz val="12"/>
      <name val="Times New Roman"/>
      <family val="1"/>
    </font>
    <font>
      <sz val="18"/>
      <name val="Arial"/>
      <family val="2"/>
    </font>
    <font>
      <i/>
      <sz val="12"/>
      <name val="Arial"/>
      <family val="2"/>
    </font>
    <font>
      <sz val="8"/>
      <name val="Helvetica"/>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ont>
    <font>
      <b/>
      <sz val="10"/>
      <name val="Helv"/>
    </font>
    <font>
      <sz val="7"/>
      <name val="Times New Roman"/>
      <family val="1"/>
    </font>
    <font>
      <b/>
      <u/>
      <sz val="9"/>
      <name val="Arial"/>
      <family val="2"/>
    </font>
    <font>
      <sz val="8"/>
      <color indexed="9"/>
      <name val="Arial"/>
      <family val="2"/>
    </font>
    <font>
      <u/>
      <sz val="11"/>
      <color theme="10"/>
      <name val="Calibri"/>
      <family val="2"/>
    </font>
    <font>
      <sz val="10"/>
      <name val="Geneva"/>
    </font>
    <font>
      <sz val="10"/>
      <name val="Tms Rmn"/>
    </font>
    <font>
      <sz val="12"/>
      <color indexed="10"/>
      <name val="Times New Roman"/>
      <family val="1"/>
    </font>
    <font>
      <b/>
      <sz val="8"/>
      <color indexed="8"/>
      <name val="Courier New"/>
      <family val="3"/>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8"/>
      <name val="Wingdings"/>
      <charset val="2"/>
    </font>
    <font>
      <u/>
      <sz val="7.5"/>
      <color theme="0"/>
      <name val="Arial"/>
      <family val="2"/>
    </font>
    <font>
      <u/>
      <sz val="10"/>
      <color theme="0"/>
      <name val="Arial"/>
      <family val="2"/>
    </font>
    <font>
      <sz val="10"/>
      <name val="Geneva"/>
      <family val="2"/>
    </font>
    <font>
      <sz val="10"/>
      <name val="Tahoma"/>
      <family val="2"/>
    </font>
    <font>
      <u/>
      <sz val="10"/>
      <color theme="10"/>
      <name val="Arial"/>
      <family val="2"/>
    </font>
    <font>
      <sz val="6"/>
      <name val="Times New Roman"/>
      <family val="1"/>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u/>
      <sz val="9.9499999999999993"/>
      <color indexed="8"/>
      <name val="Times New Roman"/>
      <family val="1"/>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indexed="8"/>
      <name val="MS Sans Serif"/>
      <family val="2"/>
    </font>
    <font>
      <b/>
      <sz val="11"/>
      <color indexed="63"/>
      <name val="Calibri"/>
      <family val="2"/>
    </font>
    <font>
      <sz val="8"/>
      <color indexed="14"/>
      <name val="Helvetica"/>
      <family val="2"/>
    </font>
    <font>
      <b/>
      <sz val="18"/>
      <color indexed="62"/>
      <name val="Cambria"/>
      <family val="2"/>
    </font>
    <font>
      <sz val="11"/>
      <color indexed="10"/>
      <name val="Calibri"/>
      <family val="2"/>
    </font>
    <font>
      <b/>
      <sz val="8"/>
      <color indexed="81"/>
      <name val="Tahoma"/>
      <family val="2"/>
    </font>
    <font>
      <sz val="8"/>
      <color indexed="81"/>
      <name val="Tahoma"/>
      <family val="2"/>
    </font>
    <font>
      <sz val="10"/>
      <name val="Arial"/>
      <family val="2"/>
    </font>
    <font>
      <sz val="9"/>
      <color indexed="81"/>
      <name val="Tahoma"/>
      <family val="2"/>
    </font>
    <font>
      <b/>
      <sz val="9"/>
      <color indexed="81"/>
      <name val="Tahoma"/>
      <family val="2"/>
    </font>
    <font>
      <b/>
      <sz val="12"/>
      <name val="Times New Roman"/>
      <family val="1"/>
    </font>
    <font>
      <sz val="12"/>
      <color theme="1"/>
      <name val="Times New Roman"/>
      <family val="1"/>
    </font>
    <font>
      <u/>
      <sz val="12"/>
      <color theme="1"/>
      <name val="Times New Roman"/>
      <family val="1"/>
    </font>
    <font>
      <b/>
      <sz val="12"/>
      <color theme="1"/>
      <name val="Times New Roman"/>
      <family val="1"/>
    </font>
    <font>
      <b/>
      <u/>
      <sz val="12"/>
      <color theme="1"/>
      <name val="Times New Roman"/>
      <family val="1"/>
    </font>
    <font>
      <sz val="12"/>
      <color rgb="FFFF0000"/>
      <name val="Times New Roman"/>
      <family val="1"/>
    </font>
    <font>
      <sz val="12"/>
      <color theme="1"/>
      <name val="Calibri"/>
      <family val="2"/>
      <scheme val="minor"/>
    </font>
    <font>
      <sz val="12"/>
      <color theme="1"/>
      <name val="Arial"/>
      <family val="2"/>
    </font>
    <font>
      <b/>
      <i/>
      <sz val="12"/>
      <name val="Times New Roman"/>
      <family val="1"/>
    </font>
    <font>
      <b/>
      <i/>
      <u/>
      <sz val="12"/>
      <color theme="1"/>
      <name val="Times New Roman"/>
      <family val="1"/>
    </font>
    <font>
      <b/>
      <u/>
      <sz val="12"/>
      <name val="Times New Roman"/>
      <family val="1"/>
    </font>
    <font>
      <u/>
      <sz val="12"/>
      <color theme="1"/>
      <name val="Calibri"/>
      <family val="2"/>
      <scheme val="minor"/>
    </font>
    <font>
      <vertAlign val="superscript"/>
      <sz val="12"/>
      <color theme="1"/>
      <name val="Calibri"/>
      <family val="2"/>
      <scheme val="minor"/>
    </font>
    <font>
      <i/>
      <sz val="12"/>
      <color theme="1"/>
      <name val="Times New Roman"/>
      <family val="1"/>
    </font>
    <font>
      <b/>
      <sz val="12"/>
      <color theme="1"/>
      <name val="Calibri"/>
      <family val="2"/>
      <scheme val="minor"/>
    </font>
    <font>
      <sz val="12"/>
      <color indexed="8"/>
      <name val="Times New Roman"/>
      <family val="1"/>
    </font>
    <font>
      <sz val="10"/>
      <name val="Courier"/>
    </font>
    <font>
      <vertAlign val="superscript"/>
      <sz val="10"/>
      <name val="Arial"/>
      <family val="2"/>
    </font>
    <font>
      <b/>
      <sz val="11"/>
      <name val="Arial"/>
      <family val="2"/>
    </font>
    <font>
      <b/>
      <i/>
      <u/>
      <sz val="20"/>
      <color theme="1"/>
      <name val="Times New Roman"/>
      <family val="1"/>
    </font>
    <font>
      <b/>
      <i/>
      <u/>
      <sz val="22"/>
      <color theme="1"/>
      <name val="Times New Roman"/>
      <family val="1"/>
    </font>
    <font>
      <b/>
      <i/>
      <u/>
      <sz val="24"/>
      <color theme="1"/>
      <name val="Times New Roman"/>
      <family val="1"/>
    </font>
    <font>
      <b/>
      <i/>
      <u/>
      <sz val="12"/>
      <name val="Times New Roman"/>
      <family val="1"/>
    </font>
    <font>
      <b/>
      <i/>
      <u/>
      <sz val="18"/>
      <color theme="1"/>
      <name val="Times New Roman"/>
      <family val="1"/>
    </font>
  </fonts>
  <fills count="10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0"/>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indexed="9"/>
        <bgColor indexed="64"/>
      </patternFill>
    </fill>
    <fill>
      <patternFill patternType="solid">
        <fgColor indexed="63"/>
        <bgColor indexed="64"/>
      </patternFill>
    </fill>
    <fill>
      <patternFill patternType="solid">
        <fgColor indexed="9"/>
      </patternFill>
    </fill>
    <fill>
      <patternFill patternType="solid">
        <fgColor indexed="23"/>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4"/>
      </patternFill>
    </fill>
    <fill>
      <patternFill patternType="solid">
        <fgColor indexed="44"/>
      </patternFill>
    </fill>
    <fill>
      <patternFill patternType="solid">
        <fgColor indexed="4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tint="-0.249977111117893"/>
        <bgColor indexed="64"/>
      </patternFill>
    </fill>
  </fills>
  <borders count="1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top style="thin">
        <color indexed="64"/>
      </top>
      <bottom/>
      <diagonal/>
    </border>
    <border>
      <left/>
      <right/>
      <top/>
      <bottom style="thin">
        <color indexed="22"/>
      </bottom>
      <diagonal/>
    </border>
    <border>
      <left/>
      <right/>
      <top style="thick">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auto="1"/>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top style="thin">
        <color indexed="64"/>
      </top>
      <bottom/>
      <diagonal/>
    </border>
    <border>
      <left/>
      <right style="thin">
        <color indexed="64"/>
      </right>
      <top style="thin">
        <color indexed="64"/>
      </top>
      <bottom/>
      <diagonal/>
    </border>
    <border>
      <left/>
      <right/>
      <top/>
      <bottom style="double">
        <color auto="1"/>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right/>
      <top style="medium">
        <color auto="1"/>
      </top>
      <bottom style="double">
        <color auto="1"/>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top/>
      <bottom/>
      <diagonal/>
    </border>
    <border>
      <left/>
      <right style="thick">
        <color indexed="64"/>
      </right>
      <top/>
      <bottom/>
      <diagonal/>
    </border>
    <border>
      <left style="thick">
        <color auto="1"/>
      </left>
      <right style="thick">
        <color auto="1"/>
      </right>
      <top/>
      <bottom/>
      <diagonal/>
    </border>
    <border>
      <left style="thick">
        <color auto="1"/>
      </left>
      <right/>
      <top style="thin">
        <color indexed="64"/>
      </top>
      <bottom/>
      <diagonal/>
    </border>
    <border>
      <left/>
      <right style="thick">
        <color indexed="64"/>
      </right>
      <top style="thin">
        <color indexed="64"/>
      </top>
      <bottom/>
      <diagonal/>
    </border>
    <border>
      <left style="thick">
        <color auto="1"/>
      </left>
      <right style="thick">
        <color auto="1"/>
      </right>
      <top style="thin">
        <color indexed="64"/>
      </top>
      <bottom/>
      <diagonal/>
    </border>
    <border>
      <left style="thick">
        <color auto="1"/>
      </left>
      <right style="thick">
        <color auto="1"/>
      </right>
      <top style="thin">
        <color indexed="64"/>
      </top>
      <bottom style="double">
        <color auto="1"/>
      </bottom>
      <diagonal/>
    </border>
    <border>
      <left style="thin">
        <color auto="1"/>
      </left>
      <right style="thin">
        <color auto="1"/>
      </right>
      <top/>
      <bottom style="thin">
        <color auto="1"/>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25798">
    <xf numFmtId="0" fontId="0" fillId="0" borderId="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 fontId="27" fillId="34" borderId="0" applyNumberFormat="0" applyProtection="0">
      <alignment horizontal="left" vertical="center" indent="1"/>
    </xf>
    <xf numFmtId="4" fontId="28" fillId="0" borderId="0" applyNumberFormat="0" applyProtection="0">
      <alignment horizontal="left" vertical="center"/>
    </xf>
    <xf numFmtId="43" fontId="19" fillId="0" borderId="0" applyFont="0" applyFill="0" applyBorder="0" applyAlignment="0" applyProtection="0"/>
    <xf numFmtId="0" fontId="19" fillId="0" borderId="0"/>
    <xf numFmtId="43" fontId="19" fillId="0" borderId="0" applyFont="0" applyFill="0" applyBorder="0" applyAlignment="0" applyProtection="0"/>
    <xf numFmtId="0" fontId="30"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 fontId="31" fillId="0" borderId="0"/>
    <xf numFmtId="43" fontId="32"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0" fontId="35" fillId="0" borderId="0"/>
    <xf numFmtId="0" fontId="35" fillId="0" borderId="0"/>
    <xf numFmtId="0" fontId="35" fillId="0" borderId="0"/>
    <xf numFmtId="44" fontId="1" fillId="0" borderId="0" applyFont="0" applyFill="0" applyBorder="0" applyAlignment="0" applyProtection="0"/>
    <xf numFmtId="44" fontId="33" fillId="0" borderId="0" applyFont="0" applyFill="0" applyBorder="0" applyAlignment="0" applyProtection="0"/>
    <xf numFmtId="170" fontId="36" fillId="0" borderId="0" applyFont="0" applyFill="0" applyBorder="0" applyProtection="0">
      <alignment horizontal="right"/>
    </xf>
    <xf numFmtId="5" fontId="35" fillId="0" borderId="0"/>
    <xf numFmtId="171" fontId="34" fillId="0" borderId="0" applyFont="0" applyFill="0" applyBorder="0" applyAlignment="0" applyProtection="0"/>
    <xf numFmtId="0" fontId="34" fillId="0" borderId="0" applyFont="0" applyFill="0" applyBorder="0" applyAlignment="0" applyProtection="0"/>
    <xf numFmtId="0" fontId="35" fillId="0" borderId="0"/>
    <xf numFmtId="2" fontId="34" fillId="0" borderId="0" applyFont="0" applyFill="0" applyBorder="0" applyAlignment="0" applyProtection="0"/>
    <xf numFmtId="0" fontId="37" fillId="0" borderId="0" applyFont="0" applyFill="0" applyBorder="0" applyAlignment="0" applyProtection="0">
      <alignment horizontal="left"/>
    </xf>
    <xf numFmtId="38" fontId="21" fillId="33" borderId="0" applyNumberFormat="0" applyBorder="0" applyAlignment="0" applyProtection="0"/>
    <xf numFmtId="0" fontId="38" fillId="0" borderId="0"/>
    <xf numFmtId="0" fontId="26" fillId="0" borderId="23" applyNumberFormat="0" applyAlignment="0" applyProtection="0">
      <alignment horizontal="left" vertical="center"/>
    </xf>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10" fontId="21" fillId="35" borderId="14" applyNumberFormat="0" applyBorder="0" applyAlignment="0" applyProtection="0"/>
    <xf numFmtId="0" fontId="41" fillId="0" borderId="0" applyNumberFormat="0" applyFill="0" applyBorder="0" applyAlignment="0">
      <protection locked="0"/>
    </xf>
    <xf numFmtId="172" fontId="19" fillId="0" borderId="0"/>
    <xf numFmtId="173" fontId="24" fillId="0" borderId="0" applyNumberFormat="0" applyFill="0" applyBorder="0" applyAlignment="0" applyProtection="0"/>
    <xf numFmtId="166" fontId="42" fillId="0" borderId="0" applyFont="0" applyAlignment="0" applyProtection="0"/>
    <xf numFmtId="0" fontId="21" fillId="0" borderId="24" applyNumberFormat="0" applyBorder="0" applyAlignment="0"/>
    <xf numFmtId="174" fontId="19" fillId="0" borderId="0"/>
    <xf numFmtId="0" fontId="43" fillId="0" borderId="0"/>
    <xf numFmtId="0" fontId="32" fillId="0" borderId="0"/>
    <xf numFmtId="0" fontId="1" fillId="0" borderId="0"/>
    <xf numFmtId="0" fontId="19" fillId="0" borderId="0"/>
    <xf numFmtId="0" fontId="1" fillId="0" borderId="0"/>
    <xf numFmtId="0" fontId="1" fillId="0" borderId="0"/>
    <xf numFmtId="0" fontId="44" fillId="0" borderId="0"/>
    <xf numFmtId="0" fontId="32" fillId="0" borderId="0"/>
    <xf numFmtId="0" fontId="19" fillId="0" borderId="0"/>
    <xf numFmtId="0" fontId="19" fillId="0" borderId="0"/>
    <xf numFmtId="37" fontId="35" fillId="0" borderId="0"/>
    <xf numFmtId="175" fontId="32" fillId="0" borderId="0" applyFont="0" applyFill="0" applyBorder="0" applyProtection="0"/>
    <xf numFmtId="12" fontId="26" fillId="36" borderId="20">
      <alignment horizontal="left"/>
    </xf>
    <xf numFmtId="0" fontId="35" fillId="0" borderId="0"/>
    <xf numFmtId="0" fontId="35" fillId="0" borderId="0"/>
    <xf numFmtId="10"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27" fillId="34" borderId="0" applyNumberFormat="0" applyProtection="0">
      <alignment horizontal="left" vertical="center" indent="1"/>
    </xf>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27" fillId="48" borderId="26" applyNumberFormat="0" applyProtection="0">
      <alignment horizontal="left" vertical="center" indent="1"/>
    </xf>
    <xf numFmtId="4" fontId="47" fillId="49" borderId="0" applyNumberFormat="0" applyProtection="0">
      <alignment horizontal="left"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7" fillId="51" borderId="25" applyNumberFormat="0" applyProtection="0">
      <alignment horizontal="right" vertical="center"/>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5" fillId="49" borderId="25" applyNumberFormat="0" applyProtection="0">
      <alignment horizontal="right" vertical="center"/>
    </xf>
    <xf numFmtId="37" fontId="52" fillId="57" borderId="0" applyNumberFormat="0" applyFont="0" applyBorder="0" applyAlignment="0" applyProtection="0"/>
    <xf numFmtId="176" fontId="19" fillId="0" borderId="16">
      <alignment horizontal="justify" vertical="top" wrapText="1"/>
    </xf>
    <xf numFmtId="0" fontId="19" fillId="0" borderId="0">
      <alignment horizontal="left" wrapText="1"/>
    </xf>
    <xf numFmtId="177" fontId="19" fillId="0" borderId="0" applyFill="0" applyBorder="0" applyAlignment="0" applyProtection="0">
      <alignment wrapText="1"/>
    </xf>
    <xf numFmtId="0" fontId="20" fillId="0" borderId="0" applyNumberFormat="0" applyFill="0" applyBorder="0">
      <alignment horizontal="center" wrapText="1"/>
    </xf>
    <xf numFmtId="0" fontId="20" fillId="0" borderId="0" applyNumberFormat="0" applyFill="0" applyBorder="0">
      <alignment horizontal="center" wrapText="1"/>
    </xf>
    <xf numFmtId="0" fontId="20" fillId="0" borderId="14">
      <alignment horizontal="center" vertical="center" wrapText="1"/>
    </xf>
    <xf numFmtId="0" fontId="34" fillId="0" borderId="27" applyNumberFormat="0" applyFont="0" applyFill="0" applyAlignment="0" applyProtection="0"/>
    <xf numFmtId="0" fontId="35" fillId="0" borderId="28"/>
    <xf numFmtId="178" fontId="53" fillId="0" borderId="0">
      <alignment horizontal="left"/>
    </xf>
    <xf numFmtId="0" fontId="35" fillId="0" borderId="29"/>
    <xf numFmtId="37" fontId="21" fillId="38" borderId="0" applyNumberFormat="0" applyBorder="0" applyAlignment="0" applyProtection="0"/>
    <xf numFmtId="37" fontId="21" fillId="0" borderId="0"/>
    <xf numFmtId="3" fontId="54" fillId="58" borderId="30" applyProtection="0"/>
    <xf numFmtId="0" fontId="19" fillId="0" borderId="0"/>
    <xf numFmtId="0" fontId="55" fillId="0" borderId="0"/>
    <xf numFmtId="0" fontId="56" fillId="0" borderId="0"/>
    <xf numFmtId="0" fontId="19" fillId="0" borderId="0"/>
    <xf numFmtId="44" fontId="19"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37" fontId="58" fillId="0" borderId="0" applyNumberFormat="0" applyFill="0" applyBorder="0"/>
    <xf numFmtId="0" fontId="1" fillId="0" borderId="0"/>
    <xf numFmtId="0" fontId="57" fillId="0" borderId="0"/>
    <xf numFmtId="0" fontId="1"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8" borderId="25" applyNumberFormat="0" applyProtection="0">
      <alignment horizontal="left" vertical="center" indent="1"/>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4" fontId="27" fillId="34" borderId="10" applyNumberFormat="0" applyProtection="0">
      <alignment vertical="center"/>
    </xf>
    <xf numFmtId="4" fontId="27" fillId="34" borderId="25" applyNumberFormat="0" applyProtection="0"/>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vertical="center"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9" fillId="0" borderId="0" applyNumberFormat="0" applyProtection="0">
      <alignment horizontal="left" vertical="center"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0" borderId="0" applyNumberFormat="0" applyProtection="0">
      <alignment horizontal="left" vertical="center" indent="1"/>
    </xf>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59" borderId="31"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8" fillId="0" borderId="0" applyNumberFormat="0" applyProtection="0">
      <alignment horizontal="left" vertical="center"/>
    </xf>
    <xf numFmtId="4" fontId="29" fillId="56" borderId="0" applyNumberFormat="0" applyProtection="0">
      <alignment horizontal="left"/>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3" fontId="34"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55" fillId="0" borderId="0" applyFont="0" applyFill="0" applyBorder="0" applyAlignment="0" applyProtection="0"/>
    <xf numFmtId="43" fontId="1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37" fontId="19" fillId="0" borderId="0" applyFill="0" applyBorder="0" applyAlignment="0" applyProtection="0"/>
    <xf numFmtId="44" fontId="55" fillId="0" borderId="0" applyFont="0" applyFill="0" applyBorder="0" applyAlignment="0" applyProtection="0"/>
    <xf numFmtId="44" fontId="19"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2" fontId="19" fillId="0" borderId="0" applyFill="0" applyBorder="0" applyAlignment="0" applyProtection="0"/>
    <xf numFmtId="0" fontId="26" fillId="0" borderId="32">
      <alignment horizontal="left" vertical="center"/>
    </xf>
    <xf numFmtId="0" fontId="44" fillId="0" borderId="0"/>
    <xf numFmtId="0" fontId="19" fillId="0" borderId="0"/>
    <xf numFmtId="0" fontId="44" fillId="0" borderId="0"/>
    <xf numFmtId="0" fontId="1" fillId="0" borderId="0"/>
    <xf numFmtId="43" fontId="1" fillId="0" borderId="0" applyFont="0" applyFill="0" applyBorder="0" applyAlignment="0" applyProtection="0"/>
    <xf numFmtId="179" fontId="19" fillId="0" borderId="0" applyFill="0" applyBorder="0" applyAlignment="0" applyProtection="0"/>
    <xf numFmtId="4" fontId="47" fillId="51" borderId="25" applyNumberFormat="0" applyProtection="0">
      <alignment horizontal="left" vertical="center" indent="1"/>
    </xf>
    <xf numFmtId="43" fontId="1"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171"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43" fillId="0" borderId="0"/>
    <xf numFmtId="0" fontId="1" fillId="0" borderId="0"/>
    <xf numFmtId="0" fontId="1" fillId="0" borderId="0"/>
    <xf numFmtId="0" fontId="1" fillId="0" borderId="0"/>
    <xf numFmtId="9" fontId="1" fillId="0" borderId="0" applyFont="0" applyFill="0" applyBorder="0" applyAlignment="0" applyProtection="0"/>
    <xf numFmtId="4" fontId="27" fillId="38" borderId="25" applyNumberFormat="0" applyProtection="0">
      <alignment horizontal="left" vertical="center" indent="1"/>
    </xf>
    <xf numFmtId="4" fontId="47" fillId="49"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9" fontId="1" fillId="0" borderId="0" applyFont="0" applyFill="0" applyBorder="0" applyAlignment="0" applyProtection="0"/>
    <xf numFmtId="0" fontId="1" fillId="0" borderId="0"/>
    <xf numFmtId="0" fontId="19" fillId="0" borderId="0"/>
    <xf numFmtId="0" fontId="55"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37" fontId="19"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 fontId="27" fillId="34" borderId="10" applyNumberFormat="0" applyProtection="0">
      <alignment vertical="center"/>
    </xf>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59" borderId="0" applyNumberFormat="0" applyFill="0" applyBorder="0" applyAlignment="0" applyProtection="0">
      <protection locked="0"/>
    </xf>
    <xf numFmtId="0" fontId="64" fillId="0" borderId="0" applyNumberFormat="0" applyFill="0" applyBorder="0" applyAlignment="0" applyProtection="0"/>
    <xf numFmtId="0" fontId="50" fillId="59" borderId="11" applyNumberFormat="0" applyFill="0" applyBorder="0" applyAlignment="0" applyProtection="0">
      <protection locked="0"/>
    </xf>
    <xf numFmtId="0" fontId="65" fillId="0" borderId="20" applyNumberFormat="0" applyFont="0" applyFill="0" applyAlignment="0" applyProtection="0"/>
    <xf numFmtId="0" fontId="19" fillId="0" borderId="37" applyNumberFormat="0" applyFill="0" applyAlignment="0" applyProtection="0"/>
    <xf numFmtId="0" fontId="21" fillId="0" borderId="0" applyNumberFormat="0" applyFill="0" applyBorder="0" applyAlignment="0" applyProtection="0"/>
    <xf numFmtId="0" fontId="65" fillId="0" borderId="0" applyFont="0" applyFill="0" applyBorder="0" applyAlignment="0" applyProtection="0"/>
    <xf numFmtId="40" fontId="66" fillId="0" borderId="0" applyFont="0" applyFill="0" applyBorder="0" applyAlignment="0" applyProtection="0">
      <alignment horizontal="center"/>
    </xf>
    <xf numFmtId="0" fontId="66" fillId="0" borderId="0" applyFont="0" applyFill="0" applyBorder="0" applyAlignment="0" applyProtection="0">
      <alignment horizontal="center"/>
    </xf>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7" fontId="36" fillId="0" borderId="0" applyFill="0" applyBorder="0">
      <alignment horizontal="right"/>
    </xf>
    <xf numFmtId="8" fontId="68" fillId="0" borderId="0" applyNumberFormat="0" applyFill="0" applyBorder="0" applyAlignment="0"/>
    <xf numFmtId="0" fontId="19" fillId="0" borderId="0" applyFont="0" applyFill="0" applyBorder="0" applyAlignment="0" applyProtection="0"/>
    <xf numFmtId="0" fontId="19" fillId="0" borderId="0" applyFont="0" applyFill="0" applyBorder="0" applyAlignment="0" applyProtection="0"/>
    <xf numFmtId="17" fontId="19" fillId="0" borderId="0" applyFont="0" applyFill="0" applyBorder="0" applyAlignment="0" applyProtection="0"/>
    <xf numFmtId="0" fontId="19" fillId="0" borderId="0"/>
    <xf numFmtId="0" fontId="19" fillId="0" borderId="0"/>
    <xf numFmtId="0" fontId="33" fillId="0" borderId="0" applyFill="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0" fontId="36" fillId="0" borderId="0" applyFill="0" applyBorder="0">
      <alignment horizontal="right"/>
    </xf>
    <xf numFmtId="0" fontId="21" fillId="59" borderId="14" applyFont="0" applyBorder="0" applyAlignment="0" applyProtection="0">
      <alignment vertical="top"/>
    </xf>
    <xf numFmtId="0" fontId="28" fillId="0" borderId="0" applyNumberFormat="0" applyFill="0" applyBorder="0" applyAlignment="0" applyProtection="0"/>
    <xf numFmtId="0" fontId="26" fillId="0" borderId="0" applyNumberFormat="0" applyFill="0" applyBorder="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9" fillId="0" borderId="0" applyFill="0" applyBorder="0" applyProtection="0">
      <alignment horizontal="right"/>
    </xf>
    <xf numFmtId="0" fontId="19" fillId="0" borderId="0" applyFill="0" applyBorder="0" applyProtection="0">
      <alignment horizontal="right"/>
    </xf>
    <xf numFmtId="180" fontId="19" fillId="0" borderId="0" applyFill="0" applyBorder="0" applyProtection="0">
      <alignment horizontal="right"/>
    </xf>
    <xf numFmtId="0" fontId="73" fillId="0" borderId="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40" fontId="47" fillId="59" borderId="0">
      <alignment horizontal="right"/>
    </xf>
    <xf numFmtId="0" fontId="27" fillId="59" borderId="0">
      <alignment horizontal="left"/>
    </xf>
    <xf numFmtId="0" fontId="74" fillId="0" borderId="0" applyFill="0" applyBorder="0" applyProtection="0">
      <alignment horizontal="left"/>
    </xf>
    <xf numFmtId="0" fontId="75" fillId="0" borderId="0" applyFill="0" applyBorder="0" applyProtection="0">
      <alignment horizontal="left"/>
    </xf>
    <xf numFmtId="0" fontId="19" fillId="0" borderId="0" applyFont="0" applyFill="0" applyBorder="0" applyAlignment="0" applyProtection="0"/>
    <xf numFmtId="0" fontId="19" fillId="0" borderId="0" applyFont="0" applyFill="0" applyBorder="0" applyAlignment="0" applyProtection="0"/>
    <xf numFmtId="0" fontId="76" fillId="0" borderId="0" applyFont="0" applyFill="0" applyBorder="0" applyAlignment="0" applyProtection="0"/>
    <xf numFmtId="0" fontId="65" fillId="0" borderId="0" applyFont="0" applyFill="0" applyBorder="0" applyProtection="0">
      <alignment horizontal="right"/>
    </xf>
    <xf numFmtId="0" fontId="77" fillId="0" borderId="0"/>
    <xf numFmtId="0" fontId="36" fillId="0" borderId="0" applyFill="0" applyBorder="0">
      <alignment horizontal="right"/>
    </xf>
    <xf numFmtId="0" fontId="24" fillId="33" borderId="14" applyNumberFormat="0" applyFont="0" applyAlignment="0" applyProtection="0"/>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78" fillId="0" borderId="0" applyNumberFormat="0" applyFill="0" applyBorder="0" applyAlignment="0" applyProtection="0"/>
    <xf numFmtId="0" fontId="67" fillId="60" borderId="0" applyNumberFormat="0" applyFont="0" applyBorder="0" applyAlignment="0" applyProtection="0"/>
    <xf numFmtId="0" fontId="24" fillId="33" borderId="0" applyNumberFormat="0" applyFont="0" applyBorder="0" applyAlignment="0" applyProtection="0"/>
    <xf numFmtId="178" fontId="79" fillId="0" borderId="0" applyNumberFormat="0" applyFill="0" applyBorder="0" applyAlignment="0">
      <alignment horizontal="left"/>
    </xf>
    <xf numFmtId="0" fontId="22" fillId="0" borderId="0" applyFill="0" applyBorder="0" applyProtection="0">
      <alignment horizontal="center" vertical="center"/>
    </xf>
    <xf numFmtId="0" fontId="22" fillId="0" borderId="0" applyFill="0" applyBorder="0" applyProtection="0"/>
    <xf numFmtId="0" fontId="20" fillId="0" borderId="0" applyFill="0" applyBorder="0" applyProtection="0">
      <alignment horizontal="left"/>
    </xf>
    <xf numFmtId="0" fontId="80" fillId="0" borderId="0" applyFill="0" applyBorder="0" applyProtection="0">
      <alignment horizontal="left" vertical="top"/>
    </xf>
    <xf numFmtId="0" fontId="63" fillId="59" borderId="33" applyNumberFormat="0" applyFont="0" applyFill="0" applyAlignment="0" applyProtection="0">
      <protection locked="0"/>
    </xf>
    <xf numFmtId="0" fontId="63" fillId="59" borderId="38" applyNumberFormat="0" applyFont="0" applyFill="0" applyAlignment="0" applyProtection="0">
      <protection locked="0"/>
    </xf>
    <xf numFmtId="0" fontId="24" fillId="0" borderId="0" applyNumberFormat="0" applyFill="0" applyBorder="0" applyAlignment="0" applyProtection="0"/>
    <xf numFmtId="18" fontId="63" fillId="59" borderId="0" applyFont="0" applyFill="0" applyBorder="0" applyAlignment="0" applyProtection="0">
      <protection locked="0"/>
    </xf>
    <xf numFmtId="0" fontId="81" fillId="0" borderId="0" applyNumberFormat="0" applyFill="0" applyBorder="0" applyAlignment="0" applyProtection="0"/>
    <xf numFmtId="0" fontId="22" fillId="0" borderId="0" applyNumberFormat="0" applyFill="0" applyBorder="0" applyAlignment="0" applyProtection="0"/>
    <xf numFmtId="38" fontId="47" fillId="0" borderId="15" applyFill="0" applyBorder="0" applyAlignment="0" applyProtection="0">
      <protection locked="0"/>
    </xf>
    <xf numFmtId="0" fontId="24" fillId="59" borderId="0" applyNumberFormat="0" applyFont="0" applyAlignment="0" applyProtection="0"/>
    <xf numFmtId="0" fontId="24" fillId="59" borderId="33" applyNumberFormat="0" applyFont="0" applyAlignment="0" applyProtection="0">
      <protection locked="0"/>
    </xf>
    <xf numFmtId="0" fontId="82" fillId="0" borderId="0" applyNumberFormat="0" applyFill="0" applyBorder="0" applyAlignment="0" applyProtection="0"/>
    <xf numFmtId="0" fontId="65" fillId="0" borderId="0" applyFont="0" applyFill="0" applyBorder="0" applyProtection="0">
      <alignment horizontal="right"/>
    </xf>
    <xf numFmtId="4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3" fillId="0" borderId="0" applyNumberFormat="0" applyFill="0" applyBorder="0" applyAlignment="0" applyProtection="0">
      <alignment vertical="top"/>
      <protection locked="0"/>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9" fillId="0" borderId="0"/>
    <xf numFmtId="0" fontId="44" fillId="0" borderId="0"/>
    <xf numFmtId="0" fontId="1" fillId="0" borderId="0"/>
    <xf numFmtId="0" fontId="1" fillId="0" borderId="0"/>
    <xf numFmtId="0" fontId="1" fillId="0" borderId="0"/>
    <xf numFmtId="0" fontId="61" fillId="0" borderId="0"/>
    <xf numFmtId="9" fontId="1" fillId="0" borderId="0" applyFont="0" applyFill="0" applyBorder="0" applyAlignment="0" applyProtection="0"/>
    <xf numFmtId="9" fontId="32" fillId="0" borderId="0" applyFont="0" applyFill="0" applyBorder="0" applyAlignment="0" applyProtection="0"/>
    <xf numFmtId="9" fontId="6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7" fillId="61" borderId="0">
      <alignment horizontal="left"/>
    </xf>
    <xf numFmtId="0" fontId="50" fillId="61" borderId="0">
      <alignment horizontal="right"/>
    </xf>
    <xf numFmtId="0" fontId="50" fillId="61" borderId="0">
      <alignment horizontal="center"/>
    </xf>
    <xf numFmtId="0" fontId="50" fillId="61" borderId="0">
      <alignment horizontal="right"/>
    </xf>
    <xf numFmtId="0" fontId="87" fillId="61" borderId="0">
      <alignment horizontal="left"/>
    </xf>
    <xf numFmtId="40" fontId="84" fillId="0" borderId="0" applyFont="0" applyFill="0" applyBorder="0" applyAlignment="0" applyProtection="0"/>
    <xf numFmtId="43" fontId="85" fillId="0" borderId="0" applyFont="0" applyFill="0" applyBorder="0" applyAlignment="0" applyProtection="0"/>
    <xf numFmtId="44" fontId="1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7" fillId="61" borderId="0">
      <alignment horizontal="left"/>
    </xf>
    <xf numFmtId="0" fontId="27" fillId="61" borderId="0">
      <alignment horizontal="left"/>
    </xf>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6" fillId="55"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40" fontId="88" fillId="59" borderId="0">
      <alignment horizontal="right"/>
    </xf>
    <xf numFmtId="0" fontId="89" fillId="59" borderId="0">
      <alignment horizontal="right"/>
    </xf>
    <xf numFmtId="0" fontId="90" fillId="59" borderId="11"/>
    <xf numFmtId="0" fontId="90" fillId="0" borderId="0" applyBorder="0">
      <alignment horizontal="centerContinuous"/>
    </xf>
    <xf numFmtId="0" fontId="91" fillId="0" borderId="0" applyBorder="0">
      <alignment horizontal="centerContinuous"/>
    </xf>
    <xf numFmtId="9" fontId="84" fillId="0" borderId="0" applyFont="0" applyFill="0" applyBorder="0" applyAlignment="0" applyProtection="0"/>
    <xf numFmtId="0" fontId="27" fillId="61" borderId="0">
      <alignment horizontal="center"/>
    </xf>
    <xf numFmtId="49" fontId="48" fillId="61" borderId="0">
      <alignment horizontal="center"/>
    </xf>
    <xf numFmtId="0" fontId="50" fillId="61" borderId="0">
      <alignment horizontal="center"/>
    </xf>
    <xf numFmtId="0" fontId="50" fillId="61" borderId="0">
      <alignment horizontal="centerContinuous"/>
    </xf>
    <xf numFmtId="0" fontId="63" fillId="61" borderId="0">
      <alignment horizontal="left"/>
    </xf>
    <xf numFmtId="49" fontId="63" fillId="61" borderId="0">
      <alignment horizontal="center"/>
    </xf>
    <xf numFmtId="0" fontId="27" fillId="61" borderId="0">
      <alignment horizontal="left"/>
    </xf>
    <xf numFmtId="49" fontId="63" fillId="61" borderId="0">
      <alignment horizontal="left"/>
    </xf>
    <xf numFmtId="0" fontId="27" fillId="61" borderId="0">
      <alignment horizontal="centerContinuous"/>
    </xf>
    <xf numFmtId="0" fontId="27" fillId="61" borderId="0">
      <alignment horizontal="right"/>
    </xf>
    <xf numFmtId="49" fontId="27" fillId="61" borderId="0">
      <alignment horizontal="left"/>
    </xf>
    <xf numFmtId="0" fontId="50" fillId="61" borderId="0">
      <alignment horizontal="right"/>
    </xf>
    <xf numFmtId="0" fontId="63" fillId="62" borderId="0">
      <alignment horizontal="center"/>
    </xf>
    <xf numFmtId="0" fontId="54" fillId="62" borderId="0">
      <alignment horizontal="center"/>
    </xf>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2" fillId="61" borderId="0">
      <alignment horizontal="center"/>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 fontId="95" fillId="0" borderId="0" applyFont="0" applyFill="0" applyBorder="0" applyAlignment="0" applyProtection="0"/>
    <xf numFmtId="8" fontId="95" fillId="0" borderId="0" applyFont="0" applyFill="0" applyBorder="0" applyAlignment="0" applyProtection="0"/>
    <xf numFmtId="9" fontId="95"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2" fillId="0" borderId="0"/>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39" fontId="35" fillId="0" borderId="0"/>
    <xf numFmtId="9" fontId="35" fillId="0" borderId="0" applyFont="0" applyFill="0" applyBorder="0" applyAlignment="0" applyProtection="0"/>
    <xf numFmtId="43" fontId="35" fillId="0" borderId="0" applyFont="0" applyFill="0" applyBorder="0" applyAlignment="0" applyProtection="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4" fontId="1" fillId="0" borderId="0" applyFont="0" applyFill="0" applyBorder="0" applyAlignment="0" applyProtection="0"/>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protection locked="0"/>
    </xf>
    <xf numFmtId="0" fontId="32" fillId="0" borderId="0"/>
    <xf numFmtId="0" fontId="1" fillId="0" borderId="0"/>
    <xf numFmtId="0" fontId="1" fillId="0" borderId="0"/>
    <xf numFmtId="0" fontId="1" fillId="0" borderId="0"/>
    <xf numFmtId="0" fontId="44" fillId="0" borderId="0"/>
    <xf numFmtId="0" fontId="32" fillId="0" borderId="0"/>
    <xf numFmtId="0" fontId="19" fillId="0" borderId="0"/>
    <xf numFmtId="0" fontId="19" fillId="0" borderId="0"/>
    <xf numFmtId="9" fontId="1" fillId="0" borderId="0" applyFont="0" applyFill="0" applyBorder="0" applyAlignment="0" applyProtection="0"/>
    <xf numFmtId="9" fontId="19"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4" fontId="27" fillId="38" borderId="39" applyNumberFormat="0" applyProtection="0">
      <alignment horizontal="left" vertical="center" indent="1"/>
    </xf>
    <xf numFmtId="0" fontId="27" fillId="38" borderId="39" applyNumberFormat="0" applyProtection="0">
      <alignment horizontal="left" vertical="top" indent="1"/>
    </xf>
    <xf numFmtId="4" fontId="27" fillId="34" borderId="39" applyNumberFormat="0" applyProtection="0"/>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4" fontId="25" fillId="49" borderId="39" applyNumberFormat="0" applyProtection="0">
      <alignment horizontal="right" vertical="center"/>
    </xf>
    <xf numFmtId="0" fontId="34" fillId="0" borderId="27" applyNumberFormat="0" applyFont="0" applyFill="0" applyAlignment="0" applyProtection="0"/>
    <xf numFmtId="0" fontId="56" fillId="0" borderId="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vertical="center"/>
    </xf>
    <xf numFmtId="4" fontId="27" fillId="34" borderId="39" applyNumberFormat="0" applyProtection="0"/>
    <xf numFmtId="4" fontId="27" fillId="34" borderId="39" applyNumberFormat="0" applyProtection="0"/>
    <xf numFmtId="4" fontId="27" fillId="34" borderId="39" applyNumberFormat="0" applyProtection="0"/>
    <xf numFmtId="4" fontId="27" fillId="34" borderId="39" applyNumberFormat="0" applyProtection="0"/>
    <xf numFmtId="4" fontId="27" fillId="34" borderId="36" applyNumberFormat="0" applyProtection="0">
      <alignment vertical="center"/>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59"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center" vertical="top"/>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6" fillId="0" borderId="22">
      <alignment horizontal="left" vertical="center"/>
    </xf>
    <xf numFmtId="0" fontId="1" fillId="0" borderId="0"/>
    <xf numFmtId="43" fontId="1" fillId="0" borderId="0" applyFont="0" applyFill="0" applyBorder="0" applyAlignment="0" applyProtection="0"/>
    <xf numFmtId="4" fontId="47" fillId="51" borderId="39" applyNumberFormat="0" applyProtection="0">
      <alignment horizontal="left" vertical="center" indent="1"/>
    </xf>
    <xf numFmtId="43"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47" fillId="0"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4" fontId="27" fillId="34" borderId="36" applyNumberFormat="0" applyProtection="0">
      <alignment vertical="center"/>
    </xf>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0" fontId="47" fillId="59" borderId="0">
      <alignment horizontal="right"/>
    </xf>
    <xf numFmtId="0" fontId="27" fillId="59" borderId="0">
      <alignment horizontal="lef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96" fillId="0" borderId="0" applyFont="0" applyFill="0" applyBorder="0" applyAlignment="0" applyProtection="0"/>
    <xf numFmtId="9" fontId="96"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7" fillId="0" borderId="0" applyNumberFormat="0" applyFill="0" applyBorder="0" applyAlignment="0" applyProtection="0">
      <alignment vertical="top"/>
      <protection locked="0"/>
    </xf>
    <xf numFmtId="0" fontId="67" fillId="0" borderId="0"/>
    <xf numFmtId="9" fontId="67" fillId="0" borderId="0" applyFont="0" applyFill="0" applyBorder="0" applyAlignment="0" applyProtection="0"/>
    <xf numFmtId="43" fontId="67" fillId="0" borderId="0" applyFont="0" applyFill="0" applyBorder="0" applyAlignment="0" applyProtection="0"/>
    <xf numFmtId="44" fontId="96" fillId="0" borderId="0" applyFont="0" applyFill="0" applyBorder="0" applyAlignment="0" applyProtection="0"/>
    <xf numFmtId="9" fontId="96" fillId="0" borderId="0" applyFont="0" applyFill="0" applyBorder="0" applyAlignment="0" applyProtection="0"/>
    <xf numFmtId="43" fontId="96"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4" fontId="19" fillId="0" borderId="0" applyFont="0" applyFill="0" applyBorder="0" applyAlignment="0" applyProtection="0"/>
    <xf numFmtId="44" fontId="19" fillId="0" borderId="0" applyFont="0" applyFill="0" applyBorder="0" applyAlignment="0" applyProtection="0"/>
    <xf numFmtId="43" fontId="96" fillId="0" borderId="0" applyFont="0" applyFill="0" applyBorder="0" applyAlignment="0" applyProtection="0"/>
    <xf numFmtId="0" fontId="1" fillId="0" borderId="0"/>
    <xf numFmtId="9" fontId="96" fillId="0" borderId="0" applyFont="0" applyFill="0" applyBorder="0" applyAlignment="0" applyProtection="0"/>
    <xf numFmtId="0" fontId="47" fillId="0" borderId="0">
      <alignment vertical="top"/>
    </xf>
    <xf numFmtId="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69" fillId="0" borderId="0" applyProtection="0"/>
    <xf numFmtId="3" fontId="65" fillId="0" borderId="0" applyProtection="0"/>
    <xf numFmtId="3" fontId="98" fillId="0" borderId="0" applyProtection="0"/>
    <xf numFmtId="3" fontId="67" fillId="0" borderId="0" applyProtection="0"/>
    <xf numFmtId="3" fontId="71" fillId="0" borderId="0" applyProtection="0"/>
    <xf numFmtId="3" fontId="21" fillId="0" borderId="0" applyProtection="0"/>
    <xf numFmtId="3" fontId="72" fillId="0" borderId="0" applyProtection="0"/>
    <xf numFmtId="2" fontId="19" fillId="0" borderId="0" applyFon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19" fillId="0" borderId="27" applyNumberFormat="0" applyFont="0" applyFill="0" applyAlignment="0" applyProtection="0"/>
    <xf numFmtId="0" fontId="1" fillId="0" borderId="0"/>
    <xf numFmtId="43" fontId="32"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5" borderId="0" applyNumberFormat="0" applyBorder="0" applyAlignment="0" applyProtection="0"/>
    <xf numFmtId="0" fontId="19" fillId="0" borderId="0" applyFont="0" applyFill="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3" fontId="19" fillId="0" borderId="0" applyFont="0" applyFill="0" applyBorder="0" applyAlignment="0" applyProtection="0"/>
    <xf numFmtId="0" fontId="99" fillId="67" borderId="0" applyNumberFormat="0" applyBorder="0" applyAlignment="0" applyProtection="0"/>
    <xf numFmtId="0" fontId="99" fillId="68" borderId="0" applyNumberFormat="0" applyBorder="0" applyAlignment="0" applyProtection="0"/>
    <xf numFmtId="0" fontId="100" fillId="69"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23" fillId="0" borderId="0" applyNumberFormat="0" applyFill="0" applyBorder="0" applyAlignment="0" applyProtection="0"/>
    <xf numFmtId="0" fontId="99" fillId="71" borderId="0" applyNumberFormat="0" applyBorder="0" applyAlignment="0" applyProtection="0"/>
    <xf numFmtId="0" fontId="99" fillId="72"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100" fillId="73" borderId="0" applyNumberFormat="0" applyBorder="0" applyAlignment="0" applyProtection="0"/>
    <xf numFmtId="0" fontId="23" fillId="0" borderId="0" applyNumberFormat="0" applyFill="0" applyBorder="0" applyAlignment="0" applyProtection="0"/>
    <xf numFmtId="3" fontId="19" fillId="0" borderId="0" applyFont="0" applyFill="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4"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99" fillId="76" borderId="0" applyNumberFormat="0" applyBorder="0" applyAlignment="0" applyProtection="0"/>
    <xf numFmtId="0" fontId="99" fillId="68"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9" fillId="0" borderId="37" applyNumberFormat="0" applyFill="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21" fillId="0" borderId="0" applyNumberFormat="0" applyFill="0" applyBorder="0" applyAlignment="0" applyProtection="0"/>
    <xf numFmtId="1" fontId="24" fillId="0" borderId="0" applyFont="0" applyFill="0" applyBorder="0" applyAlignment="0" applyProtection="0">
      <protection locked="0"/>
    </xf>
    <xf numFmtId="0" fontId="6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3" fontId="19" fillId="0" borderId="0" applyFont="0" applyFill="0" applyBorder="0" applyAlignment="0" applyProtection="0"/>
    <xf numFmtId="3" fontId="19" fillId="0" borderId="0" applyFill="0" applyBorder="0" applyAlignment="0" applyProtection="0"/>
    <xf numFmtId="3" fontId="19" fillId="0" borderId="0" applyFill="0" applyBorder="0" applyAlignment="0" applyProtection="0"/>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44" fontId="10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0" fontId="19" fillId="0" borderId="0" applyFont="0" applyFill="0" applyBorder="0" applyAlignment="0" applyProtection="0"/>
    <xf numFmtId="0" fontId="105" fillId="80" borderId="0" applyNumberFormat="0" applyBorder="0" applyAlignment="0" applyProtection="0"/>
    <xf numFmtId="0" fontId="105" fillId="81" borderId="0" applyNumberFormat="0" applyBorder="0" applyAlignment="0" applyProtection="0"/>
    <xf numFmtId="0" fontId="105" fillId="82" borderId="0" applyNumberFormat="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2" fontId="19" fillId="0" borderId="0" applyFill="0" applyBorder="0" applyAlignment="0" applyProtection="0"/>
    <xf numFmtId="0" fontId="21" fillId="59" borderId="14" applyFont="0" applyBorder="0" applyAlignment="0" applyProtection="0">
      <alignment vertical="top"/>
    </xf>
    <xf numFmtId="0" fontId="19" fillId="0" borderId="0" applyFont="0" applyFill="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3" fontId="19" fillId="0" borderId="0" applyFont="0" applyFill="0" applyBorder="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9" fillId="0" borderId="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9" fillId="0" borderId="0"/>
    <xf numFmtId="0" fontId="67" fillId="0" borderId="0"/>
    <xf numFmtId="0" fontId="67" fillId="0" borderId="0"/>
    <xf numFmtId="0" fontId="1" fillId="0" borderId="0"/>
    <xf numFmtId="0" fontId="113" fillId="0" borderId="0"/>
    <xf numFmtId="0" fontId="19" fillId="0" borderId="0"/>
    <xf numFmtId="0" fontId="19" fillId="0" borderId="0"/>
    <xf numFmtId="0" fontId="19" fillId="0" borderId="0"/>
    <xf numFmtId="0" fontId="5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24" fillId="0" borderId="0" applyFont="0" applyFill="0" applyBorder="0" applyAlignment="0" applyProtection="0">
      <protection locked="0"/>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4"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40" fontId="47" fillId="59" borderId="0">
      <alignment horizontal="right"/>
    </xf>
    <xf numFmtId="0" fontId="23" fillId="0" borderId="0" applyNumberFormat="0" applyFill="0" applyBorder="0" applyAlignment="0" applyProtection="0"/>
    <xf numFmtId="9" fontId="10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0" fontId="65" fillId="0" borderId="0" applyFont="0" applyFill="0" applyBorder="0" applyProtection="0">
      <alignment horizontal="right"/>
    </xf>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115" fillId="0" borderId="0" applyNumberFormat="0" applyFill="0" applyBorder="0" applyAlignment="0" applyProtection="0"/>
    <xf numFmtId="0" fontId="23" fillId="0" borderId="0" applyNumberFormat="0" applyFill="0" applyBorder="0" applyAlignment="0" applyProtection="0"/>
    <xf numFmtId="4" fontId="48" fillId="84" borderId="0" applyNumberFormat="0" applyProtection="0">
      <alignment horizontal="left" vertical="center" indent="1"/>
    </xf>
    <xf numFmtId="4" fontId="48" fillId="84" borderId="0" applyNumberFormat="0" applyProtection="0">
      <alignment horizontal="left" vertical="center" indent="1"/>
    </xf>
    <xf numFmtId="1" fontId="24" fillId="0" borderId="0" applyFont="0" applyFill="0" applyBorder="0" applyAlignment="0" applyProtection="0">
      <protection locked="0"/>
    </xf>
    <xf numFmtId="4" fontId="47" fillId="49" borderId="0" applyNumberFormat="0" applyProtection="0">
      <alignment horizontal="left" vertical="center" indent="1"/>
    </xf>
    <xf numFmtId="4" fontId="47" fillId="49" borderId="0" applyNumberFormat="0" applyProtection="0">
      <alignment horizontal="left" vertical="center" indent="1"/>
    </xf>
    <xf numFmtId="4" fontId="47" fillId="51" borderId="0" applyNumberFormat="0" applyProtection="0">
      <alignment horizontal="left" vertical="center" indent="1"/>
    </xf>
    <xf numFmtId="4" fontId="47" fillId="51" borderId="0"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23" fillId="0" borderId="0" applyNumberFormat="0" applyFill="0" applyBorder="0" applyAlignment="0" applyProtection="0"/>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61" borderId="14" applyNumberFormat="0">
      <protection locked="0"/>
    </xf>
    <xf numFmtId="0" fontId="19" fillId="61" borderId="14" applyNumberFormat="0">
      <protection locked="0"/>
    </xf>
    <xf numFmtId="0" fontId="19" fillId="61" borderId="14" applyNumberFormat="0">
      <protection locked="0"/>
    </xf>
    <xf numFmtId="0" fontId="116" fillId="0" borderId="0" applyNumberFormat="0" applyFill="0" applyBorder="0" applyAlignment="0" applyProtection="0"/>
    <xf numFmtId="0" fontId="19" fillId="0" borderId="0">
      <alignment horizontal="left" wrapText="1"/>
    </xf>
    <xf numFmtId="18" fontId="63" fillId="59" borderId="0" applyFont="0" applyFill="0" applyBorder="0" applyAlignment="0" applyProtection="0">
      <protection locked="0"/>
    </xf>
    <xf numFmtId="0" fontId="2" fillId="0" borderId="0" applyNumberFormat="0" applyFill="0" applyBorder="0" applyAlignment="0" applyProtection="0"/>
    <xf numFmtId="0" fontId="22"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38" fontId="47" fillId="0" borderId="15" applyFill="0" applyBorder="0" applyAlignment="0" applyProtection="0">
      <protection locked="0"/>
    </xf>
    <xf numFmtId="0" fontId="65" fillId="0" borderId="49" applyNumberFormat="0" applyFon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6" fillId="0" borderId="0"/>
    <xf numFmtId="44" fontId="19" fillId="0" borderId="0" applyFont="0" applyFill="0" applyBorder="0" applyAlignment="0" applyProtection="0"/>
    <xf numFmtId="44" fontId="19" fillId="0" borderId="0" applyFont="0" applyFill="0" applyBorder="0" applyAlignment="0" applyProtection="0"/>
    <xf numFmtId="0" fontId="19" fillId="0" borderId="0"/>
    <xf numFmtId="44"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67" fillId="0" borderId="0">
      <alignment vertical="top"/>
    </xf>
    <xf numFmtId="175" fontId="32" fillId="0" borderId="0" applyFont="0" applyFill="0" applyBorder="0" applyProtection="0"/>
    <xf numFmtId="175" fontId="32" fillId="0" borderId="0" applyFont="0" applyFill="0" applyBorder="0" applyProtection="0"/>
    <xf numFmtId="175" fontId="32" fillId="0" borderId="0" applyFont="0" applyFill="0" applyBorder="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0" fontId="1" fillId="0" borderId="0"/>
    <xf numFmtId="179" fontId="19" fillId="0" borderId="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xf numFmtId="0" fontId="67" fillId="0" borderId="0">
      <alignment vertical="top"/>
    </xf>
    <xf numFmtId="175" fontId="32" fillId="0" borderId="0" applyFont="0" applyFill="0" applyBorder="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79" fontId="19" fillId="0" borderId="0" applyFill="0" applyBorder="0" applyAlignment="0" applyProtection="0"/>
    <xf numFmtId="179" fontId="19" fillId="0" borderId="0" applyFill="0" applyBorder="0" applyAlignment="0" applyProtection="0"/>
    <xf numFmtId="0" fontId="67" fillId="0" borderId="0">
      <alignment vertical="top"/>
    </xf>
    <xf numFmtId="37" fontId="19" fillId="0" borderId="0" applyFill="0" applyBorder="0" applyAlignment="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175" fontId="32" fillId="0" borderId="0" applyFont="0" applyFill="0" applyBorder="0" applyProtection="0"/>
    <xf numFmtId="0" fontId="1" fillId="0" borderId="0"/>
    <xf numFmtId="0" fontId="6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0" fontId="67" fillId="0" borderId="0">
      <alignment vertical="top"/>
    </xf>
    <xf numFmtId="44"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7" fillId="0" borderId="0">
      <alignment vertical="top"/>
    </xf>
    <xf numFmtId="0" fontId="19" fillId="0" borderId="0"/>
    <xf numFmtId="0" fontId="19" fillId="0" borderId="0"/>
    <xf numFmtId="0" fontId="67" fillId="0" borderId="0">
      <alignment vertical="top"/>
    </xf>
    <xf numFmtId="0" fontId="67" fillId="0" borderId="0">
      <alignment vertical="top"/>
    </xf>
    <xf numFmtId="37" fontId="19" fillId="0" borderId="0" applyFill="0" applyBorder="0" applyAlignment="0" applyProtection="0"/>
    <xf numFmtId="0" fontId="67" fillId="0" borderId="0">
      <alignment vertical="top"/>
    </xf>
    <xf numFmtId="0" fontId="19" fillId="0" borderId="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9" fillId="0" borderId="0"/>
    <xf numFmtId="0" fontId="67" fillId="0" borderId="0">
      <alignment vertical="top"/>
    </xf>
    <xf numFmtId="0" fontId="19" fillId="0" borderId="0"/>
    <xf numFmtId="179" fontId="19" fillId="0" borderId="0" applyFill="0" applyBorder="0" applyAlignment="0" applyProtection="0"/>
    <xf numFmtId="179" fontId="19" fillId="0" borderId="0" applyFill="0" applyBorder="0" applyAlignment="0" applyProtection="0"/>
    <xf numFmtId="0" fontId="19" fillId="0" borderId="0"/>
    <xf numFmtId="179" fontId="19" fillId="0" borderId="0" applyFill="0" applyBorder="0" applyAlignment="0" applyProtection="0"/>
    <xf numFmtId="0" fontId="67" fillId="0" borderId="0">
      <alignment vertical="top"/>
    </xf>
    <xf numFmtId="179" fontId="19" fillId="0" borderId="0" applyFill="0" applyBorder="0" applyAlignment="0" applyProtection="0"/>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0" fontId="67" fillId="0" borderId="0">
      <alignment vertical="top"/>
    </xf>
    <xf numFmtId="0" fontId="19" fillId="0" borderId="0"/>
    <xf numFmtId="0" fontId="19" fillId="0" borderId="0"/>
    <xf numFmtId="179" fontId="19" fillId="0" borderId="0" applyFill="0" applyBorder="0" applyAlignment="0" applyProtection="0"/>
    <xf numFmtId="37" fontId="19" fillId="0" borderId="0" applyFill="0" applyBorder="0" applyAlignment="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1" fontId="24" fillId="0" borderId="0" applyFont="0" applyFill="0" applyBorder="0" applyAlignment="0" applyProtection="0">
      <protection locked="0"/>
    </xf>
    <xf numFmtId="3" fontId="19" fillId="0" borderId="0" applyFont="0" applyFill="0" applyBorder="0" applyAlignment="0" applyProtection="0"/>
    <xf numFmtId="12" fontId="26" fillId="36" borderId="49">
      <alignment horizontal="left"/>
    </xf>
    <xf numFmtId="0" fontId="24" fillId="59" borderId="50" applyNumberFormat="0" applyFont="0" applyAlignment="0" applyProtection="0">
      <protection locked="0"/>
    </xf>
    <xf numFmtId="0" fontId="19" fillId="0" borderId="0" applyFont="0" applyFill="0" applyBorder="0" applyAlignment="0" applyProtection="0"/>
    <xf numFmtId="0" fontId="63" fillId="59" borderId="50" applyNumberFormat="0" applyFont="0" applyFill="0" applyAlignment="0" applyProtection="0">
      <protection locked="0"/>
    </xf>
    <xf numFmtId="1" fontId="24" fillId="0" borderId="0" applyFont="0" applyFill="0" applyBorder="0" applyAlignment="0" applyProtection="0">
      <protection locked="0"/>
    </xf>
    <xf numFmtId="0" fontId="19" fillId="0" borderId="0" applyFont="0" applyFill="0" applyBorder="0" applyAlignment="0" applyProtection="0"/>
    <xf numFmtId="3" fontId="19"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9" fillId="0" borderId="0"/>
    <xf numFmtId="0" fontId="23" fillId="0" borderId="0" applyNumberFormat="0" applyFill="0" applyBorder="0" applyAlignment="0" applyProtection="0"/>
    <xf numFmtId="0" fontId="19" fillId="0" borderId="0"/>
    <xf numFmtId="3" fontId="19" fillId="0" borderId="0" applyFon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10" fontId="21" fillId="35" borderId="14" applyNumberFormat="0" applyBorder="0" applyAlignment="0" applyProtection="0"/>
    <xf numFmtId="0" fontId="19" fillId="0" borderId="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0" fontId="23" fillId="0" borderId="0" applyNumberFormat="0" applyFill="0" applyBorder="0" applyAlignment="0" applyProtection="0"/>
    <xf numFmtId="4" fontId="25" fillId="49" borderId="39" applyNumberFormat="0" applyProtection="0">
      <alignment horizontal="right" vertical="center"/>
    </xf>
    <xf numFmtId="0" fontId="47" fillId="34" borderId="39" applyNumberFormat="0" applyProtection="0">
      <alignment horizontal="left" vertical="top"/>
    </xf>
    <xf numFmtId="4" fontId="47" fillId="0" borderId="39" applyNumberFormat="0" applyProtection="0">
      <alignment horizontal="left" vertical="center" indent="1"/>
    </xf>
    <xf numFmtId="4" fontId="51" fillId="49" borderId="39" applyNumberFormat="0" applyProtection="0">
      <alignment horizontal="right" vertical="center"/>
    </xf>
    <xf numFmtId="4" fontId="47" fillId="0" borderId="39" applyNumberFormat="0" applyProtection="0">
      <alignment horizontal="right" vertical="center"/>
    </xf>
    <xf numFmtId="0" fontId="47" fillId="35" borderId="39" applyNumberFormat="0" applyProtection="0">
      <alignment horizontal="left" vertical="top" indent="1"/>
    </xf>
    <xf numFmtId="4" fontId="47" fillId="35" borderId="39" applyNumberFormat="0" applyProtection="0">
      <alignment horizontal="left" vertical="center" indent="1"/>
    </xf>
    <xf numFmtId="4" fontId="51" fillId="35" borderId="39" applyNumberFormat="0" applyProtection="0">
      <alignment vertical="center"/>
    </xf>
    <xf numFmtId="4" fontId="47" fillId="35" borderId="39" applyNumberFormat="0" applyProtection="0">
      <alignment vertical="center"/>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5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4" borderId="39" applyNumberFormat="0" applyProtection="0">
      <alignment horizontal="left" vertical="top"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3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0" borderId="39" applyNumberFormat="0" applyProtection="0">
      <alignment horizontal="left" vertical="top"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center" indent="1"/>
    </xf>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3" fillId="0" borderId="0" applyNumberFormat="0" applyFill="0" applyBorder="0" applyAlignment="0" applyProtection="0"/>
    <xf numFmtId="4" fontId="47" fillId="51" borderId="39" applyNumberFormat="0" applyProtection="0">
      <alignment horizontal="right" vertical="center"/>
    </xf>
    <xf numFmtId="4" fontId="47" fillId="47" borderId="39" applyNumberFormat="0" applyProtection="0">
      <alignment horizontal="right" vertical="center"/>
    </xf>
    <xf numFmtId="4" fontId="47" fillId="46" borderId="39" applyNumberFormat="0" applyProtection="0">
      <alignment horizontal="right" vertical="center"/>
    </xf>
    <xf numFmtId="4" fontId="47" fillId="45" borderId="39" applyNumberFormat="0" applyProtection="0">
      <alignment horizontal="right" vertical="center"/>
    </xf>
    <xf numFmtId="4" fontId="47" fillId="44" borderId="39" applyNumberFormat="0" applyProtection="0">
      <alignment horizontal="right" vertical="center"/>
    </xf>
    <xf numFmtId="4" fontId="47" fillId="43" borderId="39" applyNumberFormat="0" applyProtection="0">
      <alignment horizontal="right" vertical="center"/>
    </xf>
    <xf numFmtId="4" fontId="47" fillId="42" borderId="39" applyNumberFormat="0" applyProtection="0">
      <alignment horizontal="right" vertical="center"/>
    </xf>
    <xf numFmtId="4" fontId="47" fillId="41" borderId="39" applyNumberFormat="0" applyProtection="0">
      <alignment horizontal="right" vertical="center"/>
    </xf>
    <xf numFmtId="4" fontId="47" fillId="40" borderId="39" applyNumberFormat="0" applyProtection="0">
      <alignment horizontal="right" vertical="center"/>
    </xf>
    <xf numFmtId="4" fontId="47" fillId="39" borderId="39" applyNumberFormat="0" applyProtection="0">
      <alignment horizontal="right" vertical="center"/>
    </xf>
    <xf numFmtId="0" fontId="27" fillId="38" borderId="39" applyNumberFormat="0" applyProtection="0">
      <alignment horizontal="left" vertical="top" indent="1"/>
    </xf>
    <xf numFmtId="4" fontId="27" fillId="38" borderId="39" applyNumberFormat="0" applyProtection="0">
      <alignment horizontal="left" vertical="center" indent="1"/>
    </xf>
    <xf numFmtId="4" fontId="46" fillId="38" borderId="39" applyNumberFormat="0" applyProtection="0">
      <alignment vertical="center"/>
    </xf>
    <xf numFmtId="4" fontId="27" fillId="37" borderId="39" applyNumberFormat="0" applyProtection="0">
      <alignment vertical="center"/>
    </xf>
    <xf numFmtId="3" fontId="19" fillId="0" borderId="0" applyFont="0" applyFill="0" applyBorder="0" applyAlignment="0" applyProtection="0"/>
    <xf numFmtId="0" fontId="63" fillId="59" borderId="50" applyNumberFormat="0" applyFont="0" applyFill="0" applyAlignment="0" applyProtection="0">
      <protection locked="0"/>
    </xf>
    <xf numFmtId="0" fontId="19" fillId="0" borderId="0"/>
    <xf numFmtId="0" fontId="19" fillId="0" borderId="0"/>
    <xf numFmtId="0" fontId="23"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3" fontId="19" fillId="0" borderId="0" applyFont="0" applyFill="0" applyBorder="0" applyAlignment="0" applyProtection="0"/>
    <xf numFmtId="43" fontId="1"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3" fillId="0" borderId="0" applyNumberFormat="0" applyFill="0" applyBorder="0" applyAlignment="0" applyProtection="0"/>
    <xf numFmtId="0" fontId="1" fillId="0" borderId="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3"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3" fontId="19" fillId="0" borderId="0" applyFont="0" applyFill="0" applyBorder="0" applyAlignment="0" applyProtection="0"/>
    <xf numFmtId="0" fontId="19" fillId="0" borderId="0"/>
    <xf numFmtId="0" fontId="19" fillId="0" borderId="0"/>
    <xf numFmtId="0" fontId="24" fillId="59" borderId="50" applyNumberFormat="0" applyFont="0" applyAlignment="0" applyProtection="0">
      <protection locked="0"/>
    </xf>
    <xf numFmtId="1" fontId="24" fillId="0" borderId="0" applyFont="0" applyFill="0" applyBorder="0" applyAlignment="0" applyProtection="0">
      <protection locked="0"/>
    </xf>
    <xf numFmtId="0" fontId="19" fillId="61" borderId="14" applyNumberFormat="0">
      <protection locked="0"/>
    </xf>
    <xf numFmtId="0" fontId="19" fillId="0" borderId="0" applyFont="0" applyFill="0" applyBorder="0" applyAlignment="0" applyProtection="0"/>
    <xf numFmtId="3" fontId="19" fillId="0" borderId="0" applyFont="0" applyFill="0" applyBorder="0" applyAlignment="0" applyProtection="0"/>
    <xf numFmtId="0" fontId="21" fillId="59" borderId="14" applyFont="0" applyBorder="0" applyAlignment="0" applyProtection="0">
      <alignment vertical="top"/>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4" fillId="33" borderId="14" applyNumberFormat="0" applyFont="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applyFont="0" applyFill="0" applyBorder="0" applyAlignment="0" applyProtection="0"/>
    <xf numFmtId="0" fontId="26" fillId="0" borderId="22">
      <alignment horizontal="left" vertical="center"/>
    </xf>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1" fillId="59" borderId="14" applyFont="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19" fillId="61" borderId="14" applyNumberFormat="0">
      <protection locked="0"/>
    </xf>
    <xf numFmtId="0" fontId="19" fillId="0" borderId="0" applyFont="0" applyFill="0" applyBorder="0" applyAlignment="0" applyProtection="0"/>
    <xf numFmtId="0" fontId="19" fillId="0" borderId="0"/>
    <xf numFmtId="0" fontId="19" fillId="61" borderId="14" applyNumberFormat="0">
      <protection locked="0"/>
    </xf>
    <xf numFmtId="0" fontId="19" fillId="0" borderId="0" applyFont="0" applyFill="0" applyBorder="0" applyAlignment="0" applyProtection="0"/>
    <xf numFmtId="0" fontId="20" fillId="0" borderId="14">
      <alignment horizontal="center" vertical="center" wrapText="1"/>
    </xf>
    <xf numFmtId="0" fontId="19" fillId="0" borderId="0" applyFont="0" applyFill="0" applyBorder="0" applyAlignment="0" applyProtection="0"/>
    <xf numFmtId="1" fontId="24" fillId="0" borderId="0" applyFont="0" applyFill="0" applyBorder="0" applyAlignment="0" applyProtection="0">
      <protection locked="0"/>
    </xf>
    <xf numFmtId="0" fontId="19" fillId="0" borderId="0" applyFont="0" applyFill="0" applyBorder="0" applyAlignment="0" applyProtection="0"/>
    <xf numFmtId="0" fontId="19" fillId="0" borderId="0"/>
    <xf numFmtId="3" fontId="19" fillId="0" borderId="0" applyFont="0" applyFill="0" applyBorder="0" applyAlignment="0" applyProtection="0"/>
    <xf numFmtId="0" fontId="19" fillId="0" borderId="0"/>
    <xf numFmtId="1" fontId="24" fillId="0" borderId="0" applyFont="0" applyFill="0" applyBorder="0" applyAlignment="0" applyProtection="0">
      <protection locked="0"/>
    </xf>
    <xf numFmtId="0" fontId="23" fillId="0" borderId="0" applyNumberForma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9" fontId="1" fillId="0" borderId="0" applyFont="0" applyFill="0" applyBorder="0" applyAlignment="0" applyProtection="0"/>
    <xf numFmtId="9" fontId="1"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0" fontId="27" fillId="38" borderId="39" applyNumberFormat="0" applyProtection="0">
      <alignment horizontal="left" vertical="top" indent="1"/>
    </xf>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top"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34"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top"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54"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top"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5"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top" indent="1"/>
    </xf>
    <xf numFmtId="0" fontId="19" fillId="49" borderId="39" applyNumberFormat="0" applyProtection="0">
      <alignment horizontal="left" vertical="top" indent="1"/>
    </xf>
    <xf numFmtId="0" fontId="19" fillId="49"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4" fontId="25" fillId="49" borderId="39" applyNumberFormat="0" applyProtection="0">
      <alignment horizontal="right" vertical="center"/>
    </xf>
    <xf numFmtId="0" fontId="20" fillId="0" borderId="14">
      <alignment horizontal="center" vertical="center" wrapText="1"/>
    </xf>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0" fontId="26" fillId="0" borderId="53">
      <alignment horizontal="left" vertical="center"/>
    </xf>
    <xf numFmtId="4" fontId="27" fillId="34" borderId="57" applyNumberFormat="0" applyProtection="0">
      <alignment vertical="center"/>
    </xf>
    <xf numFmtId="4" fontId="47" fillId="0" borderId="63" applyNumberFormat="0" applyProtection="0">
      <alignment horizontal="right" vertical="center"/>
    </xf>
    <xf numFmtId="0" fontId="19" fillId="51" borderId="63" applyNumberFormat="0" applyProtection="0">
      <alignment horizontal="left" vertical="center" indent="1"/>
    </xf>
    <xf numFmtId="4" fontId="27" fillId="37" borderId="63" applyNumberFormat="0" applyProtection="0">
      <alignment vertical="center"/>
    </xf>
    <xf numFmtId="0" fontId="110" fillId="77" borderId="62" applyNumberFormat="0" applyAlignment="0" applyProtection="0"/>
    <xf numFmtId="0" fontId="24" fillId="59" borderId="61" applyNumberFormat="0" applyFont="0" applyAlignment="0" applyProtection="0">
      <protection locked="0"/>
    </xf>
    <xf numFmtId="0" fontId="102" fillId="79" borderId="62" applyNumberFormat="0" applyAlignment="0" applyProtection="0"/>
    <xf numFmtId="4" fontId="47" fillId="42" borderId="63" applyNumberFormat="0" applyProtection="0">
      <alignment horizontal="right" vertical="center"/>
    </xf>
    <xf numFmtId="0" fontId="19" fillId="51" borderId="63" applyNumberFormat="0" applyProtection="0">
      <alignment horizontal="left" vertical="top" indent="1"/>
    </xf>
    <xf numFmtId="4" fontId="25" fillId="49" borderId="63" applyNumberFormat="0" applyProtection="0">
      <alignment horizontal="right" vertical="center"/>
    </xf>
    <xf numFmtId="0" fontId="114" fillId="79" borderId="59" applyNumberFormat="0" applyAlignment="0" applyProtection="0"/>
    <xf numFmtId="9" fontId="19" fillId="0" borderId="0" applyFont="0" applyFill="0" applyBorder="0" applyAlignment="0" applyProtection="0"/>
    <xf numFmtId="44" fontId="19" fillId="0" borderId="0" applyFont="0" applyFill="0" applyBorder="0" applyProtection="0">
      <alignment horizontal="right"/>
    </xf>
    <xf numFmtId="43" fontId="19" fillId="0" borderId="0" applyFont="0" applyFill="0" applyBorder="0" applyAlignment="0" applyProtection="0"/>
    <xf numFmtId="0" fontId="18" fillId="0" borderId="0"/>
    <xf numFmtId="0" fontId="47" fillId="35" borderId="63" applyNumberFormat="0" applyProtection="0">
      <alignment horizontal="left" vertical="top" indent="1"/>
    </xf>
    <xf numFmtId="0" fontId="19" fillId="34" borderId="63" applyNumberFormat="0" applyProtection="0">
      <alignment horizontal="left" vertical="center" indent="1"/>
    </xf>
    <xf numFmtId="0" fontId="102" fillId="79" borderId="62" applyNumberFormat="0" applyAlignment="0" applyProtection="0"/>
    <xf numFmtId="4" fontId="47" fillId="43" borderId="63" applyNumberFormat="0" applyProtection="0">
      <alignment horizontal="right" vertical="center"/>
    </xf>
    <xf numFmtId="0" fontId="19" fillId="54" borderId="63" applyNumberFormat="0" applyProtection="0">
      <alignment horizontal="left" vertical="center" indent="1"/>
    </xf>
    <xf numFmtId="0" fontId="114" fillId="79" borderId="59" applyNumberFormat="0" applyAlignment="0" applyProtection="0"/>
    <xf numFmtId="4" fontId="25" fillId="49" borderId="63" applyNumberFormat="0" applyProtection="0">
      <alignment horizontal="right" vertical="center"/>
    </xf>
    <xf numFmtId="0" fontId="19" fillId="51" borderId="63" applyNumberFormat="0" applyProtection="0">
      <alignment horizontal="left" vertical="top" indent="1"/>
    </xf>
    <xf numFmtId="4" fontId="47" fillId="39" borderId="63" applyNumberFormat="0" applyProtection="0">
      <alignment horizontal="right" vertical="center"/>
    </xf>
    <xf numFmtId="0" fontId="19" fillId="76" borderId="58" applyNumberFormat="0" applyFont="0" applyAlignment="0" applyProtection="0"/>
    <xf numFmtId="0" fontId="105" fillId="0" borderId="60" applyNumberFormat="0" applyFill="0" applyAlignment="0" applyProtection="0"/>
    <xf numFmtId="0" fontId="27" fillId="38" borderId="63" applyNumberFormat="0" applyProtection="0">
      <alignment horizontal="left" vertical="top" indent="1"/>
    </xf>
    <xf numFmtId="0" fontId="19" fillId="51" borderId="63" applyNumberFormat="0" applyProtection="0">
      <alignment horizontal="left" vertical="center" indent="1"/>
    </xf>
    <xf numFmtId="4" fontId="47" fillId="0" borderId="63" applyNumberFormat="0" applyProtection="0">
      <alignment horizontal="right" vertical="center"/>
    </xf>
    <xf numFmtId="0" fontId="105" fillId="0" borderId="60" applyNumberFormat="0" applyFill="0" applyAlignment="0" applyProtection="0"/>
    <xf numFmtId="0" fontId="19" fillId="76" borderId="58" applyNumberFormat="0" applyFont="0" applyAlignment="0" applyProtection="0"/>
    <xf numFmtId="0" fontId="21" fillId="35" borderId="55" applyNumberFormat="0" applyFont="0" applyAlignment="0" applyProtection="0">
      <alignment horizontal="center"/>
      <protection locked="0"/>
    </xf>
    <xf numFmtId="0" fontId="19" fillId="49" borderId="63" applyNumberFormat="0" applyProtection="0">
      <alignment horizontal="left" vertical="center" indent="1"/>
    </xf>
    <xf numFmtId="4" fontId="47" fillId="51" borderId="63" applyNumberFormat="0" applyProtection="0">
      <alignment horizontal="right" vertical="center"/>
    </xf>
    <xf numFmtId="0" fontId="114" fillId="79" borderId="59" applyNumberFormat="0" applyAlignment="0" applyProtection="0"/>
    <xf numFmtId="0" fontId="114" fillId="79" borderId="59" applyNumberFormat="0" applyAlignment="0" applyProtection="0"/>
    <xf numFmtId="0" fontId="19" fillId="49" borderId="63" applyNumberFormat="0" applyProtection="0">
      <alignment horizontal="left" vertical="center" indent="1"/>
    </xf>
    <xf numFmtId="0" fontId="105" fillId="0" borderId="60" applyNumberFormat="0" applyFill="0" applyAlignment="0" applyProtection="0"/>
    <xf numFmtId="0" fontId="19" fillId="85" borderId="63" applyNumberFormat="0" applyProtection="0">
      <alignment horizontal="left" vertical="center" indent="1"/>
    </xf>
    <xf numFmtId="4" fontId="47" fillId="41" borderId="63" applyNumberFormat="0" applyProtection="0">
      <alignment horizontal="right" vertical="center"/>
    </xf>
    <xf numFmtId="0" fontId="19" fillId="76" borderId="58" applyNumberFormat="0" applyFont="0" applyAlignment="0" applyProtection="0"/>
    <xf numFmtId="4" fontId="46" fillId="38" borderId="63" applyNumberFormat="0" applyProtection="0">
      <alignment vertical="center"/>
    </xf>
    <xf numFmtId="0" fontId="19" fillId="84" borderId="63" applyNumberFormat="0" applyProtection="0">
      <alignment horizontal="left" vertical="top" indent="1"/>
    </xf>
    <xf numFmtId="4" fontId="47" fillId="35" borderId="63" applyNumberFormat="0" applyProtection="0">
      <alignment horizontal="left" vertical="center" indent="1"/>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51"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24" fillId="59" borderId="61" applyNumberFormat="0" applyFont="0" applyAlignment="0" applyProtection="0">
      <protection locked="0"/>
    </xf>
    <xf numFmtId="4" fontId="47" fillId="43" borderId="63" applyNumberFormat="0" applyProtection="0">
      <alignment horizontal="right" vertical="center"/>
    </xf>
    <xf numFmtId="0" fontId="19" fillId="54" borderId="63" applyNumberFormat="0" applyProtection="0">
      <alignment horizontal="left" vertical="top" indent="1"/>
    </xf>
    <xf numFmtId="0" fontId="19" fillId="76" borderId="58" applyNumberFormat="0" applyFont="0" applyAlignment="0" applyProtection="0"/>
    <xf numFmtId="0" fontId="105" fillId="0" borderId="60" applyNumberFormat="0" applyFill="0" applyAlignment="0" applyProtection="0"/>
    <xf numFmtId="0" fontId="19" fillId="50" borderId="63" applyNumberFormat="0" applyProtection="0">
      <alignment horizontal="left" vertical="top" indent="1"/>
    </xf>
    <xf numFmtId="4" fontId="47"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4" fontId="47" fillId="35" borderId="63" applyNumberFormat="0" applyProtection="0">
      <alignment vertical="center"/>
    </xf>
    <xf numFmtId="0" fontId="19" fillId="50"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6" borderId="63" applyNumberFormat="0" applyProtection="0">
      <alignment horizontal="right" vertical="center"/>
    </xf>
    <xf numFmtId="0" fontId="19" fillId="54" borderId="63" applyNumberFormat="0" applyProtection="0">
      <alignment horizontal="left" vertical="top" indent="1"/>
    </xf>
    <xf numFmtId="0" fontId="105" fillId="0" borderId="60" applyNumberFormat="0" applyFill="0" applyAlignment="0" applyProtection="0"/>
    <xf numFmtId="0" fontId="63" fillId="59" borderId="61" applyNumberFormat="0" applyFont="0" applyFill="0" applyAlignment="0" applyProtection="0">
      <protection locked="0"/>
    </xf>
    <xf numFmtId="0" fontId="105" fillId="0" borderId="60" applyNumberFormat="0" applyFill="0" applyAlignment="0" applyProtection="0"/>
    <xf numFmtId="0" fontId="19" fillId="85" borderId="63" applyNumberFormat="0" applyProtection="0">
      <alignment horizontal="left" vertical="top" indent="1"/>
    </xf>
    <xf numFmtId="4" fontId="47" fillId="45" borderId="63" applyNumberFormat="0" applyProtection="0">
      <alignment horizontal="right" vertical="center"/>
    </xf>
    <xf numFmtId="0" fontId="110" fillId="77" borderId="62" applyNumberFormat="0" applyAlignment="0" applyProtection="0"/>
    <xf numFmtId="0" fontId="19" fillId="84" borderId="63" applyNumberFormat="0" applyProtection="0">
      <alignment horizontal="left" vertical="center" indent="1"/>
    </xf>
    <xf numFmtId="0" fontId="19" fillId="49" borderId="63" applyNumberFormat="0" applyProtection="0">
      <alignment horizontal="left" vertical="top" indent="1"/>
    </xf>
    <xf numFmtId="4" fontId="47" fillId="35" borderId="63" applyNumberFormat="0" applyProtection="0">
      <alignment horizontal="left" vertical="center" indent="1"/>
    </xf>
    <xf numFmtId="0" fontId="19" fillId="84" borderId="63" applyNumberFormat="0" applyProtection="0">
      <alignment horizontal="left" vertical="top" indent="1"/>
    </xf>
    <xf numFmtId="0" fontId="102" fillId="79" borderId="62" applyNumberFormat="0" applyAlignment="0" applyProtection="0"/>
    <xf numFmtId="4" fontId="47" fillId="44" borderId="63" applyNumberFormat="0" applyProtection="0">
      <alignment horizontal="right" vertical="center"/>
    </xf>
    <xf numFmtId="0" fontId="19" fillId="85" borderId="63" applyNumberFormat="0" applyProtection="0">
      <alignment horizontal="left" vertical="center" indent="1"/>
    </xf>
    <xf numFmtId="0" fontId="114" fillId="79" borderId="59" applyNumberFormat="0" applyAlignment="0" applyProtection="0"/>
    <xf numFmtId="4" fontId="51" fillId="49" borderId="63" applyNumberFormat="0" applyProtection="0">
      <alignment horizontal="right" vertical="center"/>
    </xf>
    <xf numFmtId="0" fontId="19" fillId="51" borderId="63" applyNumberFormat="0" applyProtection="0">
      <alignment horizontal="left" vertical="center" indent="1"/>
    </xf>
    <xf numFmtId="4" fontId="46" fillId="38" borderId="63" applyNumberFormat="0" applyProtection="0">
      <alignment vertical="center"/>
    </xf>
    <xf numFmtId="0" fontId="110" fillId="77" borderId="62" applyNumberFormat="0" applyAlignment="0" applyProtection="0"/>
    <xf numFmtId="0" fontId="102" fillId="79" borderId="62" applyNumberFormat="0" applyAlignment="0" applyProtection="0"/>
    <xf numFmtId="4" fontId="47" fillId="41" borderId="63" applyNumberFormat="0" applyProtection="0">
      <alignment horizontal="right" vertical="center"/>
    </xf>
    <xf numFmtId="0" fontId="19" fillId="51" borderId="63" applyNumberFormat="0" applyProtection="0">
      <alignment horizontal="left" vertical="top" indent="1"/>
    </xf>
    <xf numFmtId="0" fontId="47" fillId="34" borderId="63" applyNumberFormat="0" applyProtection="0">
      <alignment horizontal="left" vertical="top"/>
    </xf>
    <xf numFmtId="0" fontId="114" fillId="79" borderId="59" applyNumberFormat="0" applyAlignment="0" applyProtection="0"/>
    <xf numFmtId="0" fontId="26" fillId="0" borderId="53">
      <alignment horizontal="left" vertical="center"/>
    </xf>
    <xf numFmtId="4" fontId="27" fillId="34" borderId="57" applyNumberFormat="0" applyProtection="0">
      <alignment vertical="center"/>
    </xf>
    <xf numFmtId="0" fontId="26" fillId="0" borderId="53">
      <alignment horizontal="left" vertical="center"/>
    </xf>
    <xf numFmtId="4" fontId="27" fillId="34" borderId="57" applyNumberFormat="0" applyProtection="0">
      <alignment vertical="center"/>
    </xf>
    <xf numFmtId="4" fontId="27" fillId="34" borderId="57" applyNumberFormat="0" applyProtection="0">
      <alignment vertical="center"/>
    </xf>
    <xf numFmtId="4" fontId="47" fillId="0" borderId="63" applyNumberFormat="0" applyProtection="0">
      <alignment horizontal="left" vertical="center" indent="1"/>
    </xf>
    <xf numFmtId="0" fontId="19" fillId="34" borderId="63" applyNumberFormat="0" applyProtection="0">
      <alignment horizontal="left" vertical="top" indent="1"/>
    </xf>
    <xf numFmtId="4" fontId="27" fillId="38" borderId="63" applyNumberFormat="0" applyProtection="0">
      <alignment horizontal="left" vertical="center" indent="1"/>
    </xf>
    <xf numFmtId="0" fontId="110" fillId="77" borderId="62" applyNumberFormat="0" applyAlignment="0" applyProtection="0"/>
    <xf numFmtId="4" fontId="47" fillId="40" borderId="63" applyNumberFormat="0" applyProtection="0">
      <alignment horizontal="right" vertical="center"/>
    </xf>
    <xf numFmtId="0" fontId="19" fillId="34" borderId="63" applyNumberFormat="0" applyProtection="0">
      <alignment horizontal="left" vertical="top" indent="1"/>
    </xf>
    <xf numFmtId="4" fontId="47" fillId="0" borderId="63" applyNumberFormat="0" applyProtection="0">
      <alignment horizontal="left" vertical="center" indent="1"/>
    </xf>
    <xf numFmtId="0" fontId="114" fillId="79" borderId="59" applyNumberFormat="0" applyAlignment="0" applyProtection="0"/>
    <xf numFmtId="0" fontId="105" fillId="0" borderId="60" applyNumberFormat="0" applyFill="0" applyAlignment="0" applyProtection="0"/>
    <xf numFmtId="0" fontId="19" fillId="55" borderId="63" applyNumberFormat="0" applyProtection="0">
      <alignment horizontal="left" vertical="center" indent="1"/>
    </xf>
    <xf numFmtId="4" fontId="47" fillId="46" borderId="63" applyNumberFormat="0" applyProtection="0">
      <alignment horizontal="right" vertical="center"/>
    </xf>
    <xf numFmtId="0" fontId="110" fillId="77" borderId="62" applyNumberFormat="0" applyAlignment="0" applyProtection="0"/>
    <xf numFmtId="0" fontId="19" fillId="50" borderId="63" applyNumberFormat="0" applyProtection="0">
      <alignment horizontal="left" vertical="center" indent="1"/>
    </xf>
    <xf numFmtId="0" fontId="19" fillId="55" borderId="63" applyNumberFormat="0" applyProtection="0">
      <alignment horizontal="left" vertical="top" indent="1"/>
    </xf>
    <xf numFmtId="0" fontId="47" fillId="34" borderId="63" applyNumberFormat="0" applyProtection="0">
      <alignment horizontal="left" vertical="top"/>
    </xf>
    <xf numFmtId="0" fontId="19" fillId="51" borderId="63" applyNumberFormat="0" applyProtection="0">
      <alignment horizontal="left" vertical="top" indent="1"/>
    </xf>
    <xf numFmtId="0" fontId="27" fillId="38" borderId="63" applyNumberFormat="0" applyProtection="0">
      <alignment horizontal="left" vertical="top" indent="1"/>
    </xf>
    <xf numFmtId="0" fontId="19" fillId="76" borderId="58" applyNumberFormat="0" applyFont="0" applyAlignment="0" applyProtection="0"/>
    <xf numFmtId="0" fontId="110" fillId="77" borderId="62" applyNumberFormat="0" applyAlignment="0" applyProtection="0"/>
    <xf numFmtId="0" fontId="105" fillId="0" borderId="60" applyNumberFormat="0" applyFill="0" applyAlignment="0" applyProtection="0"/>
    <xf numFmtId="4" fontId="47" fillId="39" borderId="63" applyNumberFormat="0" applyProtection="0">
      <alignment horizontal="right" vertical="center"/>
    </xf>
    <xf numFmtId="0" fontId="19" fillId="51" borderId="63" applyNumberFormat="0" applyProtection="0">
      <alignment horizontal="left" vertical="center" indent="1"/>
    </xf>
    <xf numFmtId="4" fontId="51" fillId="49" borderId="63" applyNumberFormat="0" applyProtection="0">
      <alignment horizontal="right" vertical="center"/>
    </xf>
    <xf numFmtId="0" fontId="19" fillId="49" borderId="63" applyNumberFormat="0" applyProtection="0">
      <alignment horizontal="left" vertical="center" indent="1"/>
    </xf>
    <xf numFmtId="4" fontId="47" fillId="47" borderId="63" applyNumberFormat="0" applyProtection="0">
      <alignment horizontal="right" vertical="center"/>
    </xf>
    <xf numFmtId="0" fontId="110" fillId="77" borderId="62" applyNumberFormat="0" applyAlignment="0" applyProtection="0"/>
    <xf numFmtId="0" fontId="19" fillId="49" borderId="63" applyNumberFormat="0" applyProtection="0">
      <alignment horizontal="left" vertical="center" indent="1"/>
    </xf>
    <xf numFmtId="0" fontId="19" fillId="54" borderId="63" applyNumberFormat="0" applyProtection="0">
      <alignment horizontal="left" vertical="center" indent="1"/>
    </xf>
    <xf numFmtId="4" fontId="47" fillId="40" borderId="63" applyNumberFormat="0" applyProtection="0">
      <alignment horizontal="right" vertical="center"/>
    </xf>
    <xf numFmtId="0" fontId="19" fillId="76" borderId="58" applyNumberFormat="0" applyFont="0" applyAlignment="0" applyProtection="0"/>
    <xf numFmtId="4" fontId="27" fillId="38" borderId="63" applyNumberFormat="0" applyProtection="0">
      <alignment horizontal="left" vertical="center" indent="1"/>
    </xf>
    <xf numFmtId="0" fontId="19" fillId="34" borderId="63" applyNumberFormat="0" applyProtection="0">
      <alignment horizontal="left" vertical="center" indent="1"/>
    </xf>
    <xf numFmtId="0" fontId="47" fillId="35"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0" fontId="19" fillId="55" borderId="63" applyNumberFormat="0" applyProtection="0">
      <alignment horizontal="left" vertical="top" indent="1"/>
    </xf>
    <xf numFmtId="0" fontId="19" fillId="50" borderId="63" applyNumberFormat="0" applyProtection="0">
      <alignment horizontal="left" vertical="center" indent="1"/>
    </xf>
    <xf numFmtId="0" fontId="114" fillId="79" borderId="59" applyNumberFormat="0" applyAlignment="0" applyProtection="0"/>
    <xf numFmtId="0" fontId="114" fillId="79" borderId="59" applyNumberFormat="0" applyAlignment="0" applyProtection="0"/>
    <xf numFmtId="0" fontId="19" fillId="55" borderId="63" applyNumberFormat="0" applyProtection="0">
      <alignment horizontal="left" vertical="center" indent="1"/>
    </xf>
    <xf numFmtId="4" fontId="47" fillId="42" borderId="63" applyNumberFormat="0" applyProtection="0">
      <alignment horizontal="right" vertical="center"/>
    </xf>
    <xf numFmtId="0" fontId="19" fillId="85" borderId="63" applyNumberFormat="0" applyProtection="0">
      <alignment horizontal="left" vertical="center" indent="1"/>
    </xf>
    <xf numFmtId="0" fontId="19" fillId="76" borderId="58" applyNumberFormat="0" applyFont="0" applyAlignment="0" applyProtection="0"/>
    <xf numFmtId="0" fontId="105" fillId="0" borderId="60" applyNumberFormat="0" applyFill="0" applyAlignment="0" applyProtection="0"/>
    <xf numFmtId="4" fontId="27" fillId="37" borderId="63" applyNumberFormat="0" applyProtection="0">
      <alignment vertical="center"/>
    </xf>
    <xf numFmtId="0" fontId="19" fillId="84" borderId="63" applyNumberFormat="0" applyProtection="0">
      <alignment horizontal="left" vertical="top" indent="1"/>
    </xf>
    <xf numFmtId="4" fontId="51"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7"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105" fillId="0" borderId="60" applyNumberFormat="0" applyFill="0" applyAlignment="0" applyProtection="0"/>
    <xf numFmtId="0" fontId="19" fillId="85" borderId="63" applyNumberFormat="0" applyProtection="0">
      <alignment horizontal="left" vertical="top" indent="1"/>
    </xf>
    <xf numFmtId="4" fontId="47" fillId="44" borderId="63" applyNumberFormat="0" applyProtection="0">
      <alignment horizontal="right" vertical="center"/>
    </xf>
    <xf numFmtId="0" fontId="110" fillId="77" borderId="62" applyNumberFormat="0" applyAlignment="0" applyProtection="0"/>
    <xf numFmtId="0" fontId="63" fillId="59" borderId="61" applyNumberFormat="0" applyFont="0" applyFill="0" applyAlignment="0" applyProtection="0">
      <protection locked="0"/>
    </xf>
    <xf numFmtId="0" fontId="19" fillId="84" borderId="63" applyNumberFormat="0" applyProtection="0">
      <alignment horizontal="left" vertical="center" indent="1"/>
    </xf>
    <xf numFmtId="0" fontId="19" fillId="49"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4" fontId="51" fillId="35" borderId="63" applyNumberFormat="0" applyProtection="0">
      <alignment vertical="center"/>
    </xf>
    <xf numFmtId="0" fontId="19" fillId="84"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5" borderId="63" applyNumberFormat="0" applyProtection="0">
      <alignment horizontal="right" vertical="center"/>
    </xf>
    <xf numFmtId="0" fontId="19" fillId="85" borderId="63" applyNumberFormat="0" applyProtection="0">
      <alignment horizontal="left" vertical="center" indent="1"/>
    </xf>
    <xf numFmtId="0" fontId="105" fillId="0" borderId="60" applyNumberFormat="0" applyFill="0" applyAlignment="0" applyProtection="0"/>
    <xf numFmtId="0" fontId="114" fillId="79" borderId="59" applyNumberFormat="0" applyAlignment="0" applyProtection="0"/>
    <xf numFmtId="0" fontId="21" fillId="35" borderId="55" applyNumberFormat="0" applyFont="0" applyAlignment="0" applyProtection="0">
      <alignment horizontal="center"/>
      <protection locked="0"/>
    </xf>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47" fillId="51" borderId="25" applyNumberFormat="0" applyProtection="0">
      <alignment horizontal="right" vertical="center"/>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5" fillId="49" borderId="25" applyNumberFormat="0" applyProtection="0">
      <alignment horizontal="righ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4" fontId="47" fillId="51" borderId="25" applyNumberFormat="0" applyProtection="0">
      <alignment horizontal="left" vertical="center" indent="1"/>
    </xf>
    <xf numFmtId="4" fontId="27" fillId="38" borderId="25" applyNumberFormat="0" applyProtection="0">
      <alignment horizontal="left" vertical="center" indent="1"/>
    </xf>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9" fillId="76" borderId="68" applyNumberFormat="0" applyFon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49" borderId="25" applyNumberFormat="0" applyProtection="0">
      <alignment horizontal="left" vertical="top" indent="1"/>
    </xf>
    <xf numFmtId="0" fontId="19" fillId="49" borderId="25" applyNumberFormat="0" applyProtection="0">
      <alignment horizontal="left" vertical="top" indent="1"/>
    </xf>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24" fillId="59" borderId="72" applyNumberFormat="0" applyFont="0" applyAlignment="0" applyProtection="0">
      <protection locked="0"/>
    </xf>
    <xf numFmtId="0" fontId="63" fillId="59" borderId="72" applyNumberFormat="0" applyFont="0" applyFill="0" applyAlignment="0" applyProtection="0">
      <protection locked="0"/>
    </xf>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0" fontId="105" fillId="0" borderId="70" applyNumberFormat="0" applyFill="0" applyAlignment="0" applyProtection="0"/>
    <xf numFmtId="4" fontId="25" fillId="49" borderId="25" applyNumberFormat="0" applyProtection="0">
      <alignment horizontal="right" vertical="center"/>
    </xf>
    <xf numFmtId="0" fontId="47" fillId="34" borderId="25" applyNumberFormat="0" applyProtection="0">
      <alignment horizontal="left" vertical="top"/>
    </xf>
    <xf numFmtId="4" fontId="47" fillId="0" borderId="25" applyNumberFormat="0" applyProtection="0">
      <alignment horizontal="left" vertical="center" indent="1"/>
    </xf>
    <xf numFmtId="4" fontId="51" fillId="49" borderId="25" applyNumberFormat="0" applyProtection="0">
      <alignment horizontal="right" vertical="center"/>
    </xf>
    <xf numFmtId="4" fontId="47" fillId="0" borderId="25" applyNumberFormat="0" applyProtection="0">
      <alignment horizontal="right" vertical="center"/>
    </xf>
    <xf numFmtId="0" fontId="47" fillId="35" borderId="25" applyNumberFormat="0" applyProtection="0">
      <alignment horizontal="left" vertical="top" indent="1"/>
    </xf>
    <xf numFmtId="4" fontId="47" fillId="35" borderId="25" applyNumberFormat="0" applyProtection="0">
      <alignment horizontal="left" vertical="center" indent="1"/>
    </xf>
    <xf numFmtId="4" fontId="51" fillId="35" borderId="25" applyNumberFormat="0" applyProtection="0">
      <alignment vertical="center"/>
    </xf>
    <xf numFmtId="4" fontId="47" fillId="35" borderId="25" applyNumberFormat="0" applyProtection="0">
      <alignment vertical="center"/>
    </xf>
    <xf numFmtId="0" fontId="19" fillId="49" borderId="25" applyNumberFormat="0" applyProtection="0">
      <alignment horizontal="left" vertical="top" indent="1"/>
    </xf>
    <xf numFmtId="0" fontId="19" fillId="49" borderId="25" applyNumberFormat="0" applyProtection="0">
      <alignment horizontal="left" vertical="top" indent="1"/>
    </xf>
    <xf numFmtId="0" fontId="19" fillId="5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5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54"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54"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3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3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0" borderId="25" applyNumberFormat="0" applyProtection="0">
      <alignment horizontal="left" vertical="top" indent="1"/>
    </xf>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50" borderId="25" applyNumberFormat="0" applyProtection="0">
      <alignment horizontal="left" vertical="center" indent="1"/>
    </xf>
    <xf numFmtId="4" fontId="47" fillId="51" borderId="25" applyNumberFormat="0" applyProtection="0">
      <alignment horizontal="right" vertical="center"/>
    </xf>
    <xf numFmtId="4" fontId="47" fillId="47" borderId="25" applyNumberFormat="0" applyProtection="0">
      <alignment horizontal="right" vertical="center"/>
    </xf>
    <xf numFmtId="4" fontId="47" fillId="46" borderId="25" applyNumberFormat="0" applyProtection="0">
      <alignment horizontal="right" vertical="center"/>
    </xf>
    <xf numFmtId="4" fontId="47" fillId="45" borderId="25" applyNumberFormat="0" applyProtection="0">
      <alignment horizontal="right" vertical="center"/>
    </xf>
    <xf numFmtId="4" fontId="47" fillId="44" borderId="25" applyNumberFormat="0" applyProtection="0">
      <alignment horizontal="right" vertical="center"/>
    </xf>
    <xf numFmtId="4" fontId="47" fillId="43" borderId="25" applyNumberFormat="0" applyProtection="0">
      <alignment horizontal="right" vertical="center"/>
    </xf>
    <xf numFmtId="4" fontId="47" fillId="42" borderId="25" applyNumberFormat="0" applyProtection="0">
      <alignment horizontal="right" vertical="center"/>
    </xf>
    <xf numFmtId="4" fontId="47" fillId="41" borderId="25" applyNumberFormat="0" applyProtection="0">
      <alignment horizontal="right" vertical="center"/>
    </xf>
    <xf numFmtId="4" fontId="47" fillId="40" borderId="25" applyNumberFormat="0" applyProtection="0">
      <alignment horizontal="right" vertical="center"/>
    </xf>
    <xf numFmtId="4" fontId="47" fillId="39" borderId="25" applyNumberFormat="0" applyProtection="0">
      <alignment horizontal="right" vertical="center"/>
    </xf>
    <xf numFmtId="0" fontId="27" fillId="38" borderId="25" applyNumberFormat="0" applyProtection="0">
      <alignment horizontal="left" vertical="top" indent="1"/>
    </xf>
    <xf numFmtId="4" fontId="27" fillId="38" borderId="25" applyNumberFormat="0" applyProtection="0">
      <alignment horizontal="left" vertical="center" indent="1"/>
    </xf>
    <xf numFmtId="4" fontId="46" fillId="38" borderId="25" applyNumberFormat="0" applyProtection="0">
      <alignment vertical="center"/>
    </xf>
    <xf numFmtId="4" fontId="27" fillId="37" borderId="25" applyNumberFormat="0" applyProtection="0">
      <alignment vertical="center"/>
    </xf>
    <xf numFmtId="0" fontId="63" fillId="59" borderId="72" applyNumberFormat="0" applyFont="0" applyFill="0" applyAlignment="0" applyProtection="0">
      <protection locked="0"/>
    </xf>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14" fillId="79" borderId="69"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02" fillId="79"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110" fillId="77" borderId="67" applyNumberFormat="0" applyAlignment="0" applyProtection="0"/>
    <xf numFmtId="0" fontId="24" fillId="59" borderId="72" applyNumberFormat="0" applyFont="0" applyAlignment="0" applyProtection="0">
      <protection locked="0"/>
    </xf>
    <xf numFmtId="0" fontId="105" fillId="0" borderId="70" applyNumberFormat="0" applyFill="0" applyAlignment="0" applyProtection="0"/>
    <xf numFmtId="0" fontId="105" fillId="0" borderId="70" applyNumberFormat="0" applyFill="0" applyAlignment="0" applyProtection="0"/>
    <xf numFmtId="0" fontId="102" fillId="79" borderId="73" applyNumberFormat="0" applyAlignment="0" applyProtection="0"/>
    <xf numFmtId="0" fontId="102" fillId="79" borderId="73" applyNumberFormat="0" applyAlignment="0" applyProtection="0"/>
    <xf numFmtId="0" fontId="102" fillId="79" borderId="73" applyNumberFormat="0" applyAlignment="0" applyProtection="0"/>
    <xf numFmtId="0" fontId="102" fillId="79" borderId="73" applyNumberFormat="0" applyAlignment="0" applyProtection="0"/>
    <xf numFmtId="0" fontId="110" fillId="77" borderId="73" applyNumberFormat="0" applyAlignment="0" applyProtection="0"/>
    <xf numFmtId="0" fontId="110" fillId="77" borderId="73" applyNumberFormat="0" applyAlignment="0" applyProtection="0"/>
    <xf numFmtId="0" fontId="110" fillId="77" borderId="73" applyNumberFormat="0" applyAlignment="0" applyProtection="0"/>
    <xf numFmtId="0" fontId="110" fillId="77" borderId="73" applyNumberForma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9" fillId="76" borderId="74" applyNumberFormat="0" applyFon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0" fontId="114" fillId="79" borderId="75" applyNumberFormat="0" applyAlignment="0" applyProtection="0"/>
    <xf numFmtId="4" fontId="27" fillId="37" borderId="76" applyNumberFormat="0" applyProtection="0">
      <alignment vertical="center"/>
    </xf>
    <xf numFmtId="4" fontId="46" fillId="38" borderId="76" applyNumberFormat="0" applyProtection="0">
      <alignment vertical="center"/>
    </xf>
    <xf numFmtId="4" fontId="27" fillId="38" borderId="76" applyNumberFormat="0" applyProtection="0">
      <alignment horizontal="left" vertical="center" indent="1"/>
    </xf>
    <xf numFmtId="0" fontId="27" fillId="38" borderId="76" applyNumberFormat="0" applyProtection="0">
      <alignment horizontal="left" vertical="top" indent="1"/>
    </xf>
    <xf numFmtId="4" fontId="47" fillId="39" borderId="76" applyNumberFormat="0" applyProtection="0">
      <alignment horizontal="right" vertical="center"/>
    </xf>
    <xf numFmtId="4" fontId="47" fillId="40" borderId="76" applyNumberFormat="0" applyProtection="0">
      <alignment horizontal="right" vertical="center"/>
    </xf>
    <xf numFmtId="4" fontId="47" fillId="41" borderId="76" applyNumberFormat="0" applyProtection="0">
      <alignment horizontal="right" vertical="center"/>
    </xf>
    <xf numFmtId="4" fontId="47" fillId="42" borderId="76" applyNumberFormat="0" applyProtection="0">
      <alignment horizontal="right" vertical="center"/>
    </xf>
    <xf numFmtId="4" fontId="47" fillId="43" borderId="76" applyNumberFormat="0" applyProtection="0">
      <alignment horizontal="right" vertical="center"/>
    </xf>
    <xf numFmtId="4" fontId="47" fillId="44" borderId="76" applyNumberFormat="0" applyProtection="0">
      <alignment horizontal="right" vertical="center"/>
    </xf>
    <xf numFmtId="4" fontId="47" fillId="45" borderId="76" applyNumberFormat="0" applyProtection="0">
      <alignment horizontal="right" vertical="center"/>
    </xf>
    <xf numFmtId="4" fontId="47" fillId="46" borderId="76" applyNumberFormat="0" applyProtection="0">
      <alignment horizontal="right" vertical="center"/>
    </xf>
    <xf numFmtId="4" fontId="47" fillId="47" borderId="76" applyNumberFormat="0" applyProtection="0">
      <alignment horizontal="right" vertical="center"/>
    </xf>
    <xf numFmtId="4" fontId="47" fillId="51" borderId="76" applyNumberFormat="0" applyProtection="0">
      <alignment horizontal="right" vertical="center"/>
    </xf>
    <xf numFmtId="0" fontId="19" fillId="50" borderId="76" applyNumberFormat="0" applyProtection="0">
      <alignment horizontal="left" vertical="center" indent="1"/>
    </xf>
    <xf numFmtId="0" fontId="19" fillId="84" borderId="76" applyNumberFormat="0" applyProtection="0">
      <alignment horizontal="left" vertical="center" indent="1"/>
    </xf>
    <xf numFmtId="0" fontId="19" fillId="84" borderId="76" applyNumberFormat="0" applyProtection="0">
      <alignment horizontal="left" vertical="center" indent="1"/>
    </xf>
    <xf numFmtId="0" fontId="19" fillId="50" borderId="76" applyNumberFormat="0" applyProtection="0">
      <alignment horizontal="left" vertical="top" indent="1"/>
    </xf>
    <xf numFmtId="0" fontId="19" fillId="84" borderId="76" applyNumberFormat="0" applyProtection="0">
      <alignment horizontal="left" vertical="top" indent="1"/>
    </xf>
    <xf numFmtId="0" fontId="19" fillId="84" borderId="76" applyNumberFormat="0" applyProtection="0">
      <alignment horizontal="left" vertical="top" indent="1"/>
    </xf>
    <xf numFmtId="0" fontId="19" fillId="34" borderId="76" applyNumberFormat="0" applyProtection="0">
      <alignment horizontal="left" vertical="center" indent="1"/>
    </xf>
    <xf numFmtId="0" fontId="19" fillId="51" borderId="76" applyNumberFormat="0" applyProtection="0">
      <alignment horizontal="left" vertical="center" indent="1"/>
    </xf>
    <xf numFmtId="0" fontId="19" fillId="51" borderId="76" applyNumberFormat="0" applyProtection="0">
      <alignment horizontal="left" vertical="center" indent="1"/>
    </xf>
    <xf numFmtId="0" fontId="19" fillId="34" borderId="76" applyNumberFormat="0" applyProtection="0">
      <alignment horizontal="left" vertical="top" indent="1"/>
    </xf>
    <xf numFmtId="0" fontId="19" fillId="51" borderId="76" applyNumberFormat="0" applyProtection="0">
      <alignment horizontal="left" vertical="top" indent="1"/>
    </xf>
    <xf numFmtId="0" fontId="19" fillId="51" borderId="76" applyNumberFormat="0" applyProtection="0">
      <alignment horizontal="left" vertical="top" indent="1"/>
    </xf>
    <xf numFmtId="0" fontId="19" fillId="54" borderId="76" applyNumberFormat="0" applyProtection="0">
      <alignment horizontal="left" vertical="center" indent="1"/>
    </xf>
    <xf numFmtId="0" fontId="19" fillId="85" borderId="76" applyNumberFormat="0" applyProtection="0">
      <alignment horizontal="left" vertical="center" indent="1"/>
    </xf>
    <xf numFmtId="0" fontId="19" fillId="85" borderId="76" applyNumberFormat="0" applyProtection="0">
      <alignment horizontal="left" vertical="center" indent="1"/>
    </xf>
    <xf numFmtId="0" fontId="19" fillId="54" borderId="76" applyNumberFormat="0" applyProtection="0">
      <alignment horizontal="left" vertical="top" indent="1"/>
    </xf>
    <xf numFmtId="0" fontId="19" fillId="85" borderId="76" applyNumberFormat="0" applyProtection="0">
      <alignment horizontal="left" vertical="top" indent="1"/>
    </xf>
    <xf numFmtId="0" fontId="19" fillId="85" borderId="76" applyNumberFormat="0" applyProtection="0">
      <alignment horizontal="left" vertical="top" indent="1"/>
    </xf>
    <xf numFmtId="0" fontId="19" fillId="55" borderId="76" applyNumberFormat="0" applyProtection="0">
      <alignment horizontal="left" vertical="center" indent="1"/>
    </xf>
    <xf numFmtId="0" fontId="19" fillId="49" borderId="76" applyNumberFormat="0" applyProtection="0">
      <alignment horizontal="left" vertical="center" indent="1"/>
    </xf>
    <xf numFmtId="0" fontId="19" fillId="49" borderId="76" applyNumberFormat="0" applyProtection="0">
      <alignment horizontal="left" vertical="center" indent="1"/>
    </xf>
    <xf numFmtId="0" fontId="19" fillId="55" borderId="76" applyNumberFormat="0" applyProtection="0">
      <alignment horizontal="left" vertical="top" indent="1"/>
    </xf>
    <xf numFmtId="0" fontId="19" fillId="49" borderId="76" applyNumberFormat="0" applyProtection="0">
      <alignment horizontal="left" vertical="top" indent="1"/>
    </xf>
    <xf numFmtId="0" fontId="19" fillId="49" borderId="76" applyNumberFormat="0" applyProtection="0">
      <alignment horizontal="left" vertical="top" indent="1"/>
    </xf>
    <xf numFmtId="4" fontId="47" fillId="35" borderId="76" applyNumberFormat="0" applyProtection="0">
      <alignment vertical="center"/>
    </xf>
    <xf numFmtId="4" fontId="51" fillId="35" borderId="76" applyNumberFormat="0" applyProtection="0">
      <alignment vertical="center"/>
    </xf>
    <xf numFmtId="4" fontId="47" fillId="35" borderId="76" applyNumberFormat="0" applyProtection="0">
      <alignment horizontal="left" vertical="center" indent="1"/>
    </xf>
    <xf numFmtId="0" fontId="47" fillId="35" borderId="76" applyNumberFormat="0" applyProtection="0">
      <alignment horizontal="left" vertical="top" indent="1"/>
    </xf>
    <xf numFmtId="4" fontId="47" fillId="0" borderId="76" applyNumberFormat="0" applyProtection="0">
      <alignment horizontal="right" vertical="center"/>
    </xf>
    <xf numFmtId="4" fontId="51" fillId="49" borderId="76" applyNumberFormat="0" applyProtection="0">
      <alignment horizontal="right" vertical="center"/>
    </xf>
    <xf numFmtId="4" fontId="47" fillId="0" borderId="76" applyNumberFormat="0" applyProtection="0">
      <alignment horizontal="left" vertical="center" indent="1"/>
    </xf>
    <xf numFmtId="0" fontId="47" fillId="34" borderId="76" applyNumberFormat="0" applyProtection="0">
      <alignment horizontal="left" vertical="top"/>
    </xf>
    <xf numFmtId="4" fontId="25" fillId="49" borderId="76" applyNumberFormat="0" applyProtection="0">
      <alignment horizontal="right" vertical="center"/>
    </xf>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0" fontId="105" fillId="0" borderId="77" applyNumberFormat="0" applyFill="0" applyAlignment="0" applyProtection="0"/>
    <xf numFmtId="178" fontId="30" fillId="0" borderId="0"/>
    <xf numFmtId="0" fontId="19" fillId="0" borderId="0"/>
    <xf numFmtId="37" fontId="30" fillId="0" borderId="0"/>
    <xf numFmtId="43" fontId="1" fillId="0" borderId="0" applyFont="0" applyFill="0" applyBorder="0" applyAlignment="0" applyProtection="0"/>
    <xf numFmtId="39" fontId="30" fillId="0" borderId="0"/>
    <xf numFmtId="43" fontId="19" fillId="0" borderId="0" applyFont="0" applyFill="0" applyBorder="0" applyAlignment="0" applyProtection="0"/>
    <xf numFmtId="44" fontId="1" fillId="0" borderId="0" applyFont="0" applyFill="0" applyBorder="0" applyAlignment="0" applyProtection="0"/>
    <xf numFmtId="0" fontId="120"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0" fontId="120" fillId="0" borderId="0"/>
    <xf numFmtId="43" fontId="18" fillId="0" borderId="0" applyFont="0" applyFill="0" applyBorder="0" applyAlignment="0" applyProtection="0"/>
    <xf numFmtId="43" fontId="18" fillId="0" borderId="0" applyFont="0" applyFill="0" applyBorder="0" applyAlignment="0" applyProtection="0"/>
    <xf numFmtId="0" fontId="120" fillId="0" borderId="0"/>
    <xf numFmtId="9" fontId="18" fillId="0" borderId="0" applyFont="0" applyFill="0" applyBorder="0" applyAlignment="0" applyProtection="0"/>
    <xf numFmtId="0" fontId="120"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20"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8" fillId="0" borderId="0"/>
    <xf numFmtId="0" fontId="18" fillId="0" borderId="0"/>
    <xf numFmtId="0" fontId="18" fillId="0" borderId="0"/>
    <xf numFmtId="0" fontId="18" fillId="0" borderId="0"/>
    <xf numFmtId="178" fontId="30"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18" fillId="0" borderId="0"/>
    <xf numFmtId="37" fontId="139" fillId="0" borderId="0"/>
  </cellStyleXfs>
  <cellXfs count="1080">
    <xf numFmtId="0" fontId="0" fillId="0" borderId="0" xfId="0"/>
    <xf numFmtId="178" fontId="32" fillId="0" borderId="0" xfId="25741" applyFont="1" applyFill="1" applyAlignment="1">
      <alignment horizontal="centerContinuous"/>
    </xf>
    <xf numFmtId="0" fontId="32" fillId="0" borderId="0" xfId="0" applyFont="1" applyAlignment="1">
      <alignment horizontal="centerContinuous"/>
    </xf>
    <xf numFmtId="0" fontId="0" fillId="0" borderId="0" xfId="0" applyBorder="1"/>
    <xf numFmtId="0" fontId="0" fillId="0" borderId="0" xfId="0"/>
    <xf numFmtId="0" fontId="123" fillId="0" borderId="0" xfId="24690" applyFont="1" applyFill="1" applyBorder="1" applyAlignment="1"/>
    <xf numFmtId="0" fontId="124" fillId="0" borderId="0" xfId="0" applyFont="1"/>
    <xf numFmtId="49" fontId="123" fillId="0" borderId="0" xfId="24690" applyNumberFormat="1" applyFont="1" applyFill="1" applyBorder="1" applyAlignment="1"/>
    <xf numFmtId="0" fontId="124" fillId="0" borderId="0" xfId="0" applyFont="1" applyAlignment="1">
      <alignment horizontal="center"/>
    </xf>
    <xf numFmtId="0" fontId="124" fillId="0" borderId="0" xfId="0" applyFont="1" applyAlignment="1">
      <alignment vertical="center" wrapText="1"/>
    </xf>
    <xf numFmtId="0" fontId="124" fillId="0" borderId="0" xfId="0" applyFont="1" applyAlignment="1">
      <alignment wrapText="1"/>
    </xf>
    <xf numFmtId="0" fontId="124" fillId="0" borderId="0" xfId="0" applyFont="1" applyFill="1" applyAlignment="1">
      <alignment vertical="center" wrapText="1"/>
    </xf>
    <xf numFmtId="0" fontId="124" fillId="0" borderId="0" xfId="0" applyFont="1" applyAlignment="1">
      <alignment vertical="top" wrapText="1"/>
    </xf>
    <xf numFmtId="0" fontId="124" fillId="97" borderId="0" xfId="0" applyFont="1" applyFill="1" applyAlignment="1">
      <alignment vertical="center"/>
    </xf>
    <xf numFmtId="0" fontId="124" fillId="0" borderId="0" xfId="0" applyFont="1" applyAlignment="1">
      <alignment vertical="center"/>
    </xf>
    <xf numFmtId="0" fontId="125" fillId="0" borderId="0" xfId="0" applyFont="1" applyAlignment="1">
      <alignment horizontal="center"/>
    </xf>
    <xf numFmtId="0" fontId="124" fillId="0" borderId="0" xfId="0" applyFont="1" applyAlignment="1">
      <alignment horizontal="center" vertical="center"/>
    </xf>
    <xf numFmtId="49" fontId="123" fillId="0" borderId="0" xfId="24690" applyNumberFormat="1" applyFont="1" applyFill="1" applyBorder="1" applyAlignment="1">
      <alignment horizontal="center"/>
    </xf>
    <xf numFmtId="0" fontId="124" fillId="0" borderId="0" xfId="0" applyFont="1" applyBorder="1" applyAlignment="1">
      <alignment horizontal="center"/>
    </xf>
    <xf numFmtId="0" fontId="124" fillId="0" borderId="0" xfId="0" applyFont="1" applyBorder="1"/>
    <xf numFmtId="0" fontId="126" fillId="0" borderId="0" xfId="0" applyFont="1" applyAlignment="1">
      <alignment horizontal="right" vertical="center"/>
    </xf>
    <xf numFmtId="0" fontId="124" fillId="0" borderId="0" xfId="0" applyFont="1" applyAlignment="1">
      <alignment horizontal="right" vertical="center"/>
    </xf>
    <xf numFmtId="0" fontId="124" fillId="0" borderId="0" xfId="0" applyFont="1" applyBorder="1" applyAlignment="1">
      <alignment horizontal="right" vertical="center"/>
    </xf>
    <xf numFmtId="0" fontId="126" fillId="0" borderId="0" xfId="0" applyFont="1" applyBorder="1" applyAlignment="1">
      <alignment horizontal="center" vertical="center"/>
    </xf>
    <xf numFmtId="0" fontId="127" fillId="0" borderId="0" xfId="0" applyFont="1" applyBorder="1" applyAlignment="1">
      <alignment horizontal="center" vertical="center"/>
    </xf>
    <xf numFmtId="0" fontId="61" fillId="0" borderId="0" xfId="0" applyFont="1" applyBorder="1" applyAlignment="1">
      <alignment vertical="center"/>
    </xf>
    <xf numFmtId="197" fontId="0" fillId="0" borderId="0" xfId="0" applyNumberFormat="1"/>
    <xf numFmtId="0" fontId="127" fillId="0" borderId="0" xfId="0" applyFont="1" applyAlignment="1">
      <alignment horizontal="center"/>
    </xf>
    <xf numFmtId="0" fontId="124" fillId="0" borderId="0" xfId="0" applyFont="1" applyBorder="1" applyAlignment="1">
      <alignment horizontal="left"/>
    </xf>
    <xf numFmtId="0" fontId="32" fillId="0" borderId="0" xfId="25295" quotePrefix="1" applyFont="1" applyFill="1" applyBorder="1" applyAlignment="1"/>
    <xf numFmtId="0" fontId="124" fillId="0" borderId="0" xfId="0" applyFont="1" applyFill="1"/>
    <xf numFmtId="0" fontId="127" fillId="0" borderId="0" xfId="0" applyFont="1"/>
    <xf numFmtId="0" fontId="124" fillId="0" borderId="0" xfId="0" applyFont="1" applyFill="1" applyAlignment="1">
      <alignment horizontal="center"/>
    </xf>
    <xf numFmtId="0" fontId="32" fillId="0" borderId="0" xfId="0" applyFont="1" applyAlignment="1">
      <alignment horizontal="center"/>
    </xf>
    <xf numFmtId="0" fontId="123" fillId="0" borderId="0" xfId="24690" applyFont="1" applyFill="1" applyBorder="1" applyAlignment="1">
      <alignment horizontal="center"/>
    </xf>
    <xf numFmtId="0" fontId="126" fillId="0" borderId="0" xfId="0" applyFont="1" applyAlignment="1">
      <alignment horizontal="center"/>
    </xf>
    <xf numFmtId="0" fontId="123" fillId="0" borderId="0" xfId="0" applyFont="1" applyAlignment="1">
      <alignment horizontal="center"/>
    </xf>
    <xf numFmtId="0" fontId="124" fillId="0" borderId="0" xfId="0" applyFont="1" applyAlignment="1"/>
    <xf numFmtId="0" fontId="123" fillId="0" borderId="0" xfId="24690" applyFont="1" applyFill="1" applyBorder="1" applyAlignment="1">
      <alignment horizontal="center"/>
    </xf>
    <xf numFmtId="0" fontId="123" fillId="0" borderId="0" xfId="0" applyFont="1" applyAlignment="1">
      <alignment horizontal="center"/>
    </xf>
    <xf numFmtId="0" fontId="124" fillId="0" borderId="0" xfId="0" applyFont="1" applyBorder="1" applyAlignment="1">
      <alignment vertical="center"/>
    </xf>
    <xf numFmtId="0" fontId="123" fillId="0" borderId="0" xfId="1" applyFont="1" applyBorder="1"/>
    <xf numFmtId="0" fontId="32" fillId="0" borderId="0" xfId="1" applyFont="1" applyBorder="1"/>
    <xf numFmtId="0" fontId="32" fillId="0" borderId="0" xfId="1" applyFont="1"/>
    <xf numFmtId="0" fontId="32" fillId="0" borderId="33" xfId="1" applyFont="1" applyBorder="1"/>
    <xf numFmtId="0" fontId="32" fillId="0" borderId="34" xfId="1" applyFont="1" applyBorder="1"/>
    <xf numFmtId="14" fontId="32" fillId="0" borderId="80" xfId="1" applyNumberFormat="1" applyFont="1" applyFill="1" applyBorder="1" applyAlignment="1">
      <alignment horizontal="center"/>
    </xf>
    <xf numFmtId="0" fontId="32" fillId="0" borderId="81" xfId="1" applyFont="1" applyBorder="1"/>
    <xf numFmtId="0" fontId="32" fillId="0" borderId="79" xfId="1" applyFont="1" applyBorder="1"/>
    <xf numFmtId="0" fontId="32" fillId="0" borderId="79" xfId="1" applyFont="1" applyBorder="1" applyAlignment="1">
      <alignment horizontal="center"/>
    </xf>
    <xf numFmtId="0" fontId="32" fillId="0" borderId="81" xfId="1" applyFont="1" applyBorder="1" applyAlignment="1">
      <alignment horizontal="center"/>
    </xf>
    <xf numFmtId="0" fontId="32" fillId="0" borderId="78" xfId="1" applyFont="1" applyBorder="1"/>
    <xf numFmtId="0" fontId="32" fillId="0" borderId="11" xfId="1" applyFont="1" applyBorder="1"/>
    <xf numFmtId="0" fontId="32" fillId="0" borderId="35" xfId="1" applyFont="1" applyFill="1" applyBorder="1" applyAlignment="1">
      <alignment horizontal="center"/>
    </xf>
    <xf numFmtId="0" fontId="32" fillId="0" borderId="0" xfId="1" applyFont="1" applyBorder="1" applyAlignment="1">
      <alignment horizontal="center"/>
    </xf>
    <xf numFmtId="0" fontId="32" fillId="0" borderId="11" xfId="1" applyFont="1" applyBorder="1" applyAlignment="1"/>
    <xf numFmtId="0" fontId="32" fillId="0" borderId="0" xfId="1" applyFont="1" applyBorder="1" applyAlignment="1"/>
    <xf numFmtId="0" fontId="32" fillId="0" borderId="0" xfId="1" quotePrefix="1" applyFont="1" applyBorder="1" applyAlignment="1">
      <alignment horizontal="center"/>
    </xf>
    <xf numFmtId="0" fontId="32" fillId="0" borderId="11" xfId="1" quotePrefix="1" applyFont="1" applyBorder="1" applyAlignment="1">
      <alignment horizontal="center"/>
    </xf>
    <xf numFmtId="0" fontId="32" fillId="0" borderId="11" xfId="1" applyFont="1" applyBorder="1" applyAlignment="1">
      <alignment horizontal="center"/>
    </xf>
    <xf numFmtId="49" fontId="32" fillId="0" borderId="35" xfId="1" applyNumberFormat="1" applyFont="1" applyBorder="1" applyAlignment="1">
      <alignment horizontal="center"/>
    </xf>
    <xf numFmtId="49" fontId="32" fillId="0" borderId="0" xfId="1" applyNumberFormat="1" applyFont="1" applyBorder="1" applyAlignment="1">
      <alignment horizontal="center"/>
    </xf>
    <xf numFmtId="49" fontId="32" fillId="0" borderId="11" xfId="1" applyNumberFormat="1" applyFont="1" applyBorder="1" applyAlignment="1">
      <alignment horizontal="center"/>
    </xf>
    <xf numFmtId="0" fontId="32" fillId="0" borderId="54" xfId="1" applyFont="1" applyBorder="1"/>
    <xf numFmtId="0" fontId="32" fillId="0" borderId="56" xfId="1" applyFont="1" applyBorder="1"/>
    <xf numFmtId="0" fontId="32" fillId="0" borderId="89" xfId="1" applyFont="1" applyBorder="1"/>
    <xf numFmtId="0" fontId="32" fillId="0" borderId="15" xfId="1" applyFont="1" applyBorder="1"/>
    <xf numFmtId="0" fontId="32" fillId="0" borderId="35" xfId="1" applyFont="1" applyBorder="1"/>
    <xf numFmtId="184" fontId="32" fillId="0" borderId="0" xfId="3" applyNumberFormat="1" applyFont="1" applyBorder="1">
      <alignment horizontal="right"/>
    </xf>
    <xf numFmtId="0" fontId="32" fillId="0" borderId="0" xfId="1" applyFont="1" applyFill="1" applyBorder="1" applyProtection="1"/>
    <xf numFmtId="0" fontId="32" fillId="0" borderId="11" xfId="1" applyFont="1" applyFill="1" applyBorder="1"/>
    <xf numFmtId="38" fontId="32" fillId="0" borderId="35" xfId="3" applyNumberFormat="1" applyFont="1" applyFill="1" applyBorder="1" applyProtection="1">
      <alignment horizontal="right"/>
    </xf>
    <xf numFmtId="38" fontId="32" fillId="0" borderId="11" xfId="1" applyNumberFormat="1" applyFont="1" applyBorder="1"/>
    <xf numFmtId="38" fontId="32" fillId="0" borderId="0" xfId="2" applyNumberFormat="1" applyFont="1" applyBorder="1"/>
    <xf numFmtId="38" fontId="32" fillId="0" borderId="0" xfId="3" applyNumberFormat="1" applyFont="1" applyBorder="1">
      <alignment horizontal="right"/>
    </xf>
    <xf numFmtId="38" fontId="32" fillId="0" borderId="11" xfId="3" applyNumberFormat="1" applyFont="1" applyBorder="1">
      <alignment horizontal="right"/>
    </xf>
    <xf numFmtId="5" fontId="32" fillId="0" borderId="0" xfId="3" applyNumberFormat="1" applyFont="1" applyBorder="1">
      <alignment horizontal="right"/>
    </xf>
    <xf numFmtId="38" fontId="32" fillId="0" borderId="0" xfId="2" applyNumberFormat="1" applyFont="1" applyFill="1" applyBorder="1" applyProtection="1"/>
    <xf numFmtId="38" fontId="32" fillId="0" borderId="35" xfId="2" applyNumberFormat="1" applyFont="1" applyFill="1" applyBorder="1" applyProtection="1"/>
    <xf numFmtId="37" fontId="32" fillId="0" borderId="0" xfId="2" applyNumberFormat="1" applyFont="1" applyBorder="1"/>
    <xf numFmtId="0" fontId="32" fillId="0" borderId="0" xfId="1" applyFont="1" applyFill="1" applyBorder="1"/>
    <xf numFmtId="38" fontId="32" fillId="0" borderId="54" xfId="2" applyNumberFormat="1" applyFont="1" applyFill="1" applyBorder="1" applyProtection="1"/>
    <xf numFmtId="0" fontId="123" fillId="0" borderId="0" xfId="1" applyFont="1" applyFill="1" applyBorder="1" applyProtection="1"/>
    <xf numFmtId="38" fontId="32" fillId="0" borderId="79" xfId="2" applyNumberFormat="1" applyFont="1" applyFill="1" applyBorder="1" applyProtection="1"/>
    <xf numFmtId="38" fontId="32" fillId="0" borderId="81" xfId="2" applyNumberFormat="1" applyFont="1" applyFill="1" applyBorder="1" applyProtection="1"/>
    <xf numFmtId="38" fontId="32" fillId="0" borderId="11" xfId="2" applyNumberFormat="1" applyFont="1" applyFill="1" applyBorder="1" applyProtection="1"/>
    <xf numFmtId="168" fontId="124" fillId="0" borderId="0" xfId="25795" applyNumberFormat="1" applyFont="1"/>
    <xf numFmtId="38" fontId="32" fillId="0" borderId="15" xfId="3" applyNumberFormat="1" applyFont="1" applyBorder="1">
      <alignment horizontal="right"/>
    </xf>
    <xf numFmtId="0" fontId="32" fillId="0" borderId="0" xfId="24545" applyFont="1" applyFill="1" applyBorder="1" applyAlignment="1">
      <alignment horizontal="left" indent="1"/>
    </xf>
    <xf numFmtId="166" fontId="32" fillId="0" borderId="0" xfId="2" applyNumberFormat="1" applyFont="1" applyBorder="1"/>
    <xf numFmtId="38" fontId="124" fillId="0" borderId="0" xfId="0" applyNumberFormat="1" applyFont="1"/>
    <xf numFmtId="43" fontId="124" fillId="0" borderId="0" xfId="0" applyNumberFormat="1" applyFont="1"/>
    <xf numFmtId="38" fontId="32" fillId="0" borderId="0" xfId="2" applyNumberFormat="1" applyFont="1" applyFill="1" applyBorder="1"/>
    <xf numFmtId="38" fontId="124" fillId="0" borderId="35" xfId="0" applyNumberFormat="1" applyFont="1" applyFill="1" applyBorder="1"/>
    <xf numFmtId="0" fontId="123" fillId="0" borderId="0" xfId="1" applyFont="1" applyFill="1" applyBorder="1"/>
    <xf numFmtId="38" fontId="32" fillId="33" borderId="87" xfId="3" applyNumberFormat="1" applyFont="1" applyFill="1" applyBorder="1">
      <alignment horizontal="right"/>
    </xf>
    <xf numFmtId="38" fontId="32" fillId="33" borderId="82" xfId="3" applyNumberFormat="1" applyFont="1" applyFill="1" applyBorder="1">
      <alignment horizontal="right"/>
    </xf>
    <xf numFmtId="38" fontId="32" fillId="33" borderId="0" xfId="3" applyNumberFormat="1" applyFont="1" applyFill="1" applyBorder="1">
      <alignment horizontal="right"/>
    </xf>
    <xf numFmtId="38" fontId="32" fillId="33" borderId="86" xfId="3" applyNumberFormat="1" applyFont="1" applyFill="1" applyBorder="1">
      <alignment horizontal="right"/>
    </xf>
    <xf numFmtId="0" fontId="124" fillId="0" borderId="0" xfId="0" applyFont="1" applyFill="1" applyBorder="1"/>
    <xf numFmtId="38" fontId="32" fillId="33" borderId="35" xfId="3" applyNumberFormat="1" applyFont="1" applyFill="1" applyBorder="1">
      <alignment horizontal="right"/>
    </xf>
    <xf numFmtId="38" fontId="32" fillId="33" borderId="11" xfId="3" applyNumberFormat="1" applyFont="1" applyFill="1" applyBorder="1">
      <alignment horizontal="right"/>
    </xf>
    <xf numFmtId="38" fontId="32" fillId="0" borderId="35" xfId="2" applyNumberFormat="1" applyFont="1" applyFill="1" applyBorder="1"/>
    <xf numFmtId="38" fontId="32" fillId="0" borderId="11" xfId="2" applyNumberFormat="1" applyFont="1" applyBorder="1"/>
    <xf numFmtId="38" fontId="32" fillId="33" borderId="18" xfId="3" applyNumberFormat="1" applyFont="1" applyFill="1" applyBorder="1">
      <alignment horizontal="right"/>
    </xf>
    <xf numFmtId="10" fontId="32" fillId="0" borderId="35" xfId="4" applyNumberFormat="1" applyFont="1" applyFill="1" applyBorder="1"/>
    <xf numFmtId="10" fontId="32" fillId="0" borderId="0" xfId="4" applyNumberFormat="1" applyFont="1" applyFill="1" applyBorder="1"/>
    <xf numFmtId="167" fontId="32" fillId="0" borderId="0" xfId="4" applyNumberFormat="1" applyFont="1" applyBorder="1"/>
    <xf numFmtId="10" fontId="32" fillId="0" borderId="11" xfId="4" applyNumberFormat="1" applyFont="1" applyFill="1" applyBorder="1"/>
    <xf numFmtId="0" fontId="32" fillId="0" borderId="12" xfId="1" applyFont="1" applyBorder="1"/>
    <xf numFmtId="0" fontId="123" fillId="0" borderId="12" xfId="1" applyFont="1" applyFill="1" applyBorder="1"/>
    <xf numFmtId="0" fontId="32" fillId="0" borderId="13" xfId="1" applyFont="1" applyFill="1" applyBorder="1"/>
    <xf numFmtId="10" fontId="32" fillId="0" borderId="54" xfId="4" applyNumberFormat="1" applyFont="1" applyFill="1" applyBorder="1"/>
    <xf numFmtId="10" fontId="32" fillId="0" borderId="89" xfId="4" applyNumberFormat="1" applyFont="1" applyFill="1" applyBorder="1"/>
    <xf numFmtId="10" fontId="32" fillId="0" borderId="108" xfId="4" applyNumberFormat="1" applyFont="1" applyFill="1" applyBorder="1"/>
    <xf numFmtId="0" fontId="32" fillId="0" borderId="13" xfId="1" applyFont="1" applyBorder="1"/>
    <xf numFmtId="5" fontId="124" fillId="0" borderId="0" xfId="0" applyNumberFormat="1" applyFont="1"/>
    <xf numFmtId="0" fontId="32" fillId="0" borderId="0" xfId="25455" applyFont="1"/>
    <xf numFmtId="0" fontId="32" fillId="0" borderId="0" xfId="25455" applyFont="1" applyFill="1" applyBorder="1"/>
    <xf numFmtId="10" fontId="124" fillId="0" borderId="55" xfId="0" applyNumberFormat="1" applyFont="1" applyFill="1" applyBorder="1"/>
    <xf numFmtId="190" fontId="124" fillId="0" borderId="0" xfId="0" applyNumberFormat="1" applyFont="1"/>
    <xf numFmtId="190" fontId="124" fillId="0" borderId="55" xfId="0" applyNumberFormat="1" applyFont="1" applyBorder="1"/>
    <xf numFmtId="185" fontId="124" fillId="0" borderId="55" xfId="0" applyNumberFormat="1" applyFont="1" applyBorder="1"/>
    <xf numFmtId="190" fontId="126" fillId="0" borderId="82" xfId="0" applyNumberFormat="1" applyFont="1" applyBorder="1"/>
    <xf numFmtId="168" fontId="126" fillId="0" borderId="0" xfId="0" applyNumberFormat="1" applyFont="1"/>
    <xf numFmtId="0" fontId="32" fillId="0" borderId="35" xfId="25276" applyFont="1" applyBorder="1"/>
    <xf numFmtId="0" fontId="32" fillId="0" borderId="0" xfId="25276" applyFont="1" applyBorder="1"/>
    <xf numFmtId="185" fontId="32" fillId="0" borderId="11" xfId="25276" applyNumberFormat="1" applyFont="1" applyFill="1" applyBorder="1"/>
    <xf numFmtId="0" fontId="32" fillId="0" borderId="35" xfId="25276" quotePrefix="1" applyFont="1" applyBorder="1" applyAlignment="1">
      <alignment horizontal="left" indent="1"/>
    </xf>
    <xf numFmtId="0" fontId="32" fillId="0" borderId="35" xfId="25276" quotePrefix="1" applyFont="1" applyBorder="1" applyAlignment="1">
      <alignment horizontal="left" indent="2"/>
    </xf>
    <xf numFmtId="185" fontId="32" fillId="86" borderId="11" xfId="24767" applyNumberFormat="1" applyFont="1" applyFill="1" applyBorder="1"/>
    <xf numFmtId="185" fontId="32" fillId="87" borderId="11" xfId="24767" applyNumberFormat="1" applyFont="1" applyFill="1" applyBorder="1"/>
    <xf numFmtId="185" fontId="124" fillId="0" borderId="0" xfId="0" applyNumberFormat="1" applyFont="1"/>
    <xf numFmtId="185" fontId="32" fillId="0" borderId="13" xfId="25276" applyNumberFormat="1" applyFont="1" applyFill="1" applyBorder="1"/>
    <xf numFmtId="185" fontId="32" fillId="0" borderId="52" xfId="25276" applyNumberFormat="1" applyFont="1" applyFill="1" applyBorder="1"/>
    <xf numFmtId="0" fontId="32" fillId="0" borderId="35" xfId="25276" applyFont="1" applyBorder="1" applyAlignment="1">
      <alignment horizontal="left" indent="1"/>
    </xf>
    <xf numFmtId="185" fontId="32" fillId="0" borderId="21" xfId="25276" applyNumberFormat="1" applyFont="1" applyFill="1" applyBorder="1"/>
    <xf numFmtId="185" fontId="123" fillId="0" borderId="51" xfId="25276" applyNumberFormat="1" applyFont="1" applyFill="1" applyBorder="1"/>
    <xf numFmtId="0" fontId="32" fillId="0" borderId="17" xfId="25276" applyFont="1" applyBorder="1"/>
    <xf numFmtId="0" fontId="32" fillId="0" borderId="12" xfId="25276" applyFont="1" applyBorder="1"/>
    <xf numFmtId="0" fontId="32" fillId="0" borderId="35" xfId="0" applyFont="1" applyBorder="1" applyAlignment="1" applyProtection="1">
      <alignment horizontal="left"/>
    </xf>
    <xf numFmtId="0" fontId="32" fillId="0" borderId="0" xfId="0" applyFont="1" applyBorder="1"/>
    <xf numFmtId="189" fontId="32" fillId="0" borderId="11" xfId="0" applyNumberFormat="1" applyFont="1" applyFill="1" applyBorder="1" applyProtection="1"/>
    <xf numFmtId="0" fontId="32" fillId="0" borderId="35" xfId="0" applyFont="1" applyBorder="1"/>
    <xf numFmtId="0" fontId="32" fillId="0" borderId="11" xfId="0" applyFont="1" applyFill="1" applyBorder="1"/>
    <xf numFmtId="0" fontId="32" fillId="0" borderId="54" xfId="0" applyFont="1" applyBorder="1" applyAlignment="1" applyProtection="1">
      <alignment horizontal="left"/>
    </xf>
    <xf numFmtId="0" fontId="32" fillId="0" borderId="55" xfId="0" applyFont="1" applyBorder="1"/>
    <xf numFmtId="0" fontId="32" fillId="0" borderId="56" xfId="0" applyFont="1" applyFill="1" applyBorder="1"/>
    <xf numFmtId="0" fontId="129" fillId="0" borderId="0" xfId="0" applyFont="1"/>
    <xf numFmtId="0" fontId="129" fillId="0" borderId="0" xfId="0" applyFont="1" applyBorder="1"/>
    <xf numFmtId="0" fontId="130" fillId="0" borderId="0" xfId="0" applyFont="1" applyBorder="1" applyAlignment="1">
      <alignment vertical="center"/>
    </xf>
    <xf numFmtId="37" fontId="32" fillId="0" borderId="0" xfId="25455" applyNumberFormat="1" applyFont="1"/>
    <xf numFmtId="37" fontId="124" fillId="0" borderId="0" xfId="0" applyNumberFormat="1" applyFont="1"/>
    <xf numFmtId="0" fontId="32" fillId="0" borderId="0" xfId="25455" quotePrefix="1" applyFont="1" applyFill="1" applyBorder="1" applyAlignment="1"/>
    <xf numFmtId="0" fontId="32" fillId="0" borderId="0" xfId="25455" quotePrefix="1" applyFont="1" applyFill="1" applyAlignment="1"/>
    <xf numFmtId="0" fontId="32" fillId="91" borderId="0" xfId="25455" quotePrefix="1" applyFont="1" applyFill="1" applyAlignment="1"/>
    <xf numFmtId="0" fontId="32" fillId="0" borderId="0" xfId="25455" applyFont="1" applyBorder="1" applyAlignment="1">
      <alignment horizontal="center"/>
    </xf>
    <xf numFmtId="0" fontId="32" fillId="0" borderId="11" xfId="25455" applyFont="1" applyBorder="1"/>
    <xf numFmtId="0" fontId="32" fillId="0" borderId="80" xfId="25455" applyFont="1" applyBorder="1"/>
    <xf numFmtId="164" fontId="32" fillId="0" borderId="79" xfId="25455" applyNumberFormat="1" applyFont="1" applyBorder="1" applyAlignment="1"/>
    <xf numFmtId="0" fontId="32" fillId="0" borderId="81" xfId="25455" applyFont="1" applyBorder="1"/>
    <xf numFmtId="0" fontId="32" fillId="0" borderId="0" xfId="25455" applyFont="1" applyBorder="1"/>
    <xf numFmtId="0" fontId="32" fillId="0" borderId="78" xfId="25455" applyFont="1" applyFill="1" applyBorder="1" applyAlignment="1">
      <alignment horizontal="center"/>
    </xf>
    <xf numFmtId="37" fontId="32" fillId="0" borderId="78" xfId="25455" applyNumberFormat="1" applyFont="1" applyFill="1" applyBorder="1" applyAlignment="1">
      <alignment horizontal="center"/>
    </xf>
    <xf numFmtId="0" fontId="32" fillId="0" borderId="78" xfId="25455" applyFont="1" applyBorder="1" applyAlignment="1">
      <alignment horizontal="center"/>
    </xf>
    <xf numFmtId="0" fontId="123" fillId="0" borderId="95" xfId="25455" applyFont="1" applyBorder="1" applyAlignment="1">
      <alignment horizontal="center"/>
    </xf>
    <xf numFmtId="0" fontId="32" fillId="0" borderId="35" xfId="25455" applyFont="1" applyBorder="1"/>
    <xf numFmtId="165" fontId="32" fillId="0" borderId="0" xfId="25455" applyNumberFormat="1" applyFont="1" applyBorder="1" applyAlignment="1"/>
    <xf numFmtId="0" fontId="32" fillId="0" borderId="89" xfId="25455" applyFont="1" applyFill="1" applyBorder="1" applyAlignment="1">
      <alignment horizontal="center"/>
    </xf>
    <xf numFmtId="0" fontId="32" fillId="0" borderId="11" xfId="25455" applyFont="1" applyFill="1" applyBorder="1" applyAlignment="1">
      <alignment horizontal="center"/>
    </xf>
    <xf numFmtId="0" fontId="32" fillId="0" borderId="15" xfId="25455" applyFont="1" applyFill="1" applyBorder="1" applyAlignment="1">
      <alignment horizontal="center"/>
    </xf>
    <xf numFmtId="37" fontId="32" fillId="0" borderId="15" xfId="25455" applyNumberFormat="1" applyFont="1" applyFill="1" applyBorder="1" applyAlignment="1">
      <alignment horizontal="center"/>
    </xf>
    <xf numFmtId="0" fontId="32" fillId="0" borderId="15" xfId="25455" applyFont="1" applyBorder="1" applyAlignment="1">
      <alignment horizontal="center"/>
    </xf>
    <xf numFmtId="0" fontId="123" fillId="0" borderId="65" xfId="25455" applyFont="1" applyBorder="1" applyAlignment="1">
      <alignment horizontal="center"/>
    </xf>
    <xf numFmtId="37" fontId="32" fillId="0" borderId="15" xfId="25455" applyNumberFormat="1" applyFont="1" applyBorder="1" applyAlignment="1">
      <alignment horizontal="center"/>
    </xf>
    <xf numFmtId="0" fontId="32" fillId="0" borderId="54" xfId="25455" applyFont="1" applyBorder="1"/>
    <xf numFmtId="0" fontId="123" fillId="0" borderId="55" xfId="25455" quotePrefix="1" applyFont="1" applyBorder="1"/>
    <xf numFmtId="0" fontId="32" fillId="0" borderId="56" xfId="25455" applyFont="1" applyBorder="1"/>
    <xf numFmtId="49" fontId="32" fillId="0" borderId="16" xfId="25455" applyNumberFormat="1" applyFont="1" applyBorder="1" applyAlignment="1">
      <alignment horizontal="center"/>
    </xf>
    <xf numFmtId="49" fontId="32" fillId="0" borderId="16" xfId="25455" applyNumberFormat="1" applyFont="1" applyFill="1" applyBorder="1" applyAlignment="1">
      <alignment horizontal="center"/>
    </xf>
    <xf numFmtId="37" fontId="32" fillId="0" borderId="16" xfId="25455" applyNumberFormat="1" applyFont="1" applyBorder="1" applyAlignment="1">
      <alignment horizontal="center"/>
    </xf>
    <xf numFmtId="0" fontId="32" fillId="0" borderId="55" xfId="25455" applyFont="1" applyBorder="1"/>
    <xf numFmtId="0" fontId="32" fillId="0" borderId="66" xfId="25455" applyFont="1" applyBorder="1"/>
    <xf numFmtId="0" fontId="32" fillId="0" borderId="16" xfId="25455" applyFont="1" applyBorder="1"/>
    <xf numFmtId="0" fontId="32" fillId="0" borderId="89" xfId="25455" applyFont="1" applyFill="1" applyBorder="1"/>
    <xf numFmtId="0" fontId="32" fillId="0" borderId="89" xfId="25455" applyFont="1" applyBorder="1"/>
    <xf numFmtId="37" fontId="32" fillId="0" borderId="16" xfId="25455" applyNumberFormat="1" applyFont="1" applyBorder="1"/>
    <xf numFmtId="0" fontId="32" fillId="0" borderId="14" xfId="25455" applyFont="1" applyBorder="1"/>
    <xf numFmtId="0" fontId="32" fillId="0" borderId="11" xfId="25455" applyFont="1" applyFill="1" applyBorder="1"/>
    <xf numFmtId="0" fontId="32" fillId="0" borderId="0" xfId="25455" applyFont="1" applyFill="1"/>
    <xf numFmtId="5" fontId="32" fillId="0" borderId="14" xfId="25457" applyNumberFormat="1" applyFont="1" applyFill="1" applyBorder="1">
      <alignment horizontal="right"/>
    </xf>
    <xf numFmtId="44" fontId="32" fillId="0" borderId="14" xfId="25457" applyNumberFormat="1" applyFont="1" applyFill="1" applyBorder="1">
      <alignment horizontal="right"/>
    </xf>
    <xf numFmtId="37" fontId="32" fillId="0" borderId="14" xfId="25457" applyNumberFormat="1" applyFont="1" applyFill="1" applyBorder="1">
      <alignment horizontal="right"/>
    </xf>
    <xf numFmtId="37" fontId="32" fillId="0" borderId="16" xfId="25456" applyNumberFormat="1" applyFont="1" applyFill="1" applyBorder="1"/>
    <xf numFmtId="37" fontId="32" fillId="86" borderId="14" xfId="25456" applyNumberFormat="1" applyFont="1" applyFill="1" applyBorder="1"/>
    <xf numFmtId="37" fontId="32" fillId="0" borderId="14" xfId="25456" applyNumberFormat="1" applyFont="1" applyFill="1" applyBorder="1"/>
    <xf numFmtId="37" fontId="32" fillId="87" borderId="14" xfId="25456" applyNumberFormat="1" applyFont="1" applyFill="1" applyBorder="1"/>
    <xf numFmtId="0" fontId="123" fillId="0" borderId="0" xfId="25455" applyFont="1" applyBorder="1"/>
    <xf numFmtId="0" fontId="123" fillId="0" borderId="11" xfId="25455" applyFont="1" applyBorder="1"/>
    <xf numFmtId="0" fontId="123" fillId="0" borderId="0" xfId="25455" applyFont="1"/>
    <xf numFmtId="5" fontId="123" fillId="0" borderId="51" xfId="25457" applyNumberFormat="1" applyFont="1" applyBorder="1">
      <alignment horizontal="right"/>
    </xf>
    <xf numFmtId="5" fontId="123" fillId="0" borderId="51" xfId="25457" applyNumberFormat="1" applyFont="1" applyFill="1" applyBorder="1">
      <alignment horizontal="right"/>
    </xf>
    <xf numFmtId="5" fontId="123" fillId="97" borderId="51" xfId="25457" applyNumberFormat="1" applyFont="1" applyFill="1" applyBorder="1">
      <alignment horizontal="right"/>
    </xf>
    <xf numFmtId="5" fontId="123" fillId="0" borderId="78" xfId="25457" applyNumberFormat="1" applyFont="1" applyBorder="1">
      <alignment horizontal="right"/>
    </xf>
    <xf numFmtId="5" fontId="123" fillId="0" borderId="78" xfId="25457" applyNumberFormat="1" applyFont="1" applyFill="1" applyBorder="1">
      <alignment horizontal="right"/>
    </xf>
    <xf numFmtId="5" fontId="123" fillId="97" borderId="78" xfId="25457" applyNumberFormat="1" applyFont="1" applyFill="1" applyBorder="1">
      <alignment horizontal="right"/>
    </xf>
    <xf numFmtId="5" fontId="123" fillId="0" borderId="15" xfId="25457" applyNumberFormat="1" applyFont="1" applyBorder="1">
      <alignment horizontal="right"/>
    </xf>
    <xf numFmtId="166" fontId="32" fillId="0" borderId="16" xfId="25456" applyNumberFormat="1" applyFont="1" applyBorder="1"/>
    <xf numFmtId="5" fontId="32" fillId="0" borderId="16" xfId="25457" applyNumberFormat="1" applyFont="1" applyBorder="1">
      <alignment horizontal="right"/>
    </xf>
    <xf numFmtId="5" fontId="32" fillId="86" borderId="14" xfId="25457" applyNumberFormat="1" applyFont="1" applyFill="1" applyBorder="1">
      <alignment horizontal="right"/>
    </xf>
    <xf numFmtId="41" fontId="32" fillId="86" borderId="14" xfId="25457" applyNumberFormat="1" applyFont="1" applyFill="1" applyBorder="1">
      <alignment horizontal="right"/>
    </xf>
    <xf numFmtId="5" fontId="32" fillId="87" borderId="14" xfId="25457" applyNumberFormat="1" applyFont="1" applyFill="1" applyBorder="1">
      <alignment horizontal="right"/>
    </xf>
    <xf numFmtId="5" fontId="128" fillId="87" borderId="14" xfId="25457" applyNumberFormat="1" applyFont="1" applyFill="1" applyBorder="1">
      <alignment horizontal="right"/>
    </xf>
    <xf numFmtId="37" fontId="32" fillId="86" borderId="14" xfId="25457" applyNumberFormat="1" applyFont="1" applyFill="1" applyBorder="1">
      <alignment horizontal="right"/>
    </xf>
    <xf numFmtId="5" fontId="32" fillId="0" borderId="14" xfId="25456" applyNumberFormat="1" applyFont="1" applyBorder="1"/>
    <xf numFmtId="182" fontId="32" fillId="86" borderId="14" xfId="25456" applyNumberFormat="1" applyFont="1" applyFill="1" applyBorder="1"/>
    <xf numFmtId="37" fontId="32" fillId="0" borderId="14" xfId="25456" applyNumberFormat="1" applyFont="1" applyBorder="1"/>
    <xf numFmtId="5" fontId="123" fillId="0" borderId="51" xfId="25456" applyNumberFormat="1" applyFont="1" applyBorder="1"/>
    <xf numFmtId="5" fontId="32" fillId="86" borderId="14" xfId="25456" applyNumberFormat="1" applyFont="1" applyFill="1" applyBorder="1"/>
    <xf numFmtId="5" fontId="32" fillId="87" borderId="14" xfId="25456" applyNumberFormat="1" applyFont="1" applyFill="1" applyBorder="1"/>
    <xf numFmtId="37" fontId="32" fillId="0" borderId="16" xfId="25456" applyNumberFormat="1" applyFont="1" applyBorder="1"/>
    <xf numFmtId="5" fontId="32" fillId="0" borderId="51" xfId="25457" applyNumberFormat="1" applyFont="1" applyBorder="1">
      <alignment horizontal="right"/>
    </xf>
    <xf numFmtId="5" fontId="123" fillId="0" borderId="64" xfId="25457" applyNumberFormat="1" applyFont="1" applyBorder="1">
      <alignment horizontal="right"/>
    </xf>
    <xf numFmtId="5" fontId="123" fillId="0" borderId="64" xfId="25457" applyNumberFormat="1" applyFont="1" applyFill="1" applyBorder="1">
      <alignment horizontal="right"/>
    </xf>
    <xf numFmtId="37" fontId="123" fillId="0" borderId="64" xfId="25457" applyNumberFormat="1" applyFont="1" applyBorder="1">
      <alignment horizontal="right"/>
    </xf>
    <xf numFmtId="5" fontId="123" fillId="0" borderId="64" xfId="25456" applyNumberFormat="1" applyFont="1" applyBorder="1"/>
    <xf numFmtId="5" fontId="123" fillId="0" borderId="35" xfId="25457" applyNumberFormat="1" applyFont="1" applyFill="1" applyBorder="1">
      <alignment horizontal="right"/>
    </xf>
    <xf numFmtId="166" fontId="32" fillId="0" borderId="16" xfId="25456" applyNumberFormat="1" applyFont="1" applyFill="1" applyBorder="1"/>
    <xf numFmtId="5" fontId="32" fillId="0" borderId="16" xfId="25456" applyNumberFormat="1" applyFont="1" applyBorder="1"/>
    <xf numFmtId="5" fontId="32" fillId="0" borderId="14" xfId="25457" applyNumberFormat="1" applyFont="1" applyBorder="1">
      <alignment horizontal="right"/>
    </xf>
    <xf numFmtId="37" fontId="32" fillId="86" borderId="16" xfId="25456" applyNumberFormat="1" applyFont="1" applyFill="1" applyBorder="1"/>
    <xf numFmtId="37" fontId="32" fillId="87" borderId="16" xfId="25456" applyNumberFormat="1" applyFont="1" applyFill="1" applyBorder="1"/>
    <xf numFmtId="5" fontId="32" fillId="0" borderId="51" xfId="25456" applyNumberFormat="1" applyFont="1" applyBorder="1"/>
    <xf numFmtId="5" fontId="32" fillId="0" borderId="51" xfId="25456" applyNumberFormat="1" applyFont="1" applyFill="1" applyBorder="1"/>
    <xf numFmtId="0" fontId="123" fillId="0" borderId="0" xfId="25455" applyFont="1" applyFill="1" applyBorder="1"/>
    <xf numFmtId="37" fontId="123" fillId="0" borderId="51" xfId="25457" applyNumberFormat="1" applyFont="1" applyBorder="1">
      <alignment horizontal="right"/>
    </xf>
    <xf numFmtId="183" fontId="123" fillId="0" borderId="51" xfId="25457" applyNumberFormat="1" applyFont="1" applyBorder="1">
      <alignment horizontal="right"/>
    </xf>
    <xf numFmtId="183" fontId="123" fillId="0" borderId="51" xfId="25457" applyNumberFormat="1" applyFont="1" applyFill="1" applyBorder="1">
      <alignment horizontal="right"/>
    </xf>
    <xf numFmtId="0" fontId="123" fillId="0" borderId="0" xfId="25455" applyFont="1" applyFill="1"/>
    <xf numFmtId="0" fontId="123" fillId="0" borderId="55" xfId="25455" applyFont="1" applyBorder="1"/>
    <xf numFmtId="0" fontId="123" fillId="0" borderId="55" xfId="25455" applyFont="1" applyFill="1" applyBorder="1"/>
    <xf numFmtId="0" fontId="123" fillId="0" borderId="56" xfId="25455" applyFont="1" applyBorder="1"/>
    <xf numFmtId="5" fontId="123" fillId="0" borderId="16" xfId="25455" applyNumberFormat="1" applyFont="1" applyBorder="1"/>
    <xf numFmtId="5" fontId="123" fillId="0" borderId="16" xfId="25455" applyNumberFormat="1" applyFont="1" applyFill="1" applyBorder="1"/>
    <xf numFmtId="5" fontId="123" fillId="97" borderId="16" xfId="25455" applyNumberFormat="1" applyFont="1" applyFill="1" applyBorder="1"/>
    <xf numFmtId="5" fontId="123" fillId="0" borderId="0" xfId="25455" applyNumberFormat="1" applyFont="1" applyFill="1"/>
    <xf numFmtId="6" fontId="32" fillId="0" borderId="0" xfId="25455" applyNumberFormat="1" applyFont="1"/>
    <xf numFmtId="6" fontId="124" fillId="0" borderId="0" xfId="0" applyNumberFormat="1" applyFont="1"/>
    <xf numFmtId="6" fontId="32" fillId="0" borderId="0" xfId="25455" applyNumberFormat="1" applyFont="1" applyFill="1" applyBorder="1"/>
    <xf numFmtId="194" fontId="32" fillId="0" borderId="0" xfId="25455" applyNumberFormat="1" applyFont="1" applyFill="1" applyBorder="1"/>
    <xf numFmtId="182" fontId="32" fillId="0" borderId="0" xfId="25455" applyNumberFormat="1" applyFont="1" applyFill="1" applyBorder="1"/>
    <xf numFmtId="37" fontId="32" fillId="0" borderId="0" xfId="25455" applyNumberFormat="1" applyFont="1" applyFill="1" applyBorder="1"/>
    <xf numFmtId="3" fontId="32" fillId="0" borderId="0" xfId="25456" applyNumberFormat="1" applyFont="1" applyFill="1" applyBorder="1"/>
    <xf numFmtId="43" fontId="32" fillId="0" borderId="0" xfId="25456" applyFont="1" applyFill="1" applyBorder="1"/>
    <xf numFmtId="2" fontId="32" fillId="0" borderId="0" xfId="25455" applyNumberFormat="1" applyFont="1" applyFill="1" applyBorder="1"/>
    <xf numFmtId="43" fontId="32" fillId="0" borderId="0" xfId="25455" applyNumberFormat="1" applyFont="1" applyFill="1" applyBorder="1"/>
    <xf numFmtId="37" fontId="32" fillId="0" borderId="0" xfId="25455" applyNumberFormat="1" applyFont="1" applyFill="1" applyBorder="1" applyAlignment="1">
      <alignment wrapText="1"/>
    </xf>
    <xf numFmtId="39" fontId="123" fillId="0" borderId="107" xfId="25744" applyNumberFormat="1" applyFont="1" applyBorder="1"/>
    <xf numFmtId="0" fontId="123" fillId="0" borderId="0" xfId="25752" applyFont="1" applyAlignment="1">
      <alignment horizontal="center" vertical="center" wrapText="1"/>
    </xf>
    <xf numFmtId="43" fontId="123" fillId="98" borderId="101" xfId="25744" applyFont="1" applyFill="1" applyBorder="1" applyAlignment="1">
      <alignment horizontal="center" vertical="center" wrapText="1"/>
    </xf>
    <xf numFmtId="43" fontId="123" fillId="98" borderId="0" xfId="25744" applyFont="1" applyFill="1" applyBorder="1" applyAlignment="1">
      <alignment horizontal="center" vertical="center" wrapText="1"/>
    </xf>
    <xf numFmtId="43" fontId="123" fillId="98" borderId="102" xfId="25744" applyFont="1" applyFill="1" applyBorder="1" applyAlignment="1">
      <alignment horizontal="center" vertical="center" wrapText="1"/>
    </xf>
    <xf numFmtId="43" fontId="123" fillId="99" borderId="0" xfId="25744" applyFont="1" applyFill="1" applyAlignment="1">
      <alignment horizontal="center" vertical="center" wrapText="1"/>
    </xf>
    <xf numFmtId="43" fontId="123" fillId="99" borderId="0" xfId="25744" applyFont="1" applyFill="1" applyBorder="1" applyAlignment="1">
      <alignment horizontal="center" vertical="center" wrapText="1"/>
    </xf>
    <xf numFmtId="43" fontId="123" fillId="0" borderId="0" xfId="25744" applyFont="1" applyFill="1" applyBorder="1" applyAlignment="1">
      <alignment horizontal="center" vertical="center" wrapText="1"/>
    </xf>
    <xf numFmtId="43" fontId="123" fillId="0" borderId="103" xfId="25744" applyFont="1" applyBorder="1" applyAlignment="1">
      <alignment horizontal="center" vertical="center" wrapText="1"/>
    </xf>
    <xf numFmtId="43" fontId="123" fillId="98" borderId="103" xfId="25744" applyFont="1" applyFill="1" applyBorder="1" applyAlignment="1">
      <alignment horizontal="center" vertical="center" wrapText="1"/>
    </xf>
    <xf numFmtId="43" fontId="123" fillId="99" borderId="103" xfId="25744" applyFont="1" applyFill="1" applyBorder="1" applyAlignment="1">
      <alignment horizontal="center" vertical="center" wrapText="1"/>
    </xf>
    <xf numFmtId="0" fontId="32" fillId="0" borderId="0" xfId="25796" applyFont="1"/>
    <xf numFmtId="43" fontId="32" fillId="98" borderId="101" xfId="25744" applyFont="1" applyFill="1" applyBorder="1"/>
    <xf numFmtId="43" fontId="32" fillId="98" borderId="0" xfId="25744" applyFont="1" applyFill="1" applyBorder="1"/>
    <xf numFmtId="43" fontId="32" fillId="98" borderId="102" xfId="25744" applyFont="1" applyFill="1" applyBorder="1"/>
    <xf numFmtId="43" fontId="32" fillId="99" borderId="0" xfId="25744" applyFont="1" applyFill="1"/>
    <xf numFmtId="14" fontId="32" fillId="0" borderId="0" xfId="25744" applyNumberFormat="1" applyFont="1" applyFill="1"/>
    <xf numFmtId="43" fontId="32" fillId="0" borderId="0" xfId="25744" applyFont="1" applyFill="1"/>
    <xf numFmtId="43" fontId="32" fillId="0" borderId="103" xfId="25744" applyFont="1" applyBorder="1"/>
    <xf numFmtId="39" fontId="32" fillId="0" borderId="0" xfId="25796" applyNumberFormat="1" applyFont="1"/>
    <xf numFmtId="43" fontId="32" fillId="98" borderId="103" xfId="25744" applyFont="1" applyFill="1" applyBorder="1"/>
    <xf numFmtId="43" fontId="32" fillId="99" borderId="103" xfId="25744" applyFont="1" applyFill="1" applyBorder="1"/>
    <xf numFmtId="39" fontId="32" fillId="0" borderId="0" xfId="25796" applyNumberFormat="1" applyFont="1" applyFill="1"/>
    <xf numFmtId="0" fontId="32" fillId="0" borderId="0" xfId="25796" applyFont="1" applyAlignment="1">
      <alignment horizontal="center"/>
    </xf>
    <xf numFmtId="43" fontId="32" fillId="98" borderId="89" xfId="25744" applyFont="1" applyFill="1" applyBorder="1"/>
    <xf numFmtId="0" fontId="32" fillId="0" borderId="0" xfId="25796" applyFont="1" applyFill="1"/>
    <xf numFmtId="43" fontId="32" fillId="0" borderId="101" xfId="25744" applyFont="1" applyFill="1" applyBorder="1"/>
    <xf numFmtId="43" fontId="32" fillId="0" borderId="0" xfId="25744" applyFont="1" applyFill="1" applyBorder="1"/>
    <xf numFmtId="43" fontId="32" fillId="0" borderId="102" xfId="25744" applyFont="1" applyFill="1" applyBorder="1"/>
    <xf numFmtId="43" fontId="32" fillId="0" borderId="103" xfId="25744" applyFont="1" applyFill="1" applyBorder="1"/>
    <xf numFmtId="43" fontId="32" fillId="89" borderId="103" xfId="25744" applyFont="1" applyFill="1" applyBorder="1"/>
    <xf numFmtId="0" fontId="32" fillId="0" borderId="0" xfId="25752" applyFont="1"/>
    <xf numFmtId="0" fontId="123" fillId="0" borderId="0" xfId="25752" applyFont="1" applyAlignment="1">
      <alignment horizontal="right"/>
    </xf>
    <xf numFmtId="43" fontId="32" fillId="98" borderId="104" xfId="25744" applyFont="1" applyFill="1" applyBorder="1"/>
    <xf numFmtId="43" fontId="32" fillId="98" borderId="79" xfId="25744" applyFont="1" applyFill="1" applyBorder="1"/>
    <xf numFmtId="43" fontId="32" fillId="98" borderId="105" xfId="25744" applyFont="1" applyFill="1" applyBorder="1"/>
    <xf numFmtId="43" fontId="32" fillId="99" borderId="79" xfId="25744" applyFont="1" applyFill="1" applyBorder="1"/>
    <xf numFmtId="43" fontId="32" fillId="0" borderId="79" xfId="25744" applyFont="1" applyFill="1" applyBorder="1"/>
    <xf numFmtId="43" fontId="32" fillId="0" borderId="106" xfId="25744" applyFont="1" applyBorder="1"/>
    <xf numFmtId="39" fontId="32" fillId="0" borderId="106" xfId="25744" applyNumberFormat="1" applyFont="1" applyBorder="1"/>
    <xf numFmtId="43" fontId="32" fillId="98" borderId="106" xfId="25744" applyFont="1" applyFill="1" applyBorder="1"/>
    <xf numFmtId="43" fontId="32" fillId="99" borderId="106" xfId="25744" applyFont="1" applyFill="1" applyBorder="1"/>
    <xf numFmtId="0" fontId="32" fillId="0" borderId="0" xfId="25752" applyFont="1" applyAlignment="1">
      <alignment horizontal="center"/>
    </xf>
    <xf numFmtId="43" fontId="32" fillId="99" borderId="0" xfId="25744" applyFont="1" applyFill="1" applyBorder="1"/>
    <xf numFmtId="39" fontId="32" fillId="0" borderId="0" xfId="25752" applyNumberFormat="1" applyFont="1"/>
    <xf numFmtId="43" fontId="32" fillId="0" borderId="0" xfId="25796" applyNumberFormat="1" applyFont="1"/>
    <xf numFmtId="39" fontId="32" fillId="0" borderId="103" xfId="25744" applyNumberFormat="1" applyFont="1" applyBorder="1"/>
    <xf numFmtId="39" fontId="123" fillId="0" borderId="106" xfId="25744" applyNumberFormat="1" applyFont="1" applyBorder="1"/>
    <xf numFmtId="43" fontId="32" fillId="0" borderId="0" xfId="25744" applyFont="1"/>
    <xf numFmtId="43" fontId="32" fillId="0" borderId="0" xfId="25744" applyFont="1" applyAlignment="1">
      <alignment horizontal="center"/>
    </xf>
    <xf numFmtId="0" fontId="32" fillId="0" borderId="0" xfId="25796" applyFont="1" applyAlignment="1">
      <alignment horizontal="right"/>
    </xf>
    <xf numFmtId="4" fontId="32" fillId="0" borderId="0" xfId="25796" applyNumberFormat="1" applyFont="1"/>
    <xf numFmtId="0" fontId="123" fillId="0" borderId="80" xfId="0" applyFont="1" applyBorder="1"/>
    <xf numFmtId="43" fontId="124" fillId="0" borderId="0" xfId="25747" applyNumberFormat="1" applyFont="1"/>
    <xf numFmtId="39" fontId="124" fillId="0" borderId="0" xfId="0" applyNumberFormat="1" applyFont="1"/>
    <xf numFmtId="43" fontId="126" fillId="0" borderId="0" xfId="0" applyNumberFormat="1" applyFont="1" applyAlignment="1">
      <alignment horizontal="center"/>
    </xf>
    <xf numFmtId="39" fontId="126" fillId="0" borderId="0" xfId="0" applyNumberFormat="1" applyFont="1" applyAlignment="1">
      <alignment horizontal="center"/>
    </xf>
    <xf numFmtId="43" fontId="126" fillId="0" borderId="0" xfId="25747" applyNumberFormat="1" applyFont="1" applyAlignment="1">
      <alignment horizontal="center"/>
    </xf>
    <xf numFmtId="0" fontId="32" fillId="0" borderId="79" xfId="0" applyFont="1" applyBorder="1"/>
    <xf numFmtId="0" fontId="32" fillId="92" borderId="0" xfId="0" applyFont="1" applyFill="1"/>
    <xf numFmtId="0" fontId="32" fillId="0" borderId="79" xfId="0" applyFont="1" applyBorder="1" applyAlignment="1">
      <alignment wrapText="1"/>
    </xf>
    <xf numFmtId="0" fontId="123" fillId="0" borderId="79" xfId="0" applyFont="1" applyBorder="1" applyAlignment="1">
      <alignment horizontal="center" wrapText="1"/>
    </xf>
    <xf numFmtId="0" fontId="123" fillId="0" borderId="0" xfId="0" applyFont="1" applyBorder="1" applyAlignment="1">
      <alignment horizontal="right"/>
    </xf>
    <xf numFmtId="10" fontId="32" fillId="0" borderId="0" xfId="25760" applyNumberFormat="1" applyFont="1" applyFill="1" applyBorder="1" applyAlignment="1" applyProtection="1">
      <alignment horizontal="center"/>
    </xf>
    <xf numFmtId="10" fontId="32" fillId="0" borderId="0" xfId="25760" applyNumberFormat="1" applyFont="1" applyFill="1" applyBorder="1" applyAlignment="1">
      <alignment horizontal="center"/>
    </xf>
    <xf numFmtId="43" fontId="32" fillId="0" borderId="78" xfId="25455" applyNumberFormat="1" applyFont="1" applyFill="1" applyBorder="1" applyAlignment="1">
      <alignment horizontal="center"/>
    </xf>
    <xf numFmtId="39" fontId="32" fillId="0" borderId="78" xfId="25455" applyNumberFormat="1" applyFont="1" applyFill="1" applyBorder="1" applyAlignment="1">
      <alignment horizontal="center"/>
    </xf>
    <xf numFmtId="43" fontId="32" fillId="0" borderId="78" xfId="25455" applyNumberFormat="1" applyFont="1" applyBorder="1" applyAlignment="1">
      <alignment horizontal="center"/>
    </xf>
    <xf numFmtId="43" fontId="32" fillId="0" borderId="78" xfId="25747" applyNumberFormat="1" applyFont="1" applyFill="1" applyBorder="1" applyAlignment="1">
      <alignment horizontal="center"/>
    </xf>
    <xf numFmtId="0" fontId="32" fillId="0" borderId="0" xfId="25455" applyFont="1" applyFill="1" applyBorder="1" applyAlignment="1">
      <alignment horizontal="center"/>
    </xf>
    <xf numFmtId="0" fontId="126" fillId="0" borderId="0" xfId="0" applyFont="1" applyFill="1" applyBorder="1" applyAlignment="1">
      <alignment horizontal="center"/>
    </xf>
    <xf numFmtId="43" fontId="32" fillId="0" borderId="15" xfId="25455" applyNumberFormat="1" applyFont="1" applyFill="1" applyBorder="1" applyAlignment="1">
      <alignment horizontal="center"/>
    </xf>
    <xf numFmtId="39" fontId="32" fillId="0" borderId="15" xfId="25455" applyNumberFormat="1" applyFont="1" applyFill="1" applyBorder="1" applyAlignment="1">
      <alignment horizontal="center"/>
    </xf>
    <xf numFmtId="43" fontId="32" fillId="0" borderId="15" xfId="25455" applyNumberFormat="1" applyFont="1" applyBorder="1" applyAlignment="1">
      <alignment horizontal="center"/>
    </xf>
    <xf numFmtId="43" fontId="32" fillId="0" borderId="15" xfId="25747" applyNumberFormat="1" applyFont="1" applyFill="1" applyBorder="1" applyAlignment="1">
      <alignment horizontal="center"/>
    </xf>
    <xf numFmtId="0" fontId="123" fillId="92" borderId="79" xfId="0" applyFont="1" applyFill="1" applyBorder="1" applyAlignment="1">
      <alignment horizontal="center"/>
    </xf>
    <xf numFmtId="39" fontId="123" fillId="92" borderId="89" xfId="25745" applyFont="1" applyFill="1" applyBorder="1" applyAlignment="1" applyProtection="1">
      <alignment horizontal="center" wrapText="1"/>
    </xf>
    <xf numFmtId="191" fontId="123" fillId="94" borderId="54" xfId="25745" applyNumberFormat="1" applyFont="1" applyFill="1" applyBorder="1" applyAlignment="1" applyProtection="1">
      <alignment horizontal="center" wrapText="1"/>
    </xf>
    <xf numFmtId="39" fontId="123" fillId="94" borderId="89" xfId="25745" applyFont="1" applyFill="1" applyBorder="1" applyAlignment="1" applyProtection="1">
      <alignment horizontal="center" wrapText="1"/>
    </xf>
    <xf numFmtId="39" fontId="123" fillId="94" borderId="56" xfId="25745" applyFont="1" applyFill="1" applyBorder="1" applyAlignment="1" applyProtection="1">
      <alignment horizontal="center" wrapText="1"/>
    </xf>
    <xf numFmtId="43" fontId="123" fillId="94" borderId="0" xfId="25745" applyNumberFormat="1" applyFont="1" applyFill="1" applyBorder="1" applyAlignment="1" applyProtection="1">
      <alignment horizontal="center" wrapText="1"/>
    </xf>
    <xf numFmtId="39" fontId="123" fillId="94" borderId="0" xfId="25745" applyNumberFormat="1" applyFont="1" applyFill="1" applyBorder="1" applyAlignment="1" applyProtection="1">
      <alignment horizontal="center" wrapText="1"/>
    </xf>
    <xf numFmtId="43" fontId="123" fillId="94" borderId="0" xfId="25747" applyNumberFormat="1" applyFont="1" applyFill="1" applyBorder="1" applyAlignment="1" applyProtection="1">
      <alignment horizontal="center" wrapText="1"/>
    </xf>
    <xf numFmtId="39" fontId="123" fillId="94" borderId="0" xfId="25745" applyFont="1" applyFill="1" applyBorder="1" applyAlignment="1" applyProtection="1">
      <alignment horizontal="center" wrapText="1"/>
    </xf>
    <xf numFmtId="39" fontId="123" fillId="0" borderId="35" xfId="25745" applyFont="1" applyBorder="1" applyAlignment="1" applyProtection="1">
      <alignment horizontal="left"/>
    </xf>
    <xf numFmtId="39" fontId="32" fillId="0" borderId="11" xfId="25745" applyFont="1" applyBorder="1"/>
    <xf numFmtId="0" fontId="32" fillId="92" borderId="0" xfId="0" applyFont="1" applyFill="1" applyBorder="1"/>
    <xf numFmtId="0" fontId="32" fillId="0" borderId="11" xfId="0" applyFont="1" applyBorder="1"/>
    <xf numFmtId="39" fontId="32" fillId="0" borderId="35" xfId="25745" applyFont="1" applyBorder="1" applyAlignment="1" applyProtection="1">
      <alignment horizontal="center"/>
    </xf>
    <xf numFmtId="39" fontId="32" fillId="0" borderId="11" xfId="25745" applyFont="1" applyBorder="1" applyAlignment="1" applyProtection="1">
      <alignment horizontal="left"/>
    </xf>
    <xf numFmtId="43" fontId="32" fillId="92" borderId="0" xfId="0" applyNumberFormat="1" applyFont="1" applyFill="1" applyBorder="1"/>
    <xf numFmtId="43" fontId="32" fillId="0" borderId="35" xfId="0" applyNumberFormat="1" applyFont="1" applyBorder="1"/>
    <xf numFmtId="39" fontId="32" fillId="0" borderId="0" xfId="0" applyNumberFormat="1" applyFont="1" applyBorder="1"/>
    <xf numFmtId="43" fontId="32" fillId="0" borderId="11" xfId="0" applyNumberFormat="1" applyFont="1" applyBorder="1"/>
    <xf numFmtId="4" fontId="124" fillId="0" borderId="0" xfId="0" applyNumberFormat="1" applyFont="1"/>
    <xf numFmtId="43" fontId="32" fillId="92" borderId="53" xfId="0" applyNumberFormat="1" applyFont="1" applyFill="1" applyBorder="1"/>
    <xf numFmtId="43" fontId="32" fillId="0" borderId="84" xfId="0" applyNumberFormat="1" applyFont="1" applyBorder="1"/>
    <xf numFmtId="39" fontId="32" fillId="0" borderId="53" xfId="0" applyNumberFormat="1" applyFont="1" applyBorder="1"/>
    <xf numFmtId="43" fontId="32" fillId="0" borderId="85" xfId="0" applyNumberFormat="1" applyFont="1" applyBorder="1"/>
    <xf numFmtId="39" fontId="32" fillId="0" borderId="85" xfId="0" applyNumberFormat="1" applyFont="1" applyBorder="1"/>
    <xf numFmtId="43" fontId="32" fillId="0" borderId="85" xfId="25747" applyNumberFormat="1" applyFont="1" applyBorder="1"/>
    <xf numFmtId="39" fontId="32" fillId="0" borderId="35" xfId="25745" applyFont="1" applyBorder="1" applyAlignment="1" applyProtection="1">
      <alignment horizontal="left"/>
    </xf>
    <xf numFmtId="43" fontId="32" fillId="0" borderId="0" xfId="0" applyNumberFormat="1" applyFont="1" applyBorder="1"/>
    <xf numFmtId="39" fontId="32" fillId="0" borderId="35" xfId="25745" quotePrefix="1" applyFont="1" applyBorder="1" applyAlignment="1" applyProtection="1">
      <alignment horizontal="center"/>
    </xf>
    <xf numFmtId="43" fontId="32" fillId="0" borderId="35" xfId="0" applyNumberFormat="1" applyFont="1" applyFill="1" applyBorder="1"/>
    <xf numFmtId="43" fontId="32" fillId="0" borderId="11" xfId="0" applyNumberFormat="1" applyFont="1" applyFill="1" applyBorder="1"/>
    <xf numFmtId="39" fontId="32" fillId="0" borderId="35" xfId="0" applyNumberFormat="1" applyFont="1" applyBorder="1"/>
    <xf numFmtId="39" fontId="32" fillId="92" borderId="0" xfId="0" applyNumberFormat="1" applyFont="1" applyFill="1" applyBorder="1"/>
    <xf numFmtId="39" fontId="32" fillId="0" borderId="11" xfId="0" applyNumberFormat="1" applyFont="1" applyBorder="1"/>
    <xf numFmtId="43" fontId="32" fillId="0" borderId="53" xfId="0" applyNumberFormat="1" applyFont="1" applyBorder="1"/>
    <xf numFmtId="43" fontId="32" fillId="92" borderId="82" xfId="0" applyNumberFormat="1" applyFont="1" applyFill="1" applyBorder="1"/>
    <xf numFmtId="43" fontId="32" fillId="0" borderId="87" xfId="0" applyNumberFormat="1" applyFont="1" applyBorder="1"/>
    <xf numFmtId="43" fontId="32" fillId="0" borderId="82" xfId="0" applyNumberFormat="1" applyFont="1" applyBorder="1"/>
    <xf numFmtId="43" fontId="32" fillId="0" borderId="86" xfId="0" applyNumberFormat="1" applyFont="1" applyBorder="1"/>
    <xf numFmtId="39" fontId="32" fillId="0" borderId="86" xfId="0" applyNumberFormat="1" applyFont="1" applyBorder="1"/>
    <xf numFmtId="43" fontId="32" fillId="0" borderId="86" xfId="25747" applyNumberFormat="1" applyFont="1" applyBorder="1"/>
    <xf numFmtId="39" fontId="32" fillId="0" borderId="35" xfId="25745" applyFont="1" applyBorder="1"/>
    <xf numFmtId="181" fontId="32" fillId="0" borderId="35" xfId="0" applyNumberFormat="1" applyFont="1" applyBorder="1"/>
    <xf numFmtId="39" fontId="123" fillId="0" borderId="11" xfId="25745" applyFont="1" applyBorder="1"/>
    <xf numFmtId="39" fontId="32" fillId="92" borderId="53" xfId="0" applyNumberFormat="1" applyFont="1" applyFill="1" applyBorder="1"/>
    <xf numFmtId="39" fontId="32" fillId="0" borderId="84" xfId="0" applyNumberFormat="1" applyFont="1" applyBorder="1"/>
    <xf numFmtId="43" fontId="32" fillId="0" borderId="11" xfId="25747" applyNumberFormat="1" applyFont="1" applyBorder="1"/>
    <xf numFmtId="43" fontId="32" fillId="92" borderId="89" xfId="0" applyNumberFormat="1" applyFont="1" applyFill="1" applyBorder="1"/>
    <xf numFmtId="43" fontId="32" fillId="0" borderId="54" xfId="0" applyNumberFormat="1" applyFont="1" applyBorder="1"/>
    <xf numFmtId="39" fontId="32" fillId="0" borderId="89" xfId="0" applyNumberFormat="1" applyFont="1" applyBorder="1"/>
    <xf numFmtId="43" fontId="32" fillId="0" borderId="56" xfId="0" applyNumberFormat="1" applyFont="1" applyBorder="1"/>
    <xf numFmtId="39" fontId="32" fillId="0" borderId="56" xfId="0" applyNumberFormat="1" applyFont="1" applyBorder="1"/>
    <xf numFmtId="43" fontId="32" fillId="0" borderId="56" xfId="25747" applyNumberFormat="1" applyFont="1" applyBorder="1"/>
    <xf numFmtId="39" fontId="32" fillId="0" borderId="82" xfId="0" applyNumberFormat="1" applyFont="1" applyBorder="1"/>
    <xf numFmtId="49" fontId="32" fillId="0" borderId="35" xfId="25745" applyNumberFormat="1" applyFont="1" applyBorder="1" applyAlignment="1" applyProtection="1">
      <alignment horizontal="center"/>
    </xf>
    <xf numFmtId="8" fontId="124" fillId="0" borderId="0" xfId="0" applyNumberFormat="1" applyFont="1"/>
    <xf numFmtId="39" fontId="123" fillId="0" borderId="11" xfId="25745" applyFont="1" applyBorder="1" applyAlignment="1">
      <alignment horizontal="left" indent="2"/>
    </xf>
    <xf numFmtId="43" fontId="32" fillId="0" borderId="0" xfId="0" applyNumberFormat="1" applyFont="1" applyFill="1" applyBorder="1"/>
    <xf numFmtId="43" fontId="32" fillId="0" borderId="89" xfId="0" applyNumberFormat="1" applyFont="1" applyBorder="1"/>
    <xf numFmtId="5" fontId="32" fillId="0" borderId="0" xfId="0" applyNumberFormat="1" applyFont="1" applyFill="1"/>
    <xf numFmtId="39" fontId="123" fillId="0" borderId="35" xfId="25745" applyFont="1" applyBorder="1" applyAlignment="1" applyProtection="1">
      <alignment horizontal="center"/>
    </xf>
    <xf numFmtId="43" fontId="32" fillId="0" borderId="54" xfId="0" applyNumberFormat="1" applyFont="1" applyFill="1" applyBorder="1"/>
    <xf numFmtId="43" fontId="32" fillId="0" borderId="89" xfId="0" applyNumberFormat="1" applyFont="1" applyFill="1" applyBorder="1"/>
    <xf numFmtId="43" fontId="32" fillId="0" borderId="56" xfId="0" applyNumberFormat="1" applyFont="1" applyFill="1" applyBorder="1"/>
    <xf numFmtId="39" fontId="32" fillId="0" borderId="35" xfId="25745" applyFont="1" applyFill="1" applyBorder="1"/>
    <xf numFmtId="39" fontId="32" fillId="0" borderId="11" xfId="25745" applyFont="1" applyFill="1" applyBorder="1"/>
    <xf numFmtId="39" fontId="32" fillId="0" borderId="11" xfId="0" applyNumberFormat="1" applyFont="1" applyFill="1" applyBorder="1"/>
    <xf numFmtId="39" fontId="32" fillId="0" borderId="35" xfId="0" applyNumberFormat="1" applyFont="1" applyFill="1" applyBorder="1"/>
    <xf numFmtId="39" fontId="32" fillId="0" borderId="35" xfId="25745" applyFont="1" applyFill="1" applyBorder="1" applyAlignment="1" applyProtection="1">
      <alignment horizontal="center"/>
    </xf>
    <xf numFmtId="39" fontId="32" fillId="0" borderId="11" xfId="25745" applyFont="1" applyFill="1" applyBorder="1" applyAlignment="1" applyProtection="1">
      <alignment horizontal="left"/>
    </xf>
    <xf numFmtId="43" fontId="32" fillId="92" borderId="83" xfId="0" applyNumberFormat="1" applyFont="1" applyFill="1" applyBorder="1"/>
    <xf numFmtId="43" fontId="32" fillId="0" borderId="90" xfId="0" applyNumberFormat="1" applyFont="1" applyBorder="1"/>
    <xf numFmtId="43" fontId="32" fillId="0" borderId="83" xfId="0" applyNumberFormat="1" applyFont="1" applyBorder="1"/>
    <xf numFmtId="43" fontId="32" fillId="0" borderId="91" xfId="0" applyNumberFormat="1" applyFont="1" applyBorder="1"/>
    <xf numFmtId="39" fontId="32" fillId="0" borderId="91" xfId="0" applyNumberFormat="1" applyFont="1" applyBorder="1"/>
    <xf numFmtId="43" fontId="32" fillId="0" borderId="91" xfId="25747" applyNumberFormat="1" applyFont="1" applyBorder="1"/>
    <xf numFmtId="195" fontId="124" fillId="0" borderId="0" xfId="0" applyNumberFormat="1" applyFont="1"/>
    <xf numFmtId="39" fontId="32" fillId="0" borderId="0" xfId="0" applyNumberFormat="1" applyFont="1" applyFill="1" applyBorder="1"/>
    <xf numFmtId="181" fontId="32" fillId="0" borderId="35" xfId="25745" applyNumberFormat="1" applyFont="1" applyBorder="1" applyAlignment="1" applyProtection="1">
      <alignment horizontal="center"/>
    </xf>
    <xf numFmtId="39" fontId="123" fillId="0" borderId="35" xfId="25745" applyFont="1" applyFill="1" applyBorder="1" applyAlignment="1" applyProtection="1">
      <alignment horizontal="left"/>
    </xf>
    <xf numFmtId="39" fontId="32" fillId="86" borderId="35" xfId="25745" applyFont="1" applyFill="1" applyBorder="1" applyAlignment="1" applyProtection="1">
      <alignment horizontal="center"/>
    </xf>
    <xf numFmtId="39" fontId="32" fillId="86" borderId="11" xfId="25745" applyFont="1" applyFill="1" applyBorder="1" applyAlignment="1" applyProtection="1">
      <alignment horizontal="left"/>
    </xf>
    <xf numFmtId="39" fontId="123" fillId="0" borderId="54" xfId="25745" applyFont="1" applyBorder="1" applyAlignment="1" applyProtection="1">
      <alignment horizontal="left"/>
    </xf>
    <xf numFmtId="39" fontId="32" fillId="0" borderId="56" xfId="25745" applyFont="1" applyBorder="1"/>
    <xf numFmtId="43" fontId="124" fillId="0" borderId="89" xfId="0" applyNumberFormat="1" applyFont="1" applyBorder="1"/>
    <xf numFmtId="6" fontId="124" fillId="0" borderId="0" xfId="0" applyNumberFormat="1" applyFont="1" applyFill="1"/>
    <xf numFmtId="6" fontId="124" fillId="0" borderId="89" xfId="0" applyNumberFormat="1" applyFont="1" applyFill="1" applyBorder="1"/>
    <xf numFmtId="6" fontId="126" fillId="0" borderId="53" xfId="0" applyNumberFormat="1" applyFont="1" applyBorder="1"/>
    <xf numFmtId="0" fontId="123" fillId="0" borderId="53" xfId="0" applyFont="1" applyBorder="1"/>
    <xf numFmtId="0" fontId="123" fillId="0" borderId="0" xfId="0" applyFont="1"/>
    <xf numFmtId="0" fontId="123" fillId="0" borderId="0" xfId="0" applyFont="1" applyBorder="1"/>
    <xf numFmtId="43" fontId="124" fillId="0" borderId="0" xfId="25768" applyFont="1"/>
    <xf numFmtId="49" fontId="124" fillId="0" borderId="0" xfId="0" applyNumberFormat="1" applyFont="1"/>
    <xf numFmtId="0" fontId="131" fillId="0" borderId="53" xfId="0" applyFont="1" applyBorder="1"/>
    <xf numFmtId="0" fontId="131" fillId="0" borderId="53" xfId="0" applyFont="1" applyBorder="1" applyAlignment="1">
      <alignment horizontal="center"/>
    </xf>
    <xf numFmtId="43" fontId="131" fillId="0" borderId="53" xfId="25768" applyFont="1" applyBorder="1"/>
    <xf numFmtId="0" fontId="131" fillId="0" borderId="0" xfId="0" applyFont="1" applyBorder="1"/>
    <xf numFmtId="43" fontId="131" fillId="0" borderId="0" xfId="25768" applyFont="1" applyBorder="1"/>
    <xf numFmtId="0" fontId="131" fillId="0" borderId="83" xfId="0" applyFont="1" applyBorder="1"/>
    <xf numFmtId="0" fontId="131" fillId="0" borderId="83" xfId="0" applyFont="1" applyBorder="1" applyAlignment="1">
      <alignment horizontal="center"/>
    </xf>
    <xf numFmtId="43" fontId="131" fillId="0" borderId="83" xfId="0" applyNumberFormat="1" applyFont="1" applyFill="1" applyBorder="1"/>
    <xf numFmtId="43" fontId="131" fillId="0" borderId="83" xfId="0" applyNumberFormat="1" applyFont="1" applyBorder="1"/>
    <xf numFmtId="0" fontId="32" fillId="0" borderId="0" xfId="0" applyFont="1" applyAlignment="1">
      <alignment horizontal="left"/>
    </xf>
    <xf numFmtId="44" fontId="124" fillId="0" borderId="0" xfId="25753" applyFont="1"/>
    <xf numFmtId="0" fontId="32" fillId="0" borderId="0" xfId="0" applyFont="1" applyAlignment="1">
      <alignment horizontal="right"/>
    </xf>
    <xf numFmtId="10" fontId="124" fillId="0" borderId="0" xfId="0" applyNumberFormat="1" applyFont="1"/>
    <xf numFmtId="43" fontId="124" fillId="95" borderId="0" xfId="25768" applyFont="1" applyFill="1"/>
    <xf numFmtId="49" fontId="124" fillId="0" borderId="96" xfId="0" applyNumberFormat="1" applyFont="1" applyBorder="1" applyAlignment="1">
      <alignment horizontal="center"/>
    </xf>
    <xf numFmtId="49" fontId="124" fillId="0" borderId="97" xfId="0" applyNumberFormat="1" applyFont="1" applyBorder="1" applyAlignment="1">
      <alignment horizontal="center"/>
    </xf>
    <xf numFmtId="49" fontId="124" fillId="0" borderId="98" xfId="0" applyNumberFormat="1" applyFont="1" applyBorder="1" applyAlignment="1">
      <alignment horizontal="center"/>
    </xf>
    <xf numFmtId="49" fontId="124" fillId="0" borderId="0" xfId="0" applyNumberFormat="1" applyFont="1" applyFill="1" applyBorder="1" applyAlignment="1">
      <alignment horizontal="center"/>
    </xf>
    <xf numFmtId="49" fontId="124" fillId="0" borderId="92" xfId="0" applyNumberFormat="1" applyFont="1" applyBorder="1" applyAlignment="1">
      <alignment horizontal="center"/>
    </xf>
    <xf numFmtId="49" fontId="124" fillId="0" borderId="0" xfId="0" applyNumberFormat="1" applyFont="1" applyBorder="1" applyAlignment="1">
      <alignment horizontal="center"/>
    </xf>
    <xf numFmtId="49" fontId="124" fillId="0" borderId="93" xfId="0" applyNumberFormat="1" applyFont="1" applyBorder="1" applyAlignment="1">
      <alignment horizontal="center"/>
    </xf>
    <xf numFmtId="0" fontId="124" fillId="92" borderId="92" xfId="0" applyFont="1" applyFill="1" applyBorder="1"/>
    <xf numFmtId="0" fontId="124" fillId="92" borderId="0" xfId="0" applyFont="1" applyFill="1" applyBorder="1"/>
    <xf numFmtId="0" fontId="124" fillId="92" borderId="93" xfId="0" applyFont="1" applyFill="1" applyBorder="1"/>
    <xf numFmtId="0" fontId="124" fillId="0" borderId="92" xfId="0" applyFont="1" applyBorder="1"/>
    <xf numFmtId="10" fontId="124" fillId="0" borderId="0" xfId="25795" applyNumberFormat="1" applyFont="1" applyBorder="1"/>
    <xf numFmtId="0" fontId="124" fillId="0" borderId="92" xfId="0" applyFont="1" applyBorder="1" applyAlignment="1">
      <alignment wrapText="1"/>
    </xf>
    <xf numFmtId="0" fontId="126" fillId="0" borderId="89" xfId="0" applyFont="1" applyBorder="1" applyAlignment="1">
      <alignment horizontal="center" wrapText="1"/>
    </xf>
    <xf numFmtId="0" fontId="126" fillId="0" borderId="109" xfId="0" applyFont="1" applyBorder="1" applyAlignment="1">
      <alignment horizontal="center" wrapText="1"/>
    </xf>
    <xf numFmtId="0" fontId="124" fillId="0" borderId="0" xfId="0" applyFont="1" applyBorder="1" applyAlignment="1">
      <alignment wrapText="1"/>
    </xf>
    <xf numFmtId="0" fontId="124" fillId="0" borderId="93" xfId="0" applyFont="1" applyBorder="1" applyAlignment="1">
      <alignment wrapText="1"/>
    </xf>
    <xf numFmtId="166" fontId="124" fillId="0" borderId="92" xfId="25744" applyNumberFormat="1" applyFont="1" applyBorder="1"/>
    <xf numFmtId="166" fontId="124" fillId="0" borderId="0" xfId="25744" applyNumberFormat="1" applyFont="1" applyBorder="1"/>
    <xf numFmtId="166" fontId="124" fillId="0" borderId="93" xfId="25744" applyNumberFormat="1" applyFont="1" applyBorder="1"/>
    <xf numFmtId="166" fontId="124" fillId="0" borderId="0" xfId="25744" applyNumberFormat="1" applyFont="1" applyFill="1" applyBorder="1"/>
    <xf numFmtId="166" fontId="124" fillId="100" borderId="92" xfId="25744" applyNumberFormat="1" applyFont="1" applyFill="1" applyBorder="1"/>
    <xf numFmtId="166" fontId="124" fillId="100" borderId="0" xfId="25744" applyNumberFormat="1" applyFont="1" applyFill="1" applyBorder="1"/>
    <xf numFmtId="166" fontId="124" fillId="100" borderId="93" xfId="25744" applyNumberFormat="1" applyFont="1" applyFill="1" applyBorder="1"/>
    <xf numFmtId="6" fontId="124" fillId="0" borderId="99" xfId="0" applyNumberFormat="1" applyFont="1" applyBorder="1"/>
    <xf numFmtId="166" fontId="126" fillId="0" borderId="110" xfId="25744" applyNumberFormat="1" applyFont="1" applyBorder="1"/>
    <xf numFmtId="166" fontId="126" fillId="0" borderId="83" xfId="25744" applyNumberFormat="1" applyFont="1" applyBorder="1"/>
    <xf numFmtId="166" fontId="126" fillId="0" borderId="111" xfId="25744" applyNumberFormat="1" applyFont="1" applyBorder="1"/>
    <xf numFmtId="6" fontId="124" fillId="0" borderId="112" xfId="0" applyNumberFormat="1" applyFont="1" applyBorder="1"/>
    <xf numFmtId="6" fontId="124" fillId="95" borderId="94" xfId="0" applyNumberFormat="1" applyFont="1" applyFill="1" applyBorder="1"/>
    <xf numFmtId="6" fontId="124" fillId="0" borderId="94" xfId="0" applyNumberFormat="1" applyFont="1" applyBorder="1"/>
    <xf numFmtId="41" fontId="124" fillId="0" borderId="0" xfId="0" applyNumberFormat="1" applyFont="1"/>
    <xf numFmtId="166" fontId="124" fillId="102" borderId="92" xfId="25744" applyNumberFormat="1" applyFont="1" applyFill="1" applyBorder="1"/>
    <xf numFmtId="166" fontId="124" fillId="102" borderId="0" xfId="25744" applyNumberFormat="1" applyFont="1" applyFill="1" applyBorder="1"/>
    <xf numFmtId="166" fontId="124" fillId="102" borderId="93" xfId="25744" applyNumberFormat="1" applyFont="1" applyFill="1" applyBorder="1"/>
    <xf numFmtId="0" fontId="124" fillId="102" borderId="92" xfId="0" applyFont="1" applyFill="1" applyBorder="1"/>
    <xf numFmtId="49" fontId="124" fillId="102" borderId="0" xfId="0" applyNumberFormat="1" applyFont="1" applyFill="1" applyBorder="1" applyAlignment="1">
      <alignment horizontal="center"/>
    </xf>
    <xf numFmtId="49" fontId="124" fillId="102" borderId="93" xfId="0" applyNumberFormat="1" applyFont="1" applyFill="1" applyBorder="1" applyAlignment="1">
      <alignment horizontal="center"/>
    </xf>
    <xf numFmtId="166" fontId="124" fillId="90" borderId="92" xfId="25744" applyNumberFormat="1" applyFont="1" applyFill="1" applyBorder="1"/>
    <xf numFmtId="166" fontId="124" fillId="90" borderId="0" xfId="25744" applyNumberFormat="1" applyFont="1" applyFill="1" applyBorder="1"/>
    <xf numFmtId="166" fontId="124" fillId="90" borderId="93" xfId="25744" applyNumberFormat="1" applyFont="1" applyFill="1" applyBorder="1"/>
    <xf numFmtId="166" fontId="124" fillId="101" borderId="0" xfId="25744" applyNumberFormat="1" applyFont="1" applyFill="1" applyBorder="1"/>
    <xf numFmtId="166" fontId="124" fillId="101" borderId="93" xfId="25744" applyNumberFormat="1" applyFont="1" applyFill="1" applyBorder="1"/>
    <xf numFmtId="166" fontId="124" fillId="101" borderId="109" xfId="25744" applyNumberFormat="1" applyFont="1" applyFill="1" applyBorder="1"/>
    <xf numFmtId="38" fontId="132" fillId="0" borderId="0" xfId="0" applyNumberFormat="1" applyFont="1"/>
    <xf numFmtId="38" fontId="124" fillId="0" borderId="96" xfId="0" applyNumberFormat="1" applyFont="1" applyBorder="1"/>
    <xf numFmtId="38" fontId="124" fillId="0" borderId="97" xfId="0" applyNumberFormat="1" applyFont="1" applyBorder="1"/>
    <xf numFmtId="38" fontId="124" fillId="0" borderId="98" xfId="0" applyNumberFormat="1" applyFont="1" applyBorder="1"/>
    <xf numFmtId="38" fontId="124" fillId="0" borderId="92" xfId="0" applyNumberFormat="1" applyFont="1" applyBorder="1"/>
    <xf numFmtId="38" fontId="124" fillId="0" borderId="0" xfId="0" applyNumberFormat="1" applyFont="1" applyBorder="1"/>
    <xf numFmtId="38" fontId="124" fillId="0" borderId="93" xfId="0" applyNumberFormat="1" applyFont="1" applyBorder="1"/>
    <xf numFmtId="38" fontId="124" fillId="0" borderId="113" xfId="0" applyNumberFormat="1" applyFont="1" applyBorder="1"/>
    <xf numFmtId="38" fontId="124" fillId="0" borderId="114" xfId="0" applyNumberFormat="1" applyFont="1" applyBorder="1"/>
    <xf numFmtId="40" fontId="124" fillId="0" borderId="92" xfId="0" applyNumberFormat="1" applyFont="1" applyBorder="1"/>
    <xf numFmtId="38" fontId="124" fillId="0" borderId="99" xfId="0" applyNumberFormat="1" applyFont="1" applyBorder="1"/>
    <xf numFmtId="38" fontId="124" fillId="0" borderId="49" xfId="0" applyNumberFormat="1" applyFont="1" applyBorder="1"/>
    <xf numFmtId="38" fontId="124" fillId="0" borderId="100" xfId="0" applyNumberFormat="1" applyFont="1" applyBorder="1"/>
    <xf numFmtId="3" fontId="124" fillId="0" borderId="0" xfId="0" applyNumberFormat="1" applyFont="1"/>
    <xf numFmtId="0" fontId="124" fillId="0" borderId="80" xfId="0" applyFont="1" applyBorder="1"/>
    <xf numFmtId="0" fontId="124" fillId="0" borderId="79" xfId="0" applyFont="1" applyBorder="1"/>
    <xf numFmtId="0" fontId="124" fillId="0" borderId="79" xfId="0" applyFont="1" applyBorder="1" applyAlignment="1">
      <alignment horizontal="center"/>
    </xf>
    <xf numFmtId="0" fontId="124" fillId="0" borderId="81" xfId="0" applyFont="1" applyBorder="1"/>
    <xf numFmtId="0" fontId="124" fillId="0" borderId="35" xfId="0" applyFont="1" applyBorder="1"/>
    <xf numFmtId="0" fontId="126" fillId="0" borderId="0" xfId="0" applyFont="1" applyBorder="1" applyAlignment="1">
      <alignment horizontal="center"/>
    </xf>
    <xf numFmtId="0" fontId="124" fillId="0" borderId="11" xfId="0" applyFont="1" applyBorder="1"/>
    <xf numFmtId="0" fontId="124" fillId="0" borderId="54" xfId="0" applyFont="1" applyBorder="1"/>
    <xf numFmtId="0" fontId="124" fillId="0" borderId="89" xfId="0" applyFont="1" applyBorder="1"/>
    <xf numFmtId="0" fontId="124" fillId="0" borderId="89" xfId="0" applyFont="1" applyBorder="1" applyAlignment="1">
      <alignment horizontal="center"/>
    </xf>
    <xf numFmtId="0" fontId="124" fillId="0" borderId="56" xfId="0" applyFont="1" applyBorder="1"/>
    <xf numFmtId="0" fontId="124" fillId="0" borderId="78" xfId="0" applyFont="1" applyBorder="1"/>
    <xf numFmtId="0" fontId="124" fillId="0" borderId="15" xfId="0" applyFont="1" applyBorder="1" applyAlignment="1">
      <alignment horizontal="center"/>
    </xf>
    <xf numFmtId="0" fontId="124" fillId="0" borderId="16" xfId="0" applyFont="1" applyBorder="1" applyAlignment="1">
      <alignment horizontal="center"/>
    </xf>
    <xf numFmtId="0" fontId="124" fillId="0" borderId="14" xfId="0" applyFont="1" applyBorder="1" applyAlignment="1">
      <alignment horizontal="center"/>
    </xf>
    <xf numFmtId="0" fontId="124" fillId="0" borderId="53" xfId="0" applyFont="1" applyBorder="1" applyAlignment="1">
      <alignment horizontal="center"/>
    </xf>
    <xf numFmtId="0" fontId="124" fillId="0" borderId="15" xfId="0" applyFont="1" applyBorder="1"/>
    <xf numFmtId="43" fontId="124" fillId="0" borderId="16" xfId="0" applyNumberFormat="1" applyFont="1" applyBorder="1"/>
    <xf numFmtId="6" fontId="124" fillId="0" borderId="15" xfId="0" applyNumberFormat="1" applyFont="1" applyBorder="1"/>
    <xf numFmtId="43" fontId="124" fillId="0" borderId="15" xfId="0" applyNumberFormat="1" applyFont="1" applyBorder="1"/>
    <xf numFmtId="6" fontId="124" fillId="0" borderId="14" xfId="0" applyNumberFormat="1" applyFont="1" applyBorder="1"/>
    <xf numFmtId="6" fontId="124" fillId="0" borderId="88" xfId="0" applyNumberFormat="1" applyFont="1" applyBorder="1"/>
    <xf numFmtId="167" fontId="124" fillId="0" borderId="88" xfId="0" applyNumberFormat="1" applyFont="1" applyBorder="1"/>
    <xf numFmtId="0" fontId="124" fillId="0" borderId="16" xfId="0" applyFont="1" applyBorder="1"/>
    <xf numFmtId="0" fontId="124" fillId="0" borderId="35" xfId="0" applyFont="1" applyBorder="1" applyAlignment="1">
      <alignment horizontal="center"/>
    </xf>
    <xf numFmtId="0" fontId="124" fillId="0" borderId="54" xfId="0" applyFont="1" applyBorder="1" applyAlignment="1">
      <alignment horizontal="center"/>
    </xf>
    <xf numFmtId="0" fontId="124" fillId="0" borderId="78" xfId="0" applyFont="1" applyBorder="1" applyAlignment="1">
      <alignment horizontal="center"/>
    </xf>
    <xf numFmtId="6" fontId="124" fillId="0" borderId="16" xfId="0" applyNumberFormat="1" applyFont="1" applyBorder="1"/>
    <xf numFmtId="167" fontId="124" fillId="0" borderId="16" xfId="0" applyNumberFormat="1" applyFont="1" applyBorder="1"/>
    <xf numFmtId="6" fontId="126" fillId="0" borderId="88" xfId="0" applyNumberFormat="1" applyFont="1" applyBorder="1"/>
    <xf numFmtId="0" fontId="124" fillId="0" borderId="89" xfId="0" applyFont="1" applyBorder="1" applyAlignment="1">
      <alignment horizontal="left"/>
    </xf>
    <xf numFmtId="0" fontId="32" fillId="0" borderId="0" xfId="25295" applyFont="1"/>
    <xf numFmtId="0" fontId="32" fillId="0" borderId="0" xfId="25295" applyFont="1" applyFill="1" applyBorder="1"/>
    <xf numFmtId="164" fontId="32" fillId="0" borderId="0" xfId="25295" applyNumberFormat="1" applyFont="1" applyFill="1" applyBorder="1" applyAlignment="1"/>
    <xf numFmtId="0" fontId="123" fillId="0" borderId="0" xfId="25295" applyFont="1" applyFill="1" applyBorder="1" applyAlignment="1"/>
    <xf numFmtId="0" fontId="32" fillId="0" borderId="0" xfId="25295" applyFont="1" applyFill="1" applyBorder="1" applyAlignment="1"/>
    <xf numFmtId="49" fontId="32" fillId="0" borderId="0" xfId="25293" applyNumberFormat="1" applyFont="1" applyFill="1" applyBorder="1" applyAlignment="1"/>
    <xf numFmtId="0" fontId="32" fillId="0" borderId="0" xfId="25295" applyFont="1" applyFill="1"/>
    <xf numFmtId="0" fontId="123" fillId="0" borderId="0" xfId="25295" applyFont="1" applyAlignment="1">
      <alignment horizontal="center"/>
    </xf>
    <xf numFmtId="0" fontId="32" fillId="0" borderId="0" xfId="25295" applyFont="1" applyFill="1" applyAlignment="1">
      <alignment horizontal="center"/>
    </xf>
    <xf numFmtId="0" fontId="32" fillId="0" borderId="0" xfId="25295" applyFont="1" applyAlignment="1">
      <alignment horizontal="center"/>
    </xf>
    <xf numFmtId="0" fontId="128" fillId="0" borderId="0" xfId="25295" applyFont="1" applyFill="1" applyAlignment="1">
      <alignment horizontal="center"/>
    </xf>
    <xf numFmtId="0" fontId="125" fillId="0" borderId="80" xfId="0" applyFont="1" applyBorder="1" applyAlignment="1">
      <alignment horizontal="center"/>
    </xf>
    <xf numFmtId="0" fontId="123" fillId="33" borderId="79" xfId="25295" applyFont="1" applyFill="1" applyBorder="1"/>
    <xf numFmtId="0" fontId="32" fillId="0" borderId="61" xfId="25295" applyFont="1" applyBorder="1"/>
    <xf numFmtId="0" fontId="32" fillId="0" borderId="61" xfId="25295" applyFont="1" applyBorder="1" applyAlignment="1">
      <alignment horizontal="center"/>
    </xf>
    <xf numFmtId="0" fontId="32" fillId="0" borderId="81" xfId="25295" applyFont="1" applyBorder="1" applyAlignment="1">
      <alignment horizontal="center"/>
    </xf>
    <xf numFmtId="0" fontId="32" fillId="0" borderId="0" xfId="25295" applyFont="1" applyBorder="1"/>
    <xf numFmtId="0" fontId="32" fillId="0" borderId="11" xfId="25295" applyFont="1" applyBorder="1" applyAlignment="1">
      <alignment horizontal="center"/>
    </xf>
    <xf numFmtId="0" fontId="32" fillId="0" borderId="0" xfId="25295" applyFont="1" applyBorder="1" applyAlignment="1">
      <alignment horizontal="left"/>
    </xf>
    <xf numFmtId="10" fontId="32" fillId="86" borderId="0" xfId="25292" applyNumberFormat="1" applyFont="1" applyFill="1" applyBorder="1" applyAlignment="1">
      <alignment horizontal="center"/>
    </xf>
    <xf numFmtId="167" fontId="32" fillId="0" borderId="0" xfId="25292" applyNumberFormat="1" applyFont="1" applyBorder="1" applyAlignment="1">
      <alignment horizontal="center"/>
    </xf>
    <xf numFmtId="167" fontId="32" fillId="86" borderId="0" xfId="25292" applyNumberFormat="1" applyFont="1" applyFill="1" applyBorder="1" applyAlignment="1">
      <alignment horizontal="center"/>
    </xf>
    <xf numFmtId="167" fontId="32" fillId="0" borderId="0" xfId="25292" applyNumberFormat="1" applyFont="1" applyBorder="1"/>
    <xf numFmtId="167" fontId="32" fillId="0" borderId="11" xfId="25292" applyNumberFormat="1" applyFont="1" applyBorder="1"/>
    <xf numFmtId="167" fontId="32" fillId="0" borderId="0" xfId="25295" applyNumberFormat="1" applyFont="1" applyFill="1" applyBorder="1" applyAlignment="1">
      <alignment horizontal="center"/>
    </xf>
    <xf numFmtId="193" fontId="124" fillId="0" borderId="0" xfId="0" applyNumberFormat="1" applyFont="1"/>
    <xf numFmtId="10" fontId="32" fillId="0" borderId="19" xfId="25292" applyNumberFormat="1" applyFont="1" applyBorder="1" applyAlignment="1">
      <alignment horizontal="center"/>
    </xf>
    <xf numFmtId="167" fontId="123" fillId="33" borderId="18" xfId="25292" applyNumberFormat="1" applyFont="1" applyFill="1" applyBorder="1"/>
    <xf numFmtId="0" fontId="32" fillId="0" borderId="54" xfId="25295" applyFont="1" applyBorder="1" applyAlignment="1">
      <alignment horizontal="center"/>
    </xf>
    <xf numFmtId="0" fontId="32" fillId="0" borderId="55" xfId="25295" applyFont="1" applyBorder="1"/>
    <xf numFmtId="0" fontId="32" fillId="0" borderId="56" xfId="25295" applyFont="1" applyBorder="1"/>
    <xf numFmtId="178" fontId="123" fillId="0" borderId="0" xfId="25741" applyFont="1" applyFill="1" applyAlignment="1">
      <alignment horizontal="centerContinuous"/>
    </xf>
    <xf numFmtId="0" fontId="42" fillId="0" borderId="0" xfId="25742" applyFont="1" applyFill="1"/>
    <xf numFmtId="0" fontId="32" fillId="0" borderId="0" xfId="0" applyFont="1" applyFill="1" applyAlignment="1">
      <alignment horizontal="center"/>
    </xf>
    <xf numFmtId="186" fontId="32" fillId="0" borderId="0" xfId="25747" applyNumberFormat="1" applyFont="1" applyAlignment="1">
      <alignment horizontal="center"/>
    </xf>
    <xf numFmtId="0" fontId="133" fillId="0" borderId="0" xfId="0" applyFont="1"/>
    <xf numFmtId="0" fontId="133" fillId="0" borderId="0" xfId="0" applyFont="1" applyBorder="1" applyAlignment="1">
      <alignment horizontal="centerContinuous"/>
    </xf>
    <xf numFmtId="0" fontId="123" fillId="0" borderId="0" xfId="0" applyFont="1" applyBorder="1" applyAlignment="1">
      <alignment horizontal="centerContinuous"/>
    </xf>
    <xf numFmtId="0" fontId="133" fillId="0" borderId="0" xfId="0" applyFont="1" applyFill="1" applyAlignment="1">
      <alignment horizontal="center" wrapText="1"/>
    </xf>
    <xf numFmtId="0" fontId="133" fillId="0" borderId="0" xfId="0" applyFont="1" applyAlignment="1">
      <alignment horizontal="center" wrapText="1"/>
    </xf>
    <xf numFmtId="0" fontId="32" fillId="0" borderId="0" xfId="0" applyFont="1"/>
    <xf numFmtId="186" fontId="32" fillId="0" borderId="0" xfId="25747" applyNumberFormat="1" applyFont="1"/>
    <xf numFmtId="0" fontId="32" fillId="0" borderId="0" xfId="0" applyFont="1" applyFill="1"/>
    <xf numFmtId="192" fontId="32" fillId="0" borderId="0" xfId="0" applyNumberFormat="1" applyFont="1" applyFill="1"/>
    <xf numFmtId="166" fontId="32" fillId="0" borderId="0" xfId="0" applyNumberFormat="1" applyFont="1"/>
    <xf numFmtId="186" fontId="124" fillId="0" borderId="0" xfId="0" applyNumberFormat="1" applyFont="1" applyFill="1"/>
    <xf numFmtId="186" fontId="32" fillId="0" borderId="0" xfId="25747" applyNumberFormat="1" applyFont="1" applyBorder="1"/>
    <xf numFmtId="3" fontId="32" fillId="0" borderId="0" xfId="0" applyNumberFormat="1" applyFont="1"/>
    <xf numFmtId="0" fontId="133" fillId="0" borderId="83" xfId="0" applyFont="1" applyBorder="1"/>
    <xf numFmtId="0" fontId="32" fillId="0" borderId="83" xfId="0" applyFont="1" applyBorder="1"/>
    <xf numFmtId="0" fontId="32" fillId="0" borderId="83" xfId="0" applyFont="1" applyFill="1" applyBorder="1"/>
    <xf numFmtId="166" fontId="32" fillId="0" borderId="83" xfId="0" applyNumberFormat="1" applyFont="1" applyBorder="1"/>
    <xf numFmtId="186" fontId="32" fillId="0" borderId="83" xfId="25747" applyNumberFormat="1" applyFont="1" applyBorder="1"/>
    <xf numFmtId="186" fontId="124" fillId="0" borderId="83" xfId="0" applyNumberFormat="1" applyFont="1" applyFill="1" applyBorder="1"/>
    <xf numFmtId="166" fontId="32" fillId="0" borderId="0" xfId="0" applyNumberFormat="1" applyFont="1" applyBorder="1"/>
    <xf numFmtId="166" fontId="32" fillId="0" borderId="82" xfId="0" applyNumberFormat="1" applyFont="1" applyBorder="1"/>
    <xf numFmtId="186" fontId="32" fillId="0" borderId="82" xfId="25747" applyNumberFormat="1" applyFont="1" applyBorder="1"/>
    <xf numFmtId="186" fontId="124" fillId="0" borderId="0" xfId="25747" applyNumberFormat="1" applyFont="1"/>
    <xf numFmtId="186" fontId="124" fillId="0" borderId="0" xfId="25747" applyNumberFormat="1" applyFont="1" applyAlignment="1">
      <alignment horizontal="center"/>
    </xf>
    <xf numFmtId="198" fontId="124" fillId="0" borderId="89" xfId="0" applyNumberFormat="1" applyFont="1" applyBorder="1" applyAlignment="1">
      <alignment horizontal="center"/>
    </xf>
    <xf numFmtId="3" fontId="124" fillId="0" borderId="89" xfId="0" applyNumberFormat="1" applyFont="1" applyBorder="1" applyAlignment="1">
      <alignment horizontal="center"/>
    </xf>
    <xf numFmtId="166" fontId="124" fillId="0" borderId="0" xfId="25768" applyNumberFormat="1" applyFont="1" applyAlignment="1">
      <alignment horizontal="center"/>
    </xf>
    <xf numFmtId="3" fontId="124" fillId="0" borderId="0" xfId="0" applyNumberFormat="1" applyFont="1" applyAlignment="1">
      <alignment horizontal="center"/>
    </xf>
    <xf numFmtId="3" fontId="124" fillId="0" borderId="33" xfId="0" applyNumberFormat="1" applyFont="1" applyBorder="1" applyAlignment="1">
      <alignment horizontal="center"/>
    </xf>
    <xf numFmtId="0" fontId="124" fillId="0" borderId="14" xfId="0" applyFont="1" applyBorder="1"/>
    <xf numFmtId="0" fontId="124" fillId="0" borderId="14" xfId="0" applyFont="1" applyFill="1" applyBorder="1"/>
    <xf numFmtId="43" fontId="124" fillId="0" borderId="14" xfId="25744" applyFont="1" applyBorder="1"/>
    <xf numFmtId="0" fontId="124" fillId="0" borderId="0" xfId="0" applyFont="1" applyFill="1" applyBorder="1" applyAlignment="1">
      <alignment horizontal="center"/>
    </xf>
    <xf numFmtId="43" fontId="32" fillId="0" borderId="0" xfId="0" applyNumberFormat="1" applyFont="1"/>
    <xf numFmtId="6" fontId="124" fillId="0" borderId="0" xfId="0" applyNumberFormat="1" applyFont="1" applyAlignment="1">
      <alignment horizontal="center"/>
    </xf>
    <xf numFmtId="0" fontId="132" fillId="0" borderId="0" xfId="0" applyFont="1" applyAlignment="1">
      <alignment horizontal="left"/>
    </xf>
    <xf numFmtId="6" fontId="124" fillId="0" borderId="0" xfId="0" applyNumberFormat="1" applyFont="1" applyFill="1" applyAlignment="1">
      <alignment horizontal="center"/>
    </xf>
    <xf numFmtId="166" fontId="124" fillId="0" borderId="0" xfId="25744" applyNumberFormat="1" applyFont="1" applyAlignment="1">
      <alignment horizontal="center"/>
    </xf>
    <xf numFmtId="6" fontId="124" fillId="0" borderId="0" xfId="25747" applyNumberFormat="1" applyFont="1"/>
    <xf numFmtId="6" fontId="124" fillId="0" borderId="89" xfId="25747" applyNumberFormat="1" applyFont="1" applyBorder="1"/>
    <xf numFmtId="49" fontId="123" fillId="0" borderId="0" xfId="25293" applyNumberFormat="1" applyFont="1" applyFill="1" applyBorder="1" applyAlignment="1">
      <alignment horizontal="center"/>
    </xf>
    <xf numFmtId="49" fontId="32" fillId="0" borderId="0" xfId="25293" applyNumberFormat="1" applyFont="1" applyFill="1" applyBorder="1" applyAlignment="1">
      <alignment horizontal="right"/>
    </xf>
    <xf numFmtId="6" fontId="126" fillId="0" borderId="78" xfId="0" applyNumberFormat="1" applyFont="1" applyBorder="1"/>
    <xf numFmtId="6" fontId="126" fillId="0" borderId="108" xfId="0" applyNumberFormat="1" applyFont="1" applyBorder="1"/>
    <xf numFmtId="6" fontId="126" fillId="0" borderId="14" xfId="0" applyNumberFormat="1" applyFont="1" applyBorder="1"/>
    <xf numFmtId="0" fontId="124" fillId="0" borderId="0" xfId="0" applyFont="1" applyAlignment="1">
      <alignment horizontal="left"/>
    </xf>
    <xf numFmtId="0" fontId="126" fillId="0" borderId="89" xfId="0" applyFont="1" applyBorder="1" applyAlignment="1">
      <alignment horizontal="center"/>
    </xf>
    <xf numFmtId="0" fontId="126" fillId="0" borderId="89" xfId="0" applyFont="1" applyFill="1" applyBorder="1" applyAlignment="1">
      <alignment horizontal="center" wrapText="1"/>
    </xf>
    <xf numFmtId="37" fontId="32" fillId="0" borderId="0" xfId="25743" applyFont="1"/>
    <xf numFmtId="0" fontId="129" fillId="0" borderId="0" xfId="0" applyFont="1" applyAlignment="1">
      <alignment horizontal="center"/>
    </xf>
    <xf numFmtId="37" fontId="32" fillId="0" borderId="0" xfId="25743" applyFont="1" applyAlignment="1">
      <alignment horizontal="center"/>
    </xf>
    <xf numFmtId="37" fontId="32" fillId="0" borderId="0" xfId="25743" applyFont="1" applyAlignment="1" applyProtection="1">
      <alignment horizontal="left"/>
    </xf>
    <xf numFmtId="37" fontId="42" fillId="0" borderId="0" xfId="25743" applyFont="1"/>
    <xf numFmtId="14" fontId="32" fillId="0" borderId="0" xfId="25743" applyNumberFormat="1" applyFont="1" applyAlignment="1">
      <alignment horizontal="left"/>
    </xf>
    <xf numFmtId="37" fontId="123" fillId="0" borderId="0" xfId="25743" applyFont="1" applyFill="1" applyAlignment="1">
      <alignment horizontal="center"/>
    </xf>
    <xf numFmtId="188" fontId="32" fillId="0" borderId="0" xfId="23895" applyNumberFormat="1" applyFont="1" applyAlignment="1">
      <alignment horizontal="center"/>
    </xf>
    <xf numFmtId="37" fontId="32" fillId="0" borderId="0" xfId="25743" applyFont="1" applyFill="1" applyAlignment="1">
      <alignment horizontal="center"/>
    </xf>
    <xf numFmtId="37" fontId="32" fillId="0" borderId="0" xfId="25743" applyFont="1" applyFill="1" applyAlignment="1">
      <alignment horizontal="left"/>
    </xf>
    <xf numFmtId="10" fontId="32" fillId="0" borderId="0" xfId="24219" applyNumberFormat="1" applyFont="1" applyAlignment="1">
      <alignment horizontal="center"/>
    </xf>
    <xf numFmtId="189" fontId="32" fillId="0" borderId="0" xfId="25743" applyNumberFormat="1" applyFont="1" applyFill="1" applyAlignment="1">
      <alignment horizontal="center"/>
    </xf>
    <xf numFmtId="37" fontId="123" fillId="0" borderId="82" xfId="25743" applyFont="1" applyFill="1" applyBorder="1" applyAlignment="1">
      <alignment horizontal="center"/>
    </xf>
    <xf numFmtId="37" fontId="32" fillId="0" borderId="0" xfId="25743" applyFont="1" applyFill="1"/>
    <xf numFmtId="187" fontId="32" fillId="0" borderId="0" xfId="24219" applyNumberFormat="1" applyFont="1"/>
    <xf numFmtId="168" fontId="32" fillId="0" borderId="0" xfId="25743" applyNumberFormat="1" applyFont="1"/>
    <xf numFmtId="49" fontId="32" fillId="0" borderId="0" xfId="25743" applyNumberFormat="1" applyFont="1"/>
    <xf numFmtId="0" fontId="123" fillId="0" borderId="0" xfId="25295" quotePrefix="1" applyFont="1" applyFill="1" applyBorder="1" applyAlignment="1"/>
    <xf numFmtId="49" fontId="123" fillId="0" borderId="0" xfId="25293" applyNumberFormat="1" applyFont="1" applyFill="1" applyBorder="1" applyAlignment="1"/>
    <xf numFmtId="0" fontId="123" fillId="0" borderId="0" xfId="25295" applyFont="1" applyFill="1" applyBorder="1" applyAlignment="1">
      <alignment horizontal="center"/>
    </xf>
    <xf numFmtId="0" fontId="32" fillId="0" borderId="0" xfId="25295" applyFont="1" applyFill="1" applyBorder="1" applyAlignment="1">
      <alignment horizontal="center"/>
    </xf>
    <xf numFmtId="8" fontId="124" fillId="0" borderId="49" xfId="0" applyNumberFormat="1" applyFont="1" applyBorder="1"/>
    <xf numFmtId="0" fontId="124" fillId="0" borderId="49" xfId="0" applyFont="1" applyBorder="1"/>
    <xf numFmtId="10" fontId="124" fillId="0" borderId="49" xfId="0" applyNumberFormat="1" applyFont="1" applyBorder="1"/>
    <xf numFmtId="193" fontId="124" fillId="0" borderId="49" xfId="0" applyNumberFormat="1" applyFont="1" applyBorder="1"/>
    <xf numFmtId="8" fontId="127" fillId="0" borderId="0" xfId="0" applyNumberFormat="1" applyFont="1"/>
    <xf numFmtId="8" fontId="126" fillId="0" borderId="82" xfId="0" applyNumberFormat="1" applyFont="1" applyBorder="1"/>
    <xf numFmtId="8" fontId="126" fillId="0" borderId="0" xfId="0" applyNumberFormat="1" applyFont="1" applyBorder="1"/>
    <xf numFmtId="0" fontId="124" fillId="0" borderId="0" xfId="0" applyFont="1" applyFill="1" applyAlignment="1">
      <alignment horizontal="left" indent="1"/>
    </xf>
    <xf numFmtId="10" fontId="124" fillId="0" borderId="0" xfId="0" applyNumberFormat="1" applyFont="1" applyFill="1"/>
    <xf numFmtId="43" fontId="124" fillId="97" borderId="0" xfId="0" applyNumberFormat="1" applyFont="1" applyFill="1" applyBorder="1"/>
    <xf numFmtId="0" fontId="124" fillId="0" borderId="0" xfId="0" applyFont="1" applyAlignment="1">
      <alignment horizontal="left" indent="1"/>
    </xf>
    <xf numFmtId="40" fontId="124" fillId="0" borderId="0" xfId="0" applyNumberFormat="1" applyFont="1"/>
    <xf numFmtId="10" fontId="124" fillId="0" borderId="89" xfId="0" applyNumberFormat="1" applyFont="1" applyBorder="1"/>
    <xf numFmtId="8" fontId="124" fillId="0" borderId="89" xfId="0" applyNumberFormat="1" applyFont="1" applyBorder="1"/>
    <xf numFmtId="193" fontId="124" fillId="0" borderId="89" xfId="0" applyNumberFormat="1" applyFont="1" applyBorder="1"/>
    <xf numFmtId="4" fontId="124" fillId="0" borderId="89" xfId="0" applyNumberFormat="1" applyFont="1" applyBorder="1"/>
    <xf numFmtId="4" fontId="124" fillId="0" borderId="33" xfId="0" applyNumberFormat="1" applyFont="1" applyBorder="1"/>
    <xf numFmtId="44" fontId="124" fillId="0" borderId="0" xfId="0" applyNumberFormat="1" applyFont="1"/>
    <xf numFmtId="0" fontId="125" fillId="0" borderId="0" xfId="0" applyFont="1" applyBorder="1" applyAlignment="1">
      <alignment horizontal="center"/>
    </xf>
    <xf numFmtId="44" fontId="124" fillId="0" borderId="0" xfId="25747" applyFont="1" applyFill="1"/>
    <xf numFmtId="44" fontId="124" fillId="0" borderId="0" xfId="0" applyNumberFormat="1" applyFont="1" applyBorder="1"/>
    <xf numFmtId="44" fontId="126" fillId="0" borderId="83" xfId="0" applyNumberFormat="1" applyFont="1" applyBorder="1"/>
    <xf numFmtId="0" fontId="124" fillId="0" borderId="49" xfId="0" applyFont="1" applyBorder="1" applyAlignment="1">
      <alignment horizontal="center"/>
    </xf>
    <xf numFmtId="0" fontId="126" fillId="0" borderId="49" xfId="0" applyFont="1" applyFill="1" applyBorder="1" applyAlignment="1">
      <alignment horizontal="center"/>
    </xf>
    <xf numFmtId="166" fontId="124" fillId="0" borderId="0" xfId="25744" applyNumberFormat="1" applyFont="1"/>
    <xf numFmtId="166" fontId="124" fillId="0" borderId="89" xfId="25744" applyNumberFormat="1" applyFont="1" applyBorder="1"/>
    <xf numFmtId="186" fontId="124" fillId="0" borderId="89" xfId="25747" applyNumberFormat="1" applyFont="1" applyBorder="1"/>
    <xf numFmtId="186" fontId="126" fillId="0" borderId="0" xfId="25747" applyNumberFormat="1" applyFont="1"/>
    <xf numFmtId="186" fontId="126" fillId="0" borderId="97" xfId="25747" applyNumberFormat="1" applyFont="1" applyBorder="1"/>
    <xf numFmtId="186" fontId="126" fillId="0" borderId="14" xfId="0" applyNumberFormat="1" applyFont="1" applyBorder="1"/>
    <xf numFmtId="0" fontId="134" fillId="0" borderId="0" xfId="0" applyFont="1" applyAlignment="1">
      <alignment horizontal="center"/>
    </xf>
    <xf numFmtId="3" fontId="129" fillId="0" borderId="0" xfId="0" applyNumberFormat="1" applyFont="1"/>
    <xf numFmtId="3" fontId="129" fillId="0" borderId="0" xfId="0" applyNumberFormat="1" applyFont="1" applyBorder="1"/>
    <xf numFmtId="3" fontId="129" fillId="0" borderId="89" xfId="0" applyNumberFormat="1" applyFont="1" applyBorder="1"/>
    <xf numFmtId="190" fontId="129" fillId="0" borderId="83" xfId="0" applyNumberFormat="1" applyFont="1" applyBorder="1"/>
    <xf numFmtId="0" fontId="126" fillId="0" borderId="0" xfId="0" applyFont="1" applyAlignment="1">
      <alignment vertical="center"/>
    </xf>
    <xf numFmtId="0" fontId="126" fillId="0" borderId="0" xfId="0" applyFont="1" applyAlignment="1">
      <alignment horizontal="center" vertical="center" wrapText="1"/>
    </xf>
    <xf numFmtId="0" fontId="126" fillId="0" borderId="0" xfId="0" applyFont="1" applyAlignment="1">
      <alignment vertical="center" wrapText="1"/>
    </xf>
    <xf numFmtId="0" fontId="126" fillId="0" borderId="89" xfId="0" applyFont="1" applyBorder="1" applyAlignment="1">
      <alignment vertical="center"/>
    </xf>
    <xf numFmtId="0" fontId="126" fillId="0" borderId="89" xfId="0" applyFont="1" applyBorder="1" applyAlignment="1">
      <alignment horizontal="center" vertical="center"/>
    </xf>
    <xf numFmtId="0" fontId="124" fillId="93" borderId="0" xfId="0" quotePrefix="1" applyFont="1" applyFill="1" applyAlignment="1">
      <alignment vertical="center"/>
    </xf>
    <xf numFmtId="6" fontId="124" fillId="93" borderId="0" xfId="0" quotePrefix="1" applyNumberFormat="1" applyFont="1" applyFill="1" applyAlignment="1">
      <alignment horizontal="center" vertical="center"/>
    </xf>
    <xf numFmtId="0" fontId="124" fillId="93" borderId="0" xfId="0" applyFont="1" applyFill="1" applyAlignment="1">
      <alignment horizontal="center" vertical="center"/>
    </xf>
    <xf numFmtId="6" fontId="124" fillId="93" borderId="33" xfId="0" quotePrefix="1" applyNumberFormat="1" applyFont="1" applyFill="1" applyBorder="1" applyAlignment="1">
      <alignment vertical="center"/>
    </xf>
    <xf numFmtId="0" fontId="124" fillId="93" borderId="33" xfId="0" quotePrefix="1" applyFont="1" applyFill="1" applyBorder="1" applyAlignment="1">
      <alignment vertical="center"/>
    </xf>
    <xf numFmtId="190" fontId="124" fillId="93" borderId="33" xfId="0" quotePrefix="1" applyNumberFormat="1" applyFont="1" applyFill="1" applyBorder="1" applyAlignment="1">
      <alignment horizontal="center" vertical="center"/>
    </xf>
    <xf numFmtId="190" fontId="124" fillId="93" borderId="33" xfId="0" quotePrefix="1" applyNumberFormat="1" applyFont="1" applyFill="1" applyBorder="1" applyAlignment="1">
      <alignment vertical="center"/>
    </xf>
    <xf numFmtId="9" fontId="124" fillId="93" borderId="33" xfId="0" quotePrefix="1" applyNumberFormat="1" applyFont="1" applyFill="1" applyBorder="1" applyAlignment="1">
      <alignment vertical="center"/>
    </xf>
    <xf numFmtId="0" fontId="124" fillId="0" borderId="0" xfId="0" quotePrefix="1" applyFont="1" applyAlignment="1">
      <alignment vertical="center"/>
    </xf>
    <xf numFmtId="6" fontId="124" fillId="0" borderId="0" xfId="0" quotePrefix="1" applyNumberFormat="1" applyFont="1" applyAlignment="1">
      <alignment horizontal="center" vertical="center"/>
    </xf>
    <xf numFmtId="6" fontId="124" fillId="0" borderId="0" xfId="0" applyNumberFormat="1" applyFont="1" applyAlignment="1">
      <alignment vertical="center"/>
    </xf>
    <xf numFmtId="190" fontId="124" fillId="0" borderId="0" xfId="0" quotePrefix="1" applyNumberFormat="1" applyFont="1" applyAlignment="1">
      <alignment horizontal="center" vertical="center"/>
    </xf>
    <xf numFmtId="190" fontId="124" fillId="0" borderId="0" xfId="0" quotePrefix="1" applyNumberFormat="1" applyFont="1" applyAlignment="1">
      <alignment vertical="center"/>
    </xf>
    <xf numFmtId="6" fontId="124" fillId="0" borderId="0" xfId="0" quotePrefix="1" applyNumberFormat="1" applyFont="1" applyAlignment="1">
      <alignment vertical="center"/>
    </xf>
    <xf numFmtId="9" fontId="124" fillId="0" borderId="0" xfId="0" quotePrefix="1" applyNumberFormat="1" applyFont="1" applyFill="1" applyBorder="1" applyAlignment="1">
      <alignment vertical="center"/>
    </xf>
    <xf numFmtId="6" fontId="124" fillId="93" borderId="0" xfId="0" applyNumberFormat="1" applyFont="1" applyFill="1" applyAlignment="1">
      <alignment vertical="center"/>
    </xf>
    <xf numFmtId="190" fontId="124" fillId="93" borderId="0" xfId="0" quotePrefix="1" applyNumberFormat="1" applyFont="1" applyFill="1" applyAlignment="1">
      <alignment horizontal="center" vertical="center"/>
    </xf>
    <xf numFmtId="190" fontId="124" fillId="93" borderId="0" xfId="0" quotePrefix="1" applyNumberFormat="1" applyFont="1" applyFill="1" applyAlignment="1">
      <alignment vertical="center"/>
    </xf>
    <xf numFmtId="6" fontId="124" fillId="93" borderId="0" xfId="0" quotePrefix="1" applyNumberFormat="1" applyFont="1" applyFill="1" applyAlignment="1">
      <alignment vertical="center"/>
    </xf>
    <xf numFmtId="9" fontId="124" fillId="93" borderId="0" xfId="0" quotePrefix="1" applyNumberFormat="1" applyFont="1" applyFill="1" applyBorder="1" applyAlignment="1">
      <alignment vertical="center"/>
    </xf>
    <xf numFmtId="6" fontId="124" fillId="0" borderId="0" xfId="0" applyNumberFormat="1" applyFont="1" applyFill="1" applyAlignment="1">
      <alignment vertical="center"/>
    </xf>
    <xf numFmtId="9" fontId="128" fillId="0" borderId="0" xfId="0" quotePrefix="1" applyNumberFormat="1" applyFont="1" applyFill="1" applyBorder="1" applyAlignment="1">
      <alignment vertical="center"/>
    </xf>
    <xf numFmtId="38" fontId="129" fillId="0" borderId="0" xfId="0" applyNumberFormat="1" applyFont="1"/>
    <xf numFmtId="38" fontId="129" fillId="0" borderId="49" xfId="0" applyNumberFormat="1" applyFont="1" applyBorder="1"/>
    <xf numFmtId="38" fontId="137" fillId="0" borderId="0" xfId="0" applyNumberFormat="1" applyFont="1"/>
    <xf numFmtId="38" fontId="137" fillId="0" borderId="14" xfId="0" applyNumberFormat="1" applyFont="1" applyBorder="1"/>
    <xf numFmtId="190" fontId="129" fillId="0" borderId="0" xfId="0" applyNumberFormat="1" applyFont="1"/>
    <xf numFmtId="190" fontId="137" fillId="0" borderId="0" xfId="0" applyNumberFormat="1" applyFont="1" applyBorder="1"/>
    <xf numFmtId="1" fontId="124" fillId="0" borderId="0" xfId="0" applyNumberFormat="1" applyFont="1" applyFill="1" applyBorder="1" applyAlignment="1">
      <alignment horizontal="center"/>
    </xf>
    <xf numFmtId="1" fontId="124" fillId="0" borderId="0" xfId="0" applyNumberFormat="1" applyFont="1" applyBorder="1" applyAlignment="1">
      <alignment horizontal="center"/>
    </xf>
    <xf numFmtId="49" fontId="124" fillId="0" borderId="0" xfId="0" applyNumberFormat="1" applyFont="1" applyFill="1" applyAlignment="1">
      <alignment horizontal="center"/>
    </xf>
    <xf numFmtId="10" fontId="124" fillId="0" borderId="0" xfId="25795" applyNumberFormat="1" applyFont="1" applyFill="1" applyAlignment="1">
      <alignment horizontal="right"/>
    </xf>
    <xf numFmtId="49" fontId="124" fillId="0" borderId="0" xfId="0" applyNumberFormat="1" applyFont="1" applyAlignment="1">
      <alignment horizontal="center"/>
    </xf>
    <xf numFmtId="10" fontId="124" fillId="0" borderId="0" xfId="25795" applyNumberFormat="1" applyFont="1"/>
    <xf numFmtId="10" fontId="124" fillId="0" borderId="0" xfId="25795" applyNumberFormat="1" applyFont="1" applyFill="1" applyAlignment="1">
      <alignment horizontal="center"/>
    </xf>
    <xf numFmtId="49" fontId="124" fillId="0" borderId="79" xfId="0" applyNumberFormat="1" applyFont="1" applyFill="1" applyBorder="1" applyAlignment="1">
      <alignment horizontal="center"/>
    </xf>
    <xf numFmtId="0" fontId="126" fillId="0" borderId="79" xfId="0" applyFont="1" applyFill="1" applyBorder="1"/>
    <xf numFmtId="0" fontId="126" fillId="0" borderId="79" xfId="0" applyFont="1" applyFill="1" applyBorder="1" applyAlignment="1">
      <alignment horizontal="center"/>
    </xf>
    <xf numFmtId="0" fontId="124" fillId="0" borderId="79" xfId="0" applyFont="1" applyFill="1" applyBorder="1"/>
    <xf numFmtId="10" fontId="124" fillId="0" borderId="81" xfId="25795" applyNumberFormat="1" applyFont="1" applyFill="1" applyBorder="1" applyAlignment="1">
      <alignment horizontal="center"/>
    </xf>
    <xf numFmtId="43" fontId="124" fillId="0" borderId="79" xfId="25744" applyFont="1" applyFill="1" applyBorder="1"/>
    <xf numFmtId="43" fontId="124" fillId="0" borderId="78" xfId="25744" applyFont="1" applyFill="1" applyBorder="1"/>
    <xf numFmtId="10" fontId="124" fillId="0" borderId="11" xfId="25795" applyNumberFormat="1" applyFont="1" applyFill="1" applyBorder="1" applyAlignment="1">
      <alignment horizontal="center"/>
    </xf>
    <xf numFmtId="43" fontId="124" fillId="0" borderId="0" xfId="25744" applyFont="1" applyFill="1" applyBorder="1"/>
    <xf numFmtId="43" fontId="124" fillId="0" borderId="15" xfId="25744" applyFont="1" applyFill="1" applyBorder="1"/>
    <xf numFmtId="49" fontId="124" fillId="0" borderId="89" xfId="0" quotePrefix="1" applyNumberFormat="1" applyFont="1" applyFill="1" applyBorder="1" applyAlignment="1">
      <alignment horizontal="center"/>
    </xf>
    <xf numFmtId="49" fontId="124" fillId="0" borderId="89" xfId="0" applyNumberFormat="1" applyFont="1" applyFill="1" applyBorder="1" applyAlignment="1">
      <alignment horizontal="center"/>
    </xf>
    <xf numFmtId="0" fontId="124" fillId="0" borderId="89" xfId="0" applyFont="1" applyFill="1" applyBorder="1"/>
    <xf numFmtId="0" fontId="124" fillId="0" borderId="89" xfId="0" applyFont="1" applyFill="1" applyBorder="1" applyAlignment="1">
      <alignment horizontal="center"/>
    </xf>
    <xf numFmtId="0" fontId="124" fillId="0" borderId="79" xfId="0" applyFont="1" applyFill="1" applyBorder="1" applyAlignment="1">
      <alignment horizontal="center"/>
    </xf>
    <xf numFmtId="43" fontId="124" fillId="0" borderId="14" xfId="25744" applyFont="1" applyFill="1" applyBorder="1"/>
    <xf numFmtId="49" fontId="124" fillId="0" borderId="0" xfId="0" applyNumberFormat="1" applyFont="1" applyFill="1" applyBorder="1"/>
    <xf numFmtId="10" fontId="124" fillId="0" borderId="56" xfId="25795" applyNumberFormat="1" applyFont="1" applyFill="1" applyBorder="1" applyAlignment="1">
      <alignment horizontal="center"/>
    </xf>
    <xf numFmtId="43" fontId="124" fillId="0" borderId="89" xfId="25744" applyFont="1" applyFill="1" applyBorder="1"/>
    <xf numFmtId="49" fontId="124" fillId="0" borderId="53" xfId="25744" applyNumberFormat="1" applyFont="1" applyFill="1" applyBorder="1" applyAlignment="1">
      <alignment horizontal="center" vertical="center"/>
    </xf>
    <xf numFmtId="0" fontId="124" fillId="0" borderId="53" xfId="0" applyFont="1" applyFill="1" applyBorder="1"/>
    <xf numFmtId="0" fontId="124" fillId="0" borderId="53" xfId="0" applyFont="1" applyFill="1" applyBorder="1" applyAlignment="1">
      <alignment horizontal="center"/>
    </xf>
    <xf numFmtId="49" fontId="124" fillId="0" borderId="53" xfId="0" applyNumberFormat="1" applyFont="1" applyFill="1" applyBorder="1" applyAlignment="1">
      <alignment horizontal="center"/>
    </xf>
    <xf numFmtId="10" fontId="124" fillId="0" borderId="53" xfId="25795" applyNumberFormat="1" applyFont="1" applyFill="1" applyBorder="1" applyAlignment="1">
      <alignment horizontal="center"/>
    </xf>
    <xf numFmtId="43" fontId="124" fillId="0" borderId="53" xfId="25744" applyFont="1" applyFill="1" applyBorder="1"/>
    <xf numFmtId="49" fontId="124" fillId="0" borderId="79" xfId="25744" applyNumberFormat="1" applyFont="1" applyFill="1" applyBorder="1" applyAlignment="1">
      <alignment horizontal="center" vertical="center"/>
    </xf>
    <xf numFmtId="10" fontId="124" fillId="0" borderId="79" xfId="25795" applyNumberFormat="1" applyFont="1" applyFill="1" applyBorder="1" applyAlignment="1">
      <alignment horizontal="center"/>
    </xf>
    <xf numFmtId="49" fontId="124" fillId="0" borderId="0" xfId="25744" applyNumberFormat="1" applyFont="1" applyFill="1" applyBorder="1" applyAlignment="1">
      <alignment horizontal="center" vertical="center"/>
    </xf>
    <xf numFmtId="10" fontId="124" fillId="0" borderId="0" xfId="25795" applyNumberFormat="1" applyFont="1" applyFill="1" applyBorder="1" applyAlignment="1">
      <alignment horizontal="center"/>
    </xf>
    <xf numFmtId="49" fontId="124" fillId="0" borderId="89" xfId="25744" applyNumberFormat="1" applyFont="1" applyFill="1" applyBorder="1" applyAlignment="1">
      <alignment horizontal="center" vertical="center"/>
    </xf>
    <xf numFmtId="10" fontId="124" fillId="0" borderId="89" xfId="25795" applyNumberFormat="1" applyFont="1" applyFill="1" applyBorder="1" applyAlignment="1">
      <alignment horizontal="center"/>
    </xf>
    <xf numFmtId="49" fontId="124" fillId="0" borderId="53" xfId="0" applyNumberFormat="1" applyFont="1" applyBorder="1" applyAlignment="1">
      <alignment horizontal="center"/>
    </xf>
    <xf numFmtId="10" fontId="124" fillId="0" borderId="53" xfId="25795" applyNumberFormat="1" applyFont="1" applyBorder="1" applyAlignment="1">
      <alignment horizontal="center"/>
    </xf>
    <xf numFmtId="43" fontId="124" fillId="0" borderId="53" xfId="25744" applyFont="1" applyBorder="1"/>
    <xf numFmtId="10" fontId="124" fillId="0" borderId="0" xfId="25795" applyNumberFormat="1" applyFont="1" applyBorder="1" applyAlignment="1">
      <alignment horizontal="center"/>
    </xf>
    <xf numFmtId="43" fontId="124" fillId="0" borderId="0" xfId="25744" applyFont="1" applyBorder="1"/>
    <xf numFmtId="43" fontId="124" fillId="0" borderId="15" xfId="25744" applyFont="1" applyBorder="1"/>
    <xf numFmtId="43" fontId="124" fillId="0" borderId="0" xfId="25795" applyNumberFormat="1" applyFont="1" applyBorder="1"/>
    <xf numFmtId="4" fontId="124" fillId="0" borderId="0" xfId="25795" applyNumberFormat="1" applyFont="1" applyBorder="1"/>
    <xf numFmtId="40" fontId="124" fillId="0" borderId="0" xfId="0" applyNumberFormat="1" applyFont="1" applyBorder="1"/>
    <xf numFmtId="38" fontId="126" fillId="0" borderId="94" xfId="0" applyNumberFormat="1" applyFont="1" applyBorder="1"/>
    <xf numFmtId="3" fontId="124" fillId="0" borderId="0" xfId="0" applyNumberFormat="1" applyFont="1" applyFill="1"/>
    <xf numFmtId="4" fontId="124" fillId="0" borderId="0" xfId="0" quotePrefix="1" applyNumberFormat="1" applyFont="1"/>
    <xf numFmtId="49" fontId="32" fillId="0" borderId="0" xfId="25766" applyNumberFormat="1" applyFont="1" applyFill="1"/>
    <xf numFmtId="49" fontId="123" fillId="0" borderId="0" xfId="25766" applyNumberFormat="1" applyFont="1" applyFill="1"/>
    <xf numFmtId="0" fontId="32" fillId="0" borderId="0" xfId="25766" applyNumberFormat="1" applyFont="1" applyFill="1"/>
    <xf numFmtId="49" fontId="32" fillId="0" borderId="0" xfId="25766" applyNumberFormat="1" applyFont="1" applyFill="1" applyAlignment="1">
      <alignment horizontal="center"/>
    </xf>
    <xf numFmtId="0" fontId="124" fillId="0" borderId="0" xfId="25767" applyFont="1"/>
    <xf numFmtId="49" fontId="124" fillId="0" borderId="0" xfId="3278" applyNumberFormat="1" applyFont="1" applyBorder="1" applyAlignment="1">
      <alignment horizontal="center"/>
    </xf>
    <xf numFmtId="49" fontId="42" fillId="0" borderId="0" xfId="25766" applyNumberFormat="1" applyFont="1" applyFill="1" applyAlignment="1">
      <alignment horizontal="center"/>
    </xf>
    <xf numFmtId="0" fontId="32" fillId="0" borderId="0" xfId="25766" applyFont="1" applyFill="1"/>
    <xf numFmtId="43" fontId="124" fillId="0" borderId="0" xfId="25767" applyNumberFormat="1" applyFont="1"/>
    <xf numFmtId="49" fontId="123" fillId="0" borderId="0" xfId="25766" applyNumberFormat="1" applyFont="1" applyFill="1" applyAlignment="1">
      <alignment horizontal="center"/>
    </xf>
    <xf numFmtId="0" fontId="123" fillId="0" borderId="0" xfId="25766" applyNumberFormat="1" applyFont="1" applyFill="1" applyAlignment="1">
      <alignment horizontal="center"/>
    </xf>
    <xf numFmtId="17" fontId="123" fillId="0" borderId="0" xfId="25766" applyNumberFormat="1" applyFont="1" applyFill="1" applyAlignment="1">
      <alignment horizontal="center"/>
    </xf>
    <xf numFmtId="0" fontId="123" fillId="0" borderId="0" xfId="25766" applyFont="1" applyFill="1" applyAlignment="1">
      <alignment horizontal="center"/>
    </xf>
    <xf numFmtId="0" fontId="126" fillId="0" borderId="0" xfId="25767" applyFont="1" applyAlignment="1">
      <alignment horizontal="center"/>
    </xf>
    <xf numFmtId="49" fontId="123" fillId="0" borderId="0" xfId="25766" applyNumberFormat="1" applyFont="1" applyAlignment="1">
      <alignment horizontal="center"/>
    </xf>
    <xf numFmtId="0" fontId="123" fillId="0" borderId="0" xfId="25766" applyFont="1" applyFill="1"/>
    <xf numFmtId="0" fontId="126" fillId="0" borderId="0" xfId="25767" applyFont="1"/>
    <xf numFmtId="0" fontId="32" fillId="0" borderId="0" xfId="25766" applyFont="1"/>
    <xf numFmtId="0" fontId="133" fillId="0" borderId="0" xfId="25766" applyNumberFormat="1" applyFont="1" applyFill="1" applyAlignment="1">
      <alignment horizontal="left"/>
    </xf>
    <xf numFmtId="49" fontId="133" fillId="0" borderId="0" xfId="25766" applyNumberFormat="1" applyFont="1" applyFill="1"/>
    <xf numFmtId="49" fontId="133" fillId="0" borderId="0" xfId="25766" applyNumberFormat="1" applyFont="1" applyFill="1" applyAlignment="1">
      <alignment horizontal="center"/>
    </xf>
    <xf numFmtId="0" fontId="126" fillId="0" borderId="89" xfId="25767" applyFont="1" applyBorder="1"/>
    <xf numFmtId="0" fontId="32" fillId="88" borderId="0" xfId="25766" applyFont="1" applyFill="1"/>
    <xf numFmtId="0" fontId="123" fillId="88" borderId="0" xfId="25766" applyFont="1" applyFill="1" applyAlignment="1">
      <alignment horizontal="center"/>
    </xf>
    <xf numFmtId="49" fontId="32" fillId="0" borderId="0" xfId="25766" applyNumberFormat="1" applyFont="1"/>
    <xf numFmtId="0" fontId="123" fillId="0" borderId="0" xfId="25766" applyNumberFormat="1" applyFont="1" applyAlignment="1">
      <alignment horizontal="center"/>
    </xf>
    <xf numFmtId="0" fontId="32" fillId="0" borderId="0" xfId="25766" applyNumberFormat="1" applyFont="1"/>
    <xf numFmtId="43" fontId="32" fillId="0" borderId="0" xfId="301" applyFont="1" applyFill="1"/>
    <xf numFmtId="43" fontId="32" fillId="0" borderId="0" xfId="173" applyFont="1" applyFill="1"/>
    <xf numFmtId="43" fontId="32" fillId="0" borderId="0" xfId="306" applyFont="1" applyFill="1"/>
    <xf numFmtId="43" fontId="32" fillId="0" borderId="0" xfId="300" applyFont="1" applyFill="1"/>
    <xf numFmtId="43" fontId="32" fillId="0" borderId="0" xfId="289" applyFont="1" applyFill="1"/>
    <xf numFmtId="43" fontId="32" fillId="0" borderId="0" xfId="291" applyFont="1" applyFill="1"/>
    <xf numFmtId="43" fontId="32" fillId="0" borderId="0" xfId="288" applyFont="1" applyFill="1"/>
    <xf numFmtId="43" fontId="32" fillId="0" borderId="0" xfId="290" applyFont="1" applyFill="1"/>
    <xf numFmtId="43" fontId="32" fillId="0" borderId="0" xfId="282" applyFont="1" applyFill="1"/>
    <xf numFmtId="43" fontId="124" fillId="0" borderId="0" xfId="5" applyFont="1" applyFill="1"/>
    <xf numFmtId="43" fontId="32" fillId="0" borderId="0" xfId="174" applyFont="1" applyFill="1"/>
    <xf numFmtId="43" fontId="32" fillId="0" borderId="0" xfId="314" applyFont="1" applyFill="1"/>
    <xf numFmtId="0" fontId="124" fillId="0" borderId="0" xfId="25767" applyFont="1" applyFill="1"/>
    <xf numFmtId="43" fontId="124" fillId="0" borderId="0" xfId="25767" applyNumberFormat="1" applyFont="1" applyFill="1"/>
    <xf numFmtId="49" fontId="32" fillId="0" borderId="0" xfId="166" applyNumberFormat="1" applyFont="1" applyFill="1"/>
    <xf numFmtId="49" fontId="124" fillId="0" borderId="0" xfId="3264" applyNumberFormat="1" applyFont="1" applyFill="1"/>
    <xf numFmtId="49" fontId="124" fillId="0" borderId="0" xfId="451" applyNumberFormat="1" applyFont="1" applyFill="1"/>
    <xf numFmtId="49" fontId="32" fillId="0" borderId="0" xfId="52" applyNumberFormat="1" applyFont="1" applyFill="1"/>
    <xf numFmtId="49" fontId="124" fillId="0" borderId="0" xfId="419" applyNumberFormat="1" applyFont="1" applyFill="1"/>
    <xf numFmtId="49" fontId="124" fillId="0" borderId="0" xfId="370" applyNumberFormat="1" applyFont="1" applyFill="1"/>
    <xf numFmtId="49" fontId="32" fillId="0" borderId="0" xfId="393" applyNumberFormat="1" applyFont="1" applyFill="1"/>
    <xf numFmtId="49" fontId="32" fillId="0" borderId="0" xfId="359" applyNumberFormat="1" applyFont="1" applyFill="1"/>
    <xf numFmtId="49" fontId="124" fillId="0" borderId="0" xfId="0" applyNumberFormat="1" applyFont="1" applyFill="1"/>
    <xf numFmtId="49" fontId="32" fillId="0" borderId="0" xfId="343" applyNumberFormat="1" applyFont="1" applyFill="1"/>
    <xf numFmtId="49" fontId="32" fillId="0" borderId="0" xfId="470" applyNumberFormat="1" applyFont="1" applyFill="1"/>
    <xf numFmtId="43" fontId="32" fillId="0" borderId="79" xfId="173" applyFont="1" applyFill="1" applyBorder="1"/>
    <xf numFmtId="43" fontId="124" fillId="0" borderId="0" xfId="5" applyFont="1"/>
    <xf numFmtId="43" fontId="32" fillId="0" borderId="0" xfId="25746" applyFont="1" applyFill="1"/>
    <xf numFmtId="43" fontId="32" fillId="0" borderId="0" xfId="181" applyFont="1"/>
    <xf numFmtId="43" fontId="124" fillId="0" borderId="0" xfId="25746" applyFont="1" applyFill="1"/>
    <xf numFmtId="43" fontId="32" fillId="0" borderId="0" xfId="173" applyFont="1" applyFill="1" applyBorder="1"/>
    <xf numFmtId="43" fontId="32" fillId="0" borderId="0" xfId="306" applyFont="1" applyFill="1" applyBorder="1"/>
    <xf numFmtId="43" fontId="32" fillId="0" borderId="0" xfId="300" applyFont="1" applyFill="1" applyBorder="1"/>
    <xf numFmtId="43" fontId="32" fillId="0" borderId="0" xfId="289" applyFont="1" applyFill="1" applyBorder="1"/>
    <xf numFmtId="43" fontId="32" fillId="0" borderId="0" xfId="291" applyFont="1" applyFill="1" applyBorder="1"/>
    <xf numFmtId="43" fontId="32" fillId="0" borderId="0" xfId="288" applyFont="1" applyFill="1" applyBorder="1"/>
    <xf numFmtId="43" fontId="32" fillId="0" borderId="0" xfId="290" applyFont="1" applyFill="1" applyBorder="1"/>
    <xf numFmtId="43" fontId="32" fillId="0" borderId="0" xfId="282" applyFont="1" applyFill="1" applyBorder="1"/>
    <xf numFmtId="43" fontId="124" fillId="0" borderId="0" xfId="5" applyFont="1" applyFill="1" applyBorder="1"/>
    <xf numFmtId="43" fontId="32" fillId="0" borderId="0" xfId="174" applyFont="1" applyFill="1" applyBorder="1"/>
    <xf numFmtId="43" fontId="32" fillId="0" borderId="0" xfId="314" applyFont="1" applyFill="1" applyBorder="1"/>
    <xf numFmtId="43" fontId="32" fillId="0" borderId="89" xfId="173" applyFont="1" applyFill="1" applyBorder="1"/>
    <xf numFmtId="43" fontId="32" fillId="0" borderId="89" xfId="306" applyFont="1" applyFill="1" applyBorder="1"/>
    <xf numFmtId="43" fontId="32" fillId="0" borderId="89" xfId="300" applyFont="1" applyFill="1" applyBorder="1"/>
    <xf numFmtId="43" fontId="32" fillId="0" borderId="89" xfId="289" applyFont="1" applyFill="1" applyBorder="1"/>
    <xf numFmtId="43" fontId="32" fillId="0" borderId="89" xfId="291" applyFont="1" applyFill="1" applyBorder="1"/>
    <xf numFmtId="43" fontId="32" fillId="0" borderId="89" xfId="288" applyFont="1" applyFill="1" applyBorder="1"/>
    <xf numFmtId="43" fontId="32" fillId="0" borderId="89" xfId="290" applyFont="1" applyFill="1" applyBorder="1"/>
    <xf numFmtId="43" fontId="32" fillId="0" borderId="89" xfId="282" applyFont="1" applyFill="1" applyBorder="1"/>
    <xf numFmtId="43" fontId="124" fillId="0" borderId="89" xfId="5" applyFont="1" applyFill="1" applyBorder="1"/>
    <xf numFmtId="43" fontId="32" fillId="0" borderId="89" xfId="174" applyFont="1" applyFill="1" applyBorder="1"/>
    <xf numFmtId="43" fontId="32" fillId="0" borderId="89" xfId="314" applyFont="1" applyFill="1" applyBorder="1"/>
    <xf numFmtId="43" fontId="32" fillId="0" borderId="0" xfId="173" applyNumberFormat="1" applyFont="1" applyFill="1"/>
    <xf numFmtId="43" fontId="32" fillId="0" borderId="53" xfId="173" applyNumberFormat="1" applyFont="1" applyFill="1" applyBorder="1"/>
    <xf numFmtId="43" fontId="32" fillId="0" borderId="89" xfId="173" applyNumberFormat="1" applyFont="1" applyFill="1" applyBorder="1"/>
    <xf numFmtId="49" fontId="124" fillId="0" borderId="0" xfId="409" applyNumberFormat="1" applyFont="1" applyFill="1"/>
    <xf numFmtId="0" fontId="32" fillId="0" borderId="0" xfId="166" applyNumberFormat="1" applyFont="1" applyFill="1"/>
    <xf numFmtId="0" fontId="124" fillId="0" borderId="0" xfId="3264" applyFont="1" applyFill="1"/>
    <xf numFmtId="0" fontId="124" fillId="0" borderId="0" xfId="451" applyNumberFormat="1" applyFont="1" applyFill="1"/>
    <xf numFmtId="0" fontId="32" fillId="0" borderId="0" xfId="52" applyNumberFormat="1" applyFont="1" applyFill="1"/>
    <xf numFmtId="0" fontId="124" fillId="0" borderId="0" xfId="419" applyNumberFormat="1" applyFont="1" applyFill="1"/>
    <xf numFmtId="0" fontId="124" fillId="0" borderId="0" xfId="370" applyNumberFormat="1" applyFont="1" applyFill="1"/>
    <xf numFmtId="0" fontId="32" fillId="0" borderId="0" xfId="393" applyNumberFormat="1" applyFont="1" applyFill="1"/>
    <xf numFmtId="0" fontId="32" fillId="0" borderId="0" xfId="359" applyNumberFormat="1" applyFont="1" applyFill="1"/>
    <xf numFmtId="0" fontId="124" fillId="0" borderId="0" xfId="0" applyNumberFormat="1" applyFont="1" applyFill="1"/>
    <xf numFmtId="0" fontId="32" fillId="0" borderId="0" xfId="343" applyNumberFormat="1" applyFont="1" applyFill="1"/>
    <xf numFmtId="0" fontId="32" fillId="0" borderId="0" xfId="470" applyNumberFormat="1" applyFont="1" applyFill="1"/>
    <xf numFmtId="43" fontId="32" fillId="0" borderId="0" xfId="166" applyNumberFormat="1" applyFont="1" applyFill="1"/>
    <xf numFmtId="43" fontId="32" fillId="0" borderId="79" xfId="306" applyFont="1" applyFill="1" applyBorder="1"/>
    <xf numFmtId="43" fontId="32" fillId="0" borderId="79" xfId="300" applyFont="1" applyFill="1" applyBorder="1"/>
    <xf numFmtId="43" fontId="32" fillId="0" borderId="79" xfId="289" applyFont="1" applyFill="1" applyBorder="1"/>
    <xf numFmtId="43" fontId="32" fillId="0" borderId="79" xfId="291" applyFont="1" applyFill="1" applyBorder="1"/>
    <xf numFmtId="43" fontId="32" fillId="0" borderId="79" xfId="288" applyFont="1" applyFill="1" applyBorder="1"/>
    <xf numFmtId="43" fontId="32" fillId="0" borderId="79" xfId="290" applyFont="1" applyFill="1" applyBorder="1"/>
    <xf numFmtId="43" fontId="32" fillId="0" borderId="79" xfId="282" applyFont="1" applyFill="1" applyBorder="1"/>
    <xf numFmtId="43" fontId="124" fillId="0" borderId="79" xfId="5" applyFont="1" applyFill="1" applyBorder="1"/>
    <xf numFmtId="43" fontId="32" fillId="0" borderId="79" xfId="174" applyFont="1" applyFill="1" applyBorder="1"/>
    <xf numFmtId="43" fontId="32" fillId="0" borderId="79" xfId="314" applyFont="1" applyFill="1" applyBorder="1"/>
    <xf numFmtId="43" fontId="32" fillId="0" borderId="0" xfId="5" applyFont="1" applyFill="1"/>
    <xf numFmtId="49" fontId="123" fillId="0" borderId="0" xfId="25766" applyNumberFormat="1" applyFont="1"/>
    <xf numFmtId="43" fontId="32" fillId="0" borderId="0" xfId="183" applyFont="1" applyFill="1"/>
    <xf numFmtId="43" fontId="32" fillId="0" borderId="0" xfId="312" applyFont="1" applyFill="1"/>
    <xf numFmtId="43" fontId="32" fillId="0" borderId="0" xfId="313" applyFont="1" applyFill="1"/>
    <xf numFmtId="43" fontId="32" fillId="0" borderId="0" xfId="337" applyFont="1" applyFill="1"/>
    <xf numFmtId="43" fontId="32" fillId="0" borderId="0" xfId="308" applyFont="1" applyFill="1"/>
    <xf numFmtId="0" fontId="32" fillId="0" borderId="0" xfId="25766" quotePrefix="1" applyNumberFormat="1" applyFont="1" applyFill="1"/>
    <xf numFmtId="49" fontId="124" fillId="0" borderId="0" xfId="3265" applyNumberFormat="1" applyFont="1" applyFill="1"/>
    <xf numFmtId="49" fontId="124" fillId="0" borderId="0" xfId="3262" applyNumberFormat="1" applyFont="1" applyFill="1"/>
    <xf numFmtId="43" fontId="32" fillId="0" borderId="0" xfId="5" applyFont="1"/>
    <xf numFmtId="43" fontId="32" fillId="0" borderId="0" xfId="308" applyFont="1" applyFill="1" applyBorder="1"/>
    <xf numFmtId="43" fontId="32" fillId="0" borderId="0" xfId="5" applyFont="1" applyFill="1" applyBorder="1"/>
    <xf numFmtId="43" fontId="32" fillId="0" borderId="89" xfId="5" applyFont="1" applyFill="1" applyBorder="1"/>
    <xf numFmtId="43" fontId="32" fillId="0" borderId="0" xfId="181" applyFont="1" applyFill="1"/>
    <xf numFmtId="49" fontId="32" fillId="0" borderId="0" xfId="333" applyNumberFormat="1" applyFont="1" applyFill="1"/>
    <xf numFmtId="43" fontId="32" fillId="0" borderId="0" xfId="337" applyFont="1" applyFill="1" applyBorder="1"/>
    <xf numFmtId="49" fontId="32" fillId="0" borderId="0" xfId="25766" quotePrefix="1" applyNumberFormat="1" applyFont="1"/>
    <xf numFmtId="43" fontId="124" fillId="95" borderId="0" xfId="25767" applyNumberFormat="1" applyFont="1" applyFill="1"/>
    <xf numFmtId="0" fontId="32" fillId="0" borderId="0" xfId="25766" quotePrefix="1" applyNumberFormat="1" applyFont="1"/>
    <xf numFmtId="49" fontId="86" fillId="0" borderId="0" xfId="25766" applyNumberFormat="1" applyFont="1"/>
    <xf numFmtId="0" fontId="86" fillId="0" borderId="0" xfId="25766" applyNumberFormat="1" applyFont="1"/>
    <xf numFmtId="0" fontId="86" fillId="0" borderId="0" xfId="25766" quotePrefix="1" applyNumberFormat="1" applyFont="1"/>
    <xf numFmtId="43" fontId="32" fillId="0" borderId="0" xfId="351" applyFont="1" applyFill="1"/>
    <xf numFmtId="0" fontId="32" fillId="0" borderId="0" xfId="25766" applyNumberFormat="1" applyFont="1" applyAlignment="1">
      <alignment horizontal="left"/>
    </xf>
    <xf numFmtId="43" fontId="32" fillId="0" borderId="82" xfId="173" applyFont="1" applyFill="1" applyBorder="1"/>
    <xf numFmtId="2" fontId="124" fillId="0" borderId="0" xfId="409" applyNumberFormat="1" applyFont="1" applyFill="1" applyAlignment="1">
      <alignment wrapText="1"/>
    </xf>
    <xf numFmtId="2" fontId="32" fillId="0" borderId="0" xfId="25766" applyNumberFormat="1" applyFont="1" applyAlignment="1">
      <alignment wrapText="1"/>
    </xf>
    <xf numFmtId="2" fontId="32" fillId="0" borderId="0" xfId="409" applyNumberFormat="1" applyFont="1" applyFill="1" applyAlignment="1">
      <alignment wrapText="1"/>
    </xf>
    <xf numFmtId="49" fontId="138" fillId="0" borderId="0" xfId="25766" applyNumberFormat="1" applyFont="1"/>
    <xf numFmtId="49" fontId="32" fillId="0" borderId="0" xfId="409" applyNumberFormat="1" applyFont="1" applyFill="1"/>
    <xf numFmtId="2" fontId="32" fillId="0" borderId="0" xfId="25766" applyNumberFormat="1" applyFont="1"/>
    <xf numFmtId="0" fontId="86" fillId="0" borderId="0" xfId="25766" applyNumberFormat="1" applyFont="1" applyFill="1"/>
    <xf numFmtId="49" fontId="32" fillId="0" borderId="0" xfId="58" applyNumberFormat="1" applyFont="1" applyFill="1"/>
    <xf numFmtId="190" fontId="124" fillId="0" borderId="0" xfId="25767" applyNumberFormat="1" applyFont="1"/>
    <xf numFmtId="43" fontId="124" fillId="0" borderId="0" xfId="25746" applyFont="1"/>
    <xf numFmtId="166" fontId="124" fillId="0" borderId="0" xfId="25746" applyNumberFormat="1" applyFont="1"/>
    <xf numFmtId="43" fontId="32" fillId="0" borderId="0" xfId="25766" applyNumberFormat="1" applyFont="1" applyFill="1"/>
    <xf numFmtId="0" fontId="123" fillId="96" borderId="0" xfId="25766" applyFont="1" applyFill="1"/>
    <xf numFmtId="10" fontId="126" fillId="96" borderId="0" xfId="25767" applyNumberFormat="1" applyFont="1" applyFill="1"/>
    <xf numFmtId="0" fontId="126" fillId="0" borderId="0" xfId="0" applyFont="1"/>
    <xf numFmtId="6" fontId="126" fillId="0" borderId="83" xfId="0" applyNumberFormat="1" applyFont="1" applyBorder="1" applyAlignment="1">
      <alignment horizontal="center"/>
    </xf>
    <xf numFmtId="0" fontId="123" fillId="0" borderId="0" xfId="0" applyFont="1" applyFill="1" applyAlignment="1">
      <alignment horizontal="center"/>
    </xf>
    <xf numFmtId="0" fontId="133" fillId="0" borderId="0" xfId="0" applyFont="1" applyFill="1" applyAlignment="1">
      <alignment horizontal="center"/>
    </xf>
    <xf numFmtId="49" fontId="32" fillId="0" borderId="0" xfId="0" applyNumberFormat="1" applyFont="1" applyFill="1" applyAlignment="1">
      <alignment horizontal="center"/>
    </xf>
    <xf numFmtId="0" fontId="32" fillId="0" borderId="0" xfId="25295" quotePrefix="1" applyFont="1" applyFill="1" applyBorder="1" applyAlignment="1">
      <alignment horizontal="center"/>
    </xf>
    <xf numFmtId="43" fontId="32" fillId="0" borderId="0" xfId="0" applyNumberFormat="1" applyFont="1" applyFill="1"/>
    <xf numFmtId="196" fontId="124" fillId="0" borderId="0" xfId="0" applyNumberFormat="1" applyFont="1" applyFill="1" applyBorder="1"/>
    <xf numFmtId="0" fontId="0" fillId="0" borderId="0" xfId="0" applyAlignment="1">
      <alignment horizontal="right"/>
    </xf>
    <xf numFmtId="39" fontId="124" fillId="0" borderId="0" xfId="0" applyNumberFormat="1" applyFont="1" applyFill="1"/>
    <xf numFmtId="39" fontId="32" fillId="0" borderId="85" xfId="0" applyNumberFormat="1" applyFont="1" applyFill="1" applyBorder="1"/>
    <xf numFmtId="37" fontId="18" fillId="0" borderId="0" xfId="25797" applyFont="1"/>
    <xf numFmtId="37" fontId="18" fillId="0" borderId="0" xfId="25797" applyFont="1" applyFill="1"/>
    <xf numFmtId="199" fontId="18" fillId="0" borderId="0" xfId="25797" applyNumberFormat="1" applyFont="1" applyFill="1"/>
    <xf numFmtId="37" fontId="18" fillId="0" borderId="89" xfId="25797" applyFont="1" applyFill="1" applyBorder="1"/>
    <xf numFmtId="10" fontId="18" fillId="0" borderId="0" xfId="25750" applyNumberFormat="1" applyFont="1" applyFill="1"/>
    <xf numFmtId="0" fontId="18" fillId="0" borderId="0" xfId="25768" applyNumberFormat="1" applyFont="1" applyFill="1" applyAlignment="1">
      <alignment horizontal="left"/>
    </xf>
    <xf numFmtId="37" fontId="18" fillId="0" borderId="100" xfId="25797" applyFont="1" applyFill="1" applyBorder="1"/>
    <xf numFmtId="37" fontId="18" fillId="0" borderId="49" xfId="25797" applyFont="1" applyFill="1" applyBorder="1"/>
    <xf numFmtId="37" fontId="18" fillId="0" borderId="99" xfId="25797" applyFont="1" applyFill="1" applyBorder="1"/>
    <xf numFmtId="10" fontId="23" fillId="0" borderId="49" xfId="25797" applyNumberFormat="1" applyFont="1" applyFill="1" applyBorder="1" applyProtection="1">
      <protection locked="0"/>
    </xf>
    <xf numFmtId="37" fontId="18" fillId="0" borderId="100" xfId="25797" applyFont="1" applyBorder="1"/>
    <xf numFmtId="37" fontId="18" fillId="0" borderId="49" xfId="25797" applyFont="1" applyBorder="1"/>
    <xf numFmtId="37" fontId="18" fillId="0" borderId="99" xfId="25797" applyFont="1" applyBorder="1"/>
    <xf numFmtId="37" fontId="18" fillId="0" borderId="93" xfId="25797" applyFont="1" applyFill="1" applyBorder="1"/>
    <xf numFmtId="37" fontId="18" fillId="0" borderId="0" xfId="25797" applyFont="1" applyFill="1" applyBorder="1"/>
    <xf numFmtId="37" fontId="18" fillId="0" borderId="92" xfId="25797" applyFont="1" applyFill="1" applyBorder="1"/>
    <xf numFmtId="10" fontId="18" fillId="0" borderId="0" xfId="25797" applyNumberFormat="1" applyFont="1" applyFill="1" applyBorder="1" applyAlignment="1" applyProtection="1">
      <alignment horizontal="left"/>
    </xf>
    <xf numFmtId="37" fontId="18" fillId="0" borderId="93" xfId="25797" applyFont="1" applyBorder="1"/>
    <xf numFmtId="37" fontId="18" fillId="0" borderId="0" xfId="25797" applyFont="1" applyBorder="1"/>
    <xf numFmtId="37" fontId="18" fillId="0" borderId="92" xfId="25797" applyFont="1" applyBorder="1"/>
    <xf numFmtId="10" fontId="18" fillId="0" borderId="93" xfId="25797" applyNumberFormat="1" applyFont="1" applyFill="1" applyBorder="1" applyAlignment="1" applyProtection="1">
      <alignment horizontal="fill"/>
    </xf>
    <xf numFmtId="10" fontId="18" fillId="0" borderId="0" xfId="25797" applyNumberFormat="1" applyFont="1" applyFill="1" applyBorder="1" applyAlignment="1" applyProtection="1">
      <alignment horizontal="fill"/>
    </xf>
    <xf numFmtId="10" fontId="18" fillId="0" borderId="109" xfId="25797" applyNumberFormat="1" applyFont="1" applyFill="1" applyBorder="1" applyProtection="1"/>
    <xf numFmtId="10" fontId="18" fillId="0" borderId="89" xfId="25797" applyNumberFormat="1" applyFont="1" applyFill="1" applyBorder="1" applyProtection="1"/>
    <xf numFmtId="166" fontId="18" fillId="0" borderId="109" xfId="25768" applyNumberFormat="1" applyFont="1" applyFill="1" applyBorder="1" applyProtection="1"/>
    <xf numFmtId="166" fontId="18" fillId="0" borderId="89" xfId="25768" applyNumberFormat="1" applyFont="1" applyFill="1" applyBorder="1" applyProtection="1"/>
    <xf numFmtId="10" fontId="18" fillId="0" borderId="93" xfId="25797" applyNumberFormat="1" applyFont="1" applyBorder="1" applyAlignment="1" applyProtection="1">
      <alignment horizontal="fill"/>
    </xf>
    <xf numFmtId="10" fontId="18" fillId="0" borderId="0" xfId="25797" applyNumberFormat="1" applyFont="1" applyBorder="1" applyAlignment="1" applyProtection="1">
      <alignment horizontal="fill"/>
    </xf>
    <xf numFmtId="166" fontId="18" fillId="0" borderId="93" xfId="25768" applyNumberFormat="1" applyFont="1" applyFill="1" applyBorder="1"/>
    <xf numFmtId="166" fontId="18" fillId="0" borderId="0" xfId="25768" applyNumberFormat="1" applyFont="1" applyFill="1" applyBorder="1"/>
    <xf numFmtId="10" fontId="18" fillId="0" borderId="93" xfId="25797" applyNumberFormat="1" applyFont="1" applyBorder="1" applyProtection="1"/>
    <xf numFmtId="10" fontId="18" fillId="0" borderId="0" xfId="25797" applyNumberFormat="1" applyFont="1" applyBorder="1" applyProtection="1"/>
    <xf numFmtId="10" fontId="23" fillId="0" borderId="0" xfId="25797" applyNumberFormat="1" applyFont="1" applyBorder="1" applyProtection="1">
      <protection locked="0"/>
    </xf>
    <xf numFmtId="10" fontId="18" fillId="0" borderId="92" xfId="25797" applyNumberFormat="1" applyFont="1" applyBorder="1" applyAlignment="1" applyProtection="1">
      <alignment horizontal="left"/>
    </xf>
    <xf numFmtId="166" fontId="18" fillId="0" borderId="0" xfId="25768" applyNumberFormat="1" applyFont="1" applyFill="1" applyBorder="1" applyProtection="1"/>
    <xf numFmtId="166" fontId="18" fillId="0" borderId="0" xfId="25768" applyNumberFormat="1" applyFont="1" applyFill="1" applyBorder="1" applyAlignment="1" applyProtection="1">
      <alignment horizontal="fill"/>
    </xf>
    <xf numFmtId="10" fontId="18" fillId="0" borderId="92" xfId="25797" applyNumberFormat="1" applyFont="1" applyFill="1" applyBorder="1" applyAlignment="1" applyProtection="1">
      <alignment horizontal="left"/>
    </xf>
    <xf numFmtId="166" fontId="23" fillId="0" borderId="89" xfId="25768" applyNumberFormat="1" applyFont="1" applyFill="1" applyBorder="1" applyProtection="1">
      <protection locked="0"/>
    </xf>
    <xf numFmtId="200" fontId="18" fillId="0" borderId="0" xfId="25797" applyNumberFormat="1" applyFont="1" applyFill="1" applyBorder="1" applyProtection="1"/>
    <xf numFmtId="10" fontId="18" fillId="0" borderId="109" xfId="25797" applyNumberFormat="1" applyFont="1" applyBorder="1" applyProtection="1"/>
    <xf numFmtId="10" fontId="18" fillId="0" borderId="89" xfId="25797" applyNumberFormat="1" applyFont="1" applyBorder="1" applyProtection="1"/>
    <xf numFmtId="10" fontId="18" fillId="0" borderId="0" xfId="25750" applyNumberFormat="1" applyFont="1" applyFill="1" applyBorder="1"/>
    <xf numFmtId="166" fontId="23" fillId="0" borderId="0" xfId="25768" applyNumberFormat="1" applyFont="1" applyFill="1" applyBorder="1" applyProtection="1">
      <protection locked="0"/>
    </xf>
    <xf numFmtId="39" fontId="18" fillId="0" borderId="0" xfId="25797" applyNumberFormat="1" applyFont="1"/>
    <xf numFmtId="10" fontId="18" fillId="0" borderId="93" xfId="25797" applyNumberFormat="1" applyFont="1" applyFill="1" applyBorder="1" applyProtection="1"/>
    <xf numFmtId="166" fontId="18" fillId="0" borderId="93" xfId="25768" applyNumberFormat="1" applyFont="1" applyFill="1" applyBorder="1" applyAlignment="1" applyProtection="1">
      <alignment horizontal="fill"/>
    </xf>
    <xf numFmtId="10" fontId="18" fillId="0" borderId="109" xfId="25797" applyNumberFormat="1" applyFont="1" applyFill="1" applyBorder="1" applyAlignment="1" applyProtection="1">
      <alignment horizontal="center"/>
    </xf>
    <xf numFmtId="10" fontId="18" fillId="0" borderId="89" xfId="25797" applyNumberFormat="1" applyFont="1" applyFill="1" applyBorder="1" applyAlignment="1" applyProtection="1">
      <alignment horizontal="center"/>
    </xf>
    <xf numFmtId="10" fontId="18" fillId="0" borderId="93" xfId="25797" applyNumberFormat="1" applyFont="1" applyFill="1" applyBorder="1" applyAlignment="1" applyProtection="1">
      <alignment horizontal="center"/>
    </xf>
    <xf numFmtId="10" fontId="18" fillId="0" borderId="0" xfId="25797" applyNumberFormat="1" applyFont="1" applyFill="1" applyBorder="1" applyAlignment="1" applyProtection="1">
      <alignment horizontal="center"/>
    </xf>
    <xf numFmtId="166" fontId="18" fillId="0" borderId="93" xfId="25768" applyNumberFormat="1" applyFont="1" applyFill="1" applyBorder="1" applyProtection="1"/>
    <xf numFmtId="37" fontId="18" fillId="0" borderId="93" xfId="25797" applyFont="1" applyFill="1" applyBorder="1" applyAlignment="1">
      <alignment horizontal="center"/>
    </xf>
    <xf numFmtId="201" fontId="18" fillId="0" borderId="0" xfId="25797" applyNumberFormat="1" applyFont="1" applyFill="1" applyBorder="1" applyAlignment="1" applyProtection="1">
      <alignment horizontal="center"/>
    </xf>
    <xf numFmtId="166" fontId="18" fillId="0" borderId="89" xfId="25768" applyNumberFormat="1" applyFont="1" applyFill="1" applyBorder="1" applyAlignment="1" applyProtection="1">
      <alignment horizontal="center"/>
    </xf>
    <xf numFmtId="166" fontId="18" fillId="0" borderId="0" xfId="25768" applyNumberFormat="1" applyFont="1" applyFill="1" applyBorder="1" applyAlignment="1" applyProtection="1">
      <alignment horizontal="center"/>
    </xf>
    <xf numFmtId="37" fontId="18" fillId="0" borderId="0" xfId="25797" applyFont="1" applyFill="1" applyBorder="1" applyAlignment="1">
      <alignment horizontal="center"/>
    </xf>
    <xf numFmtId="10" fontId="18" fillId="0" borderId="109" xfId="25797" applyNumberFormat="1" applyFont="1" applyBorder="1" applyAlignment="1" applyProtection="1">
      <alignment horizontal="center"/>
    </xf>
    <xf numFmtId="10" fontId="18" fillId="0" borderId="89" xfId="25797" applyNumberFormat="1" applyFont="1" applyBorder="1" applyAlignment="1" applyProtection="1">
      <alignment horizontal="center"/>
    </xf>
    <xf numFmtId="37" fontId="18" fillId="0" borderId="93" xfId="25797" applyFont="1" applyFill="1" applyBorder="1" applyAlignment="1">
      <alignment horizontal="centerContinuous"/>
    </xf>
    <xf numFmtId="37" fontId="18" fillId="0" borderId="0" xfId="25797" applyFont="1" applyFill="1" applyBorder="1" applyAlignment="1">
      <alignment horizontal="centerContinuous"/>
    </xf>
    <xf numFmtId="201" fontId="18" fillId="0" borderId="92" xfId="25797" applyNumberFormat="1" applyFont="1" applyFill="1" applyBorder="1" applyAlignment="1" applyProtection="1">
      <alignment horizontal="centerContinuous"/>
    </xf>
    <xf numFmtId="166" fontId="18" fillId="0" borderId="93" xfId="25768" applyNumberFormat="1" applyFont="1" applyFill="1" applyBorder="1" applyAlignment="1">
      <alignment horizontal="centerContinuous"/>
    </xf>
    <xf numFmtId="166" fontId="18" fillId="0" borderId="0" xfId="25768" applyNumberFormat="1" applyFont="1" applyFill="1" applyBorder="1" applyAlignment="1">
      <alignment horizontal="centerContinuous"/>
    </xf>
    <xf numFmtId="201" fontId="18" fillId="0" borderId="0" xfId="25797" applyNumberFormat="1" applyFont="1" applyFill="1" applyBorder="1" applyAlignment="1" applyProtection="1">
      <alignment horizontal="centerContinuous"/>
    </xf>
    <xf numFmtId="37" fontId="18" fillId="0" borderId="93" xfId="25797" applyFont="1" applyBorder="1" applyAlignment="1">
      <alignment horizontal="centerContinuous"/>
    </xf>
    <xf numFmtId="37" fontId="18" fillId="0" borderId="0" xfId="25797" applyFont="1" applyBorder="1" applyAlignment="1">
      <alignment horizontal="centerContinuous"/>
    </xf>
    <xf numFmtId="201" fontId="23" fillId="0" borderId="92" xfId="25797" applyNumberFormat="1" applyFont="1" applyBorder="1" applyAlignment="1" applyProtection="1">
      <alignment horizontal="centerContinuous"/>
      <protection locked="0"/>
    </xf>
    <xf numFmtId="10" fontId="18" fillId="0" borderId="92" xfId="25797" applyNumberFormat="1" applyFont="1" applyFill="1" applyBorder="1" applyAlignment="1" applyProtection="1">
      <alignment horizontal="centerContinuous"/>
    </xf>
    <xf numFmtId="10" fontId="18" fillId="0" borderId="0" xfId="25797" applyNumberFormat="1" applyFont="1" applyFill="1" applyBorder="1" applyAlignment="1" applyProtection="1">
      <alignment horizontal="centerContinuous"/>
    </xf>
    <xf numFmtId="10" fontId="18" fillId="0" borderId="92" xfId="25797" applyNumberFormat="1" applyFont="1" applyBorder="1" applyAlignment="1" applyProtection="1">
      <alignment horizontal="centerContinuous"/>
    </xf>
    <xf numFmtId="37" fontId="18" fillId="0" borderId="98" xfId="25797" applyFont="1" applyFill="1" applyBorder="1"/>
    <xf numFmtId="37" fontId="18" fillId="0" borderId="97" xfId="25797" applyFont="1" applyFill="1" applyBorder="1"/>
    <xf numFmtId="37" fontId="18" fillId="0" borderId="96" xfId="25797" applyFont="1" applyFill="1" applyBorder="1"/>
    <xf numFmtId="166" fontId="18" fillId="0" borderId="98" xfId="25768" applyNumberFormat="1" applyFont="1" applyFill="1" applyBorder="1"/>
    <xf numFmtId="166" fontId="18" fillId="0" borderId="97" xfId="25768" applyNumberFormat="1" applyFont="1" applyFill="1" applyBorder="1"/>
    <xf numFmtId="37" fontId="18" fillId="0" borderId="98" xfId="25797" applyFont="1" applyBorder="1"/>
    <xf numFmtId="37" fontId="18" fillId="0" borderId="97" xfId="25797" applyFont="1" applyBorder="1"/>
    <xf numFmtId="37" fontId="18" fillId="0" borderId="96" xfId="25797" applyFont="1" applyBorder="1"/>
    <xf numFmtId="37" fontId="141" fillId="0" borderId="0" xfId="25797" applyFont="1"/>
    <xf numFmtId="37" fontId="26" fillId="0" borderId="0" xfId="25797" applyFont="1"/>
    <xf numFmtId="10" fontId="32" fillId="0" borderId="0" xfId="25796" applyNumberFormat="1" applyFont="1"/>
    <xf numFmtId="0" fontId="32" fillId="0" borderId="0" xfId="25796" applyFont="1" applyFill="1" applyAlignment="1">
      <alignment horizontal="center"/>
    </xf>
    <xf numFmtId="10" fontId="18" fillId="95" borderId="92" xfId="25797" applyNumberFormat="1" applyFont="1" applyFill="1" applyBorder="1" applyAlignment="1" applyProtection="1">
      <alignment horizontal="left"/>
    </xf>
    <xf numFmtId="10" fontId="18" fillId="95" borderId="89" xfId="25797" applyNumberFormat="1" applyFont="1" applyFill="1" applyBorder="1" applyProtection="1"/>
    <xf numFmtId="10" fontId="18" fillId="95" borderId="109" xfId="25797" applyNumberFormat="1" applyFont="1" applyFill="1" applyBorder="1" applyProtection="1"/>
    <xf numFmtId="0" fontId="144" fillId="0" borderId="0" xfId="0" applyFont="1" applyAlignment="1"/>
    <xf numFmtId="202" fontId="18" fillId="0" borderId="0" xfId="25797" applyNumberFormat="1" applyFont="1" applyBorder="1"/>
    <xf numFmtId="0" fontId="124" fillId="0" borderId="49" xfId="0" applyFont="1" applyFill="1" applyBorder="1" applyAlignment="1">
      <alignment horizontal="center"/>
    </xf>
    <xf numFmtId="0" fontId="143" fillId="0" borderId="0" xfId="0" applyFont="1" applyAlignment="1">
      <alignment horizontal="center"/>
    </xf>
    <xf numFmtId="0" fontId="124" fillId="0" borderId="0" xfId="0" applyFont="1" applyAlignment="1">
      <alignment horizontal="left" vertical="top"/>
    </xf>
    <xf numFmtId="0" fontId="124" fillId="0" borderId="80" xfId="0" applyFont="1" applyBorder="1" applyAlignment="1">
      <alignment horizontal="center"/>
    </xf>
    <xf numFmtId="39" fontId="124" fillId="0" borderId="81" xfId="25747" applyNumberFormat="1" applyFont="1" applyBorder="1" applyAlignment="1"/>
    <xf numFmtId="4" fontId="124" fillId="0" borderId="56" xfId="0" applyNumberFormat="1" applyFont="1" applyBorder="1" applyAlignment="1"/>
    <xf numFmtId="203" fontId="124" fillId="0" borderId="56" xfId="0" applyNumberFormat="1" applyFont="1" applyBorder="1" applyAlignment="1"/>
    <xf numFmtId="4" fontId="124" fillId="0" borderId="81" xfId="0" applyNumberFormat="1" applyFont="1" applyBorder="1" applyAlignment="1"/>
    <xf numFmtId="0" fontId="124" fillId="0" borderId="11" xfId="0" applyFont="1" applyBorder="1" applyAlignment="1"/>
    <xf numFmtId="190" fontId="124" fillId="0" borderId="56" xfId="0" applyNumberFormat="1" applyFont="1" applyBorder="1" applyAlignment="1"/>
    <xf numFmtId="49" fontId="123" fillId="33" borderId="54" xfId="24690" applyNumberFormat="1" applyFont="1" applyFill="1" applyBorder="1" applyAlignment="1"/>
    <xf numFmtId="49" fontId="123" fillId="33" borderId="55" xfId="24690" applyNumberFormat="1" applyFont="1" applyFill="1" applyBorder="1" applyAlignment="1"/>
    <xf numFmtId="49" fontId="123" fillId="33" borderId="56" xfId="24690" applyNumberFormat="1" applyFont="1" applyFill="1" applyBorder="1" applyAlignment="1"/>
    <xf numFmtId="0" fontId="126" fillId="0" borderId="0" xfId="0" applyFont="1" applyAlignment="1">
      <alignment horizontal="center" vertical="center"/>
    </xf>
    <xf numFmtId="37" fontId="18" fillId="0" borderId="0" xfId="25797" applyFont="1" applyAlignment="1">
      <alignment horizontal="center"/>
    </xf>
    <xf numFmtId="37" fontId="60" fillId="0" borderId="0" xfId="25797" applyFont="1" applyAlignment="1">
      <alignment horizontal="center"/>
    </xf>
    <xf numFmtId="0" fontId="32" fillId="0" borderId="0" xfId="24690" applyFont="1" applyFill="1" applyBorder="1" applyAlignment="1">
      <alignment horizontal="center"/>
    </xf>
    <xf numFmtId="0" fontId="146" fillId="0" borderId="0" xfId="0" applyFont="1" applyAlignment="1">
      <alignment horizontal="left"/>
    </xf>
    <xf numFmtId="49" fontId="126" fillId="0" borderId="0" xfId="0" applyNumberFormat="1" applyFont="1" applyBorder="1" applyAlignment="1">
      <alignment horizontal="center" vertical="center"/>
    </xf>
    <xf numFmtId="0" fontId="123" fillId="33" borderId="0" xfId="1" applyFont="1" applyFill="1" applyBorder="1" applyAlignment="1">
      <alignment horizontal="center"/>
    </xf>
    <xf numFmtId="0" fontId="123" fillId="33" borderId="0" xfId="1" quotePrefix="1" applyFont="1" applyFill="1" applyBorder="1" applyAlignment="1">
      <alignment horizontal="center"/>
    </xf>
    <xf numFmtId="0" fontId="123" fillId="33" borderId="80" xfId="24690" applyFont="1" applyFill="1" applyBorder="1" applyAlignment="1">
      <alignment horizontal="center"/>
    </xf>
    <xf numFmtId="0" fontId="123" fillId="33" borderId="79" xfId="24690" applyFont="1" applyFill="1" applyBorder="1" applyAlignment="1">
      <alignment horizontal="center"/>
    </xf>
    <xf numFmtId="0" fontId="123" fillId="33" borderId="81" xfId="24690" applyFont="1" applyFill="1" applyBorder="1" applyAlignment="1">
      <alignment horizontal="center"/>
    </xf>
    <xf numFmtId="0" fontId="123" fillId="33" borderId="35" xfId="24690" applyFont="1" applyFill="1" applyBorder="1" applyAlignment="1">
      <alignment horizontal="center"/>
    </xf>
    <xf numFmtId="0" fontId="123" fillId="33" borderId="0" xfId="24690" applyFont="1" applyFill="1" applyBorder="1" applyAlignment="1">
      <alignment horizontal="center"/>
    </xf>
    <xf numFmtId="0" fontId="123" fillId="33" borderId="11" xfId="24690" applyFont="1" applyFill="1" applyBorder="1" applyAlignment="1">
      <alignment horizontal="center"/>
    </xf>
    <xf numFmtId="0" fontId="123" fillId="33" borderId="80" xfId="25276" applyFont="1" applyFill="1" applyBorder="1" applyAlignment="1">
      <alignment horizontal="center"/>
    </xf>
    <xf numFmtId="0" fontId="123" fillId="33" borderId="79" xfId="25276" applyFont="1" applyFill="1" applyBorder="1" applyAlignment="1">
      <alignment horizontal="center"/>
    </xf>
    <xf numFmtId="0" fontId="123" fillId="33" borderId="81" xfId="25276" applyFont="1" applyFill="1" applyBorder="1" applyAlignment="1">
      <alignment horizontal="center"/>
    </xf>
    <xf numFmtId="0" fontId="123" fillId="33" borderId="55" xfId="1" quotePrefix="1" applyFont="1" applyFill="1" applyBorder="1" applyAlignment="1">
      <alignment horizontal="center"/>
    </xf>
    <xf numFmtId="0" fontId="123" fillId="0" borderId="0" xfId="25455" quotePrefix="1" applyFont="1" applyFill="1" applyAlignment="1">
      <alignment horizontal="center"/>
    </xf>
    <xf numFmtId="0" fontId="123" fillId="0" borderId="0" xfId="24690" applyFont="1" applyFill="1" applyBorder="1" applyAlignment="1">
      <alignment horizontal="center"/>
    </xf>
    <xf numFmtId="0" fontId="123" fillId="33" borderId="10" xfId="24690" applyFont="1" applyFill="1" applyBorder="1" applyAlignment="1">
      <alignment horizontal="center"/>
    </xf>
    <xf numFmtId="0" fontId="123" fillId="33" borderId="72" xfId="24690" applyFont="1" applyFill="1" applyBorder="1" applyAlignment="1">
      <alignment horizontal="center"/>
    </xf>
    <xf numFmtId="0" fontId="123" fillId="33" borderId="71" xfId="24690" applyFont="1" applyFill="1" applyBorder="1" applyAlignment="1">
      <alignment horizontal="center"/>
    </xf>
    <xf numFmtId="49" fontId="123" fillId="33" borderId="54" xfId="24690" applyNumberFormat="1" applyFont="1" applyFill="1" applyBorder="1" applyAlignment="1">
      <alignment horizontal="center"/>
    </xf>
    <xf numFmtId="49" fontId="123" fillId="33" borderId="55" xfId="24690" applyNumberFormat="1" applyFont="1" applyFill="1" applyBorder="1" applyAlignment="1">
      <alignment horizontal="center"/>
    </xf>
    <xf numFmtId="49" fontId="123" fillId="33" borderId="56" xfId="24690" applyNumberFormat="1" applyFont="1" applyFill="1" applyBorder="1" applyAlignment="1">
      <alignment horizontal="center"/>
    </xf>
    <xf numFmtId="0" fontId="126" fillId="0" borderId="0" xfId="0" applyFont="1" applyAlignment="1">
      <alignment horizontal="center"/>
    </xf>
    <xf numFmtId="0" fontId="123" fillId="93" borderId="54" xfId="0" applyFont="1" applyFill="1" applyBorder="1" applyAlignment="1">
      <alignment horizontal="left"/>
    </xf>
    <xf numFmtId="0" fontId="123" fillId="93" borderId="56" xfId="0" applyFont="1" applyFill="1" applyBorder="1" applyAlignment="1">
      <alignment horizontal="left"/>
    </xf>
    <xf numFmtId="39" fontId="123" fillId="0" borderId="35" xfId="25745" applyFont="1" applyBorder="1" applyAlignment="1" applyProtection="1">
      <alignment horizontal="left" wrapText="1" indent="1"/>
    </xf>
    <xf numFmtId="39" fontId="123" fillId="0" borderId="11" xfId="25745" applyFont="1" applyBorder="1" applyAlignment="1" applyProtection="1">
      <alignment horizontal="left" wrapText="1" indent="1"/>
    </xf>
    <xf numFmtId="0" fontId="123" fillId="93" borderId="80" xfId="0" applyFont="1" applyFill="1" applyBorder="1" applyAlignment="1">
      <alignment horizontal="left" vertical="center"/>
    </xf>
    <xf numFmtId="0" fontId="123" fillId="93" borderId="81" xfId="0" applyFont="1" applyFill="1" applyBorder="1" applyAlignment="1">
      <alignment horizontal="left" vertical="center"/>
    </xf>
    <xf numFmtId="0" fontId="123" fillId="93" borderId="35" xfId="0" applyFont="1" applyFill="1" applyBorder="1" applyAlignment="1">
      <alignment horizontal="left" vertical="center"/>
    </xf>
    <xf numFmtId="0" fontId="123" fillId="93" borderId="11" xfId="0" applyFont="1" applyFill="1" applyBorder="1" applyAlignment="1">
      <alignment horizontal="left" vertical="center"/>
    </xf>
    <xf numFmtId="0" fontId="123" fillId="94" borderId="84" xfId="0" applyFont="1" applyFill="1" applyBorder="1" applyAlignment="1">
      <alignment horizontal="center"/>
    </xf>
    <xf numFmtId="0" fontId="123" fillId="94" borderId="53" xfId="0" applyFont="1" applyFill="1" applyBorder="1" applyAlignment="1">
      <alignment horizontal="center"/>
    </xf>
    <xf numFmtId="0" fontId="123" fillId="94" borderId="80" xfId="0" applyFont="1" applyFill="1" applyBorder="1" applyAlignment="1">
      <alignment horizontal="center"/>
    </xf>
    <xf numFmtId="0" fontId="123" fillId="94" borderId="79" xfId="0" applyFont="1" applyFill="1" applyBorder="1" applyAlignment="1">
      <alignment horizontal="center"/>
    </xf>
    <xf numFmtId="0" fontId="123" fillId="94" borderId="81" xfId="0" applyFont="1" applyFill="1" applyBorder="1" applyAlignment="1">
      <alignment horizontal="center"/>
    </xf>
    <xf numFmtId="0" fontId="131" fillId="0" borderId="79" xfId="0" applyFont="1" applyBorder="1" applyAlignment="1">
      <alignment horizontal="left"/>
    </xf>
    <xf numFmtId="0" fontId="131" fillId="0" borderId="53" xfId="0" applyFont="1" applyBorder="1" applyAlignment="1">
      <alignment horizontal="left"/>
    </xf>
    <xf numFmtId="0" fontId="124" fillId="33" borderId="0" xfId="0" applyFont="1" applyFill="1" applyBorder="1" applyAlignment="1">
      <alignment horizontal="right"/>
    </xf>
    <xf numFmtId="0" fontId="124" fillId="33" borderId="93" xfId="0" applyFont="1" applyFill="1" applyBorder="1" applyAlignment="1">
      <alignment horizontal="right"/>
    </xf>
    <xf numFmtId="0" fontId="142" fillId="0" borderId="96" xfId="0" applyFont="1" applyBorder="1" applyAlignment="1">
      <alignment horizontal="center" vertical="center" wrapText="1"/>
    </xf>
    <xf numFmtId="0" fontId="142" fillId="0" borderId="97" xfId="0" applyFont="1" applyBorder="1" applyAlignment="1">
      <alignment horizontal="center" vertical="center" wrapText="1"/>
    </xf>
    <xf numFmtId="0" fontId="142" fillId="0" borderId="98" xfId="0" applyFont="1" applyBorder="1" applyAlignment="1">
      <alignment horizontal="center" vertical="center" wrapText="1"/>
    </xf>
    <xf numFmtId="0" fontId="142" fillId="0" borderId="92" xfId="0" applyFont="1" applyBorder="1" applyAlignment="1">
      <alignment horizontal="center" vertical="center" wrapText="1"/>
    </xf>
    <xf numFmtId="0" fontId="142" fillId="0" borderId="0" xfId="0" applyFont="1" applyBorder="1" applyAlignment="1">
      <alignment horizontal="center" vertical="center" wrapText="1"/>
    </xf>
    <xf numFmtId="0" fontId="142" fillId="0" borderId="93" xfId="0" applyFont="1" applyBorder="1" applyAlignment="1">
      <alignment horizontal="center" vertical="center" wrapText="1"/>
    </xf>
    <xf numFmtId="0" fontId="142" fillId="0" borderId="99" xfId="0" applyFont="1" applyBorder="1" applyAlignment="1">
      <alignment horizontal="center" vertical="center" wrapText="1"/>
    </xf>
    <xf numFmtId="0" fontId="142" fillId="0" borderId="49" xfId="0" applyFont="1" applyBorder="1" applyAlignment="1">
      <alignment horizontal="center" vertical="center" wrapText="1"/>
    </xf>
    <xf numFmtId="0" fontId="142" fillId="0" borderId="100" xfId="0" applyFont="1" applyBorder="1" applyAlignment="1">
      <alignment horizontal="center" vertical="center" wrapText="1"/>
    </xf>
    <xf numFmtId="0" fontId="132" fillId="0" borderId="92" xfId="0" applyFont="1" applyBorder="1" applyAlignment="1">
      <alignment horizontal="left"/>
    </xf>
    <xf numFmtId="0" fontId="132" fillId="0" borderId="0" xfId="0" applyFont="1" applyBorder="1" applyAlignment="1">
      <alignment horizontal="left"/>
    </xf>
    <xf numFmtId="0" fontId="132" fillId="0" borderId="93" xfId="0" applyFont="1" applyBorder="1" applyAlignment="1">
      <alignment horizontal="left"/>
    </xf>
    <xf numFmtId="0" fontId="124" fillId="33" borderId="97" xfId="0" applyFont="1" applyFill="1" applyBorder="1" applyAlignment="1">
      <alignment horizontal="right"/>
    </xf>
    <xf numFmtId="0" fontId="124" fillId="33" borderId="98" xfId="0" applyFont="1" applyFill="1" applyBorder="1" applyAlignment="1">
      <alignment horizontal="right"/>
    </xf>
    <xf numFmtId="0" fontId="124" fillId="0" borderId="0" xfId="0" applyFont="1" applyAlignment="1">
      <alignment horizontal="center" wrapText="1"/>
    </xf>
    <xf numFmtId="49" fontId="123" fillId="0" borderId="0" xfId="25293" applyNumberFormat="1" applyFont="1" applyFill="1" applyBorder="1" applyAlignment="1">
      <alignment horizontal="center"/>
    </xf>
    <xf numFmtId="0" fontId="123" fillId="0" borderId="0" xfId="0" applyFont="1" applyAlignment="1">
      <alignment horizontal="center"/>
    </xf>
    <xf numFmtId="0" fontId="32" fillId="0" borderId="0" xfId="0" applyFont="1" applyAlignment="1">
      <alignment horizontal="center" wrapText="1"/>
    </xf>
    <xf numFmtId="0" fontId="32" fillId="0" borderId="89" xfId="0" applyFont="1" applyBorder="1" applyAlignment="1">
      <alignment horizontal="center" wrapText="1"/>
    </xf>
    <xf numFmtId="0" fontId="126" fillId="0" borderId="96" xfId="0" applyFont="1" applyBorder="1" applyAlignment="1">
      <alignment vertical="center"/>
    </xf>
    <xf numFmtId="0" fontId="126" fillId="0" borderId="97" xfId="0" applyFont="1" applyBorder="1" applyAlignment="1">
      <alignment vertical="center"/>
    </xf>
    <xf numFmtId="0" fontId="126" fillId="0" borderId="98" xfId="0" applyFont="1" applyBorder="1" applyAlignment="1">
      <alignment vertical="center"/>
    </xf>
    <xf numFmtId="0" fontId="126" fillId="0" borderId="92" xfId="0" applyFont="1" applyBorder="1" applyAlignment="1">
      <alignment vertical="center"/>
    </xf>
    <xf numFmtId="0" fontId="126" fillId="0" borderId="0" xfId="0" applyFont="1" applyBorder="1" applyAlignment="1">
      <alignment vertical="center"/>
    </xf>
    <xf numFmtId="0" fontId="126" fillId="0" borderId="93" xfId="0" applyFont="1" applyBorder="1" applyAlignment="1">
      <alignment vertical="center"/>
    </xf>
    <xf numFmtId="0" fontId="126" fillId="0" borderId="99" xfId="0" applyFont="1" applyBorder="1" applyAlignment="1">
      <alignment vertical="center"/>
    </xf>
    <xf numFmtId="0" fontId="126" fillId="0" borderId="49" xfId="0" applyFont="1" applyBorder="1" applyAlignment="1">
      <alignment vertical="center"/>
    </xf>
    <xf numFmtId="0" fontId="126" fillId="0" borderId="100" xfId="0" applyFont="1" applyBorder="1" applyAlignment="1">
      <alignment vertical="center"/>
    </xf>
    <xf numFmtId="0" fontId="124" fillId="0" borderId="0" xfId="0" applyFont="1" applyAlignment="1">
      <alignment vertical="center" wrapText="1"/>
    </xf>
    <xf numFmtId="0" fontId="145" fillId="0" borderId="0" xfId="24690" applyFont="1" applyFill="1" applyBorder="1" applyAlignment="1">
      <alignment horizontal="center"/>
    </xf>
  </cellXfs>
  <cellStyles count="25798">
    <cellStyle name="20% - Accent1 10" xfId="666" xr:uid="{00000000-0005-0000-0000-000000000000}"/>
    <cellStyle name="20% - Accent1 10 2" xfId="3622" xr:uid="{00000000-0005-0000-0000-000001000000}"/>
    <cellStyle name="20% - Accent1 10 2 2" xfId="11601" xr:uid="{00000000-0005-0000-0000-000002000000}"/>
    <cellStyle name="20% - Accent1 10 2 2 2" xfId="22889" xr:uid="{00000000-0005-0000-0000-000003000000}"/>
    <cellStyle name="20% - Accent1 10 2 3" xfId="9607" xr:uid="{00000000-0005-0000-0000-000004000000}"/>
    <cellStyle name="20% - Accent1 10 2 3 2" xfId="20895" xr:uid="{00000000-0005-0000-0000-000005000000}"/>
    <cellStyle name="20% - Accent1 10 2 4" xfId="7613" xr:uid="{00000000-0005-0000-0000-000006000000}"/>
    <cellStyle name="20% - Accent1 10 2 4 2" xfId="18901" xr:uid="{00000000-0005-0000-0000-000007000000}"/>
    <cellStyle name="20% - Accent1 10 2 5" xfId="5619" xr:uid="{00000000-0005-0000-0000-000008000000}"/>
    <cellStyle name="20% - Accent1 10 2 5 2" xfId="16907" xr:uid="{00000000-0005-0000-0000-000009000000}"/>
    <cellStyle name="20% - Accent1 10 2 6" xfId="14913" xr:uid="{00000000-0005-0000-0000-00000A000000}"/>
    <cellStyle name="20% - Accent1 10 3" xfId="10604" xr:uid="{00000000-0005-0000-0000-00000B000000}"/>
    <cellStyle name="20% - Accent1 10 3 2" xfId="21892" xr:uid="{00000000-0005-0000-0000-00000C000000}"/>
    <cellStyle name="20% - Accent1 10 4" xfId="8619" xr:uid="{00000000-0005-0000-0000-00000D000000}"/>
    <cellStyle name="20% - Accent1 10 4 2" xfId="19907" xr:uid="{00000000-0005-0000-0000-00000E000000}"/>
    <cellStyle name="20% - Accent1 10 5" xfId="6616" xr:uid="{00000000-0005-0000-0000-00000F000000}"/>
    <cellStyle name="20% - Accent1 10 5 2" xfId="17904" xr:uid="{00000000-0005-0000-0000-000010000000}"/>
    <cellStyle name="20% - Accent1 10 6" xfId="4622" xr:uid="{00000000-0005-0000-0000-000011000000}"/>
    <cellStyle name="20% - Accent1 10 6 2" xfId="15910" xr:uid="{00000000-0005-0000-0000-000012000000}"/>
    <cellStyle name="20% - Accent1 10 7" xfId="13916" xr:uid="{00000000-0005-0000-0000-000013000000}"/>
    <cellStyle name="20% - Accent1 10 8" xfId="12602" xr:uid="{00000000-0005-0000-0000-000014000000}"/>
    <cellStyle name="20% - Accent1 11" xfId="667" xr:uid="{00000000-0005-0000-0000-000015000000}"/>
    <cellStyle name="20% - Accent1 11 2" xfId="3623" xr:uid="{00000000-0005-0000-0000-000016000000}"/>
    <cellStyle name="20% - Accent1 11 2 2" xfId="11602" xr:uid="{00000000-0005-0000-0000-000017000000}"/>
    <cellStyle name="20% - Accent1 11 2 2 2" xfId="22890" xr:uid="{00000000-0005-0000-0000-000018000000}"/>
    <cellStyle name="20% - Accent1 11 2 3" xfId="9608" xr:uid="{00000000-0005-0000-0000-000019000000}"/>
    <cellStyle name="20% - Accent1 11 2 3 2" xfId="20896" xr:uid="{00000000-0005-0000-0000-00001A000000}"/>
    <cellStyle name="20% - Accent1 11 2 4" xfId="7614" xr:uid="{00000000-0005-0000-0000-00001B000000}"/>
    <cellStyle name="20% - Accent1 11 2 4 2" xfId="18902" xr:uid="{00000000-0005-0000-0000-00001C000000}"/>
    <cellStyle name="20% - Accent1 11 2 5" xfId="5620" xr:uid="{00000000-0005-0000-0000-00001D000000}"/>
    <cellStyle name="20% - Accent1 11 2 5 2" xfId="16908" xr:uid="{00000000-0005-0000-0000-00001E000000}"/>
    <cellStyle name="20% - Accent1 11 2 6" xfId="14914" xr:uid="{00000000-0005-0000-0000-00001F000000}"/>
    <cellStyle name="20% - Accent1 11 3" xfId="10605" xr:uid="{00000000-0005-0000-0000-000020000000}"/>
    <cellStyle name="20% - Accent1 11 3 2" xfId="21893" xr:uid="{00000000-0005-0000-0000-000021000000}"/>
    <cellStyle name="20% - Accent1 11 4" xfId="8611" xr:uid="{00000000-0005-0000-0000-000022000000}"/>
    <cellStyle name="20% - Accent1 11 4 2" xfId="19899" xr:uid="{00000000-0005-0000-0000-000023000000}"/>
    <cellStyle name="20% - Accent1 11 5" xfId="6617" xr:uid="{00000000-0005-0000-0000-000024000000}"/>
    <cellStyle name="20% - Accent1 11 5 2" xfId="17905" xr:uid="{00000000-0005-0000-0000-000025000000}"/>
    <cellStyle name="20% - Accent1 11 6" xfId="4623" xr:uid="{00000000-0005-0000-0000-000026000000}"/>
    <cellStyle name="20% - Accent1 11 6 2" xfId="15911" xr:uid="{00000000-0005-0000-0000-000027000000}"/>
    <cellStyle name="20% - Accent1 11 7" xfId="13917" xr:uid="{00000000-0005-0000-0000-000028000000}"/>
    <cellStyle name="20% - Accent1 11 8" xfId="12603" xr:uid="{00000000-0005-0000-0000-000029000000}"/>
    <cellStyle name="20% - Accent1 12" xfId="668" xr:uid="{00000000-0005-0000-0000-00002A000000}"/>
    <cellStyle name="20% - Accent1 12 2" xfId="3624" xr:uid="{00000000-0005-0000-0000-00002B000000}"/>
    <cellStyle name="20% - Accent1 12 2 2" xfId="11603" xr:uid="{00000000-0005-0000-0000-00002C000000}"/>
    <cellStyle name="20% - Accent1 12 2 2 2" xfId="22891" xr:uid="{00000000-0005-0000-0000-00002D000000}"/>
    <cellStyle name="20% - Accent1 12 2 3" xfId="9609" xr:uid="{00000000-0005-0000-0000-00002E000000}"/>
    <cellStyle name="20% - Accent1 12 2 3 2" xfId="20897" xr:uid="{00000000-0005-0000-0000-00002F000000}"/>
    <cellStyle name="20% - Accent1 12 2 4" xfId="7615" xr:uid="{00000000-0005-0000-0000-000030000000}"/>
    <cellStyle name="20% - Accent1 12 2 4 2" xfId="18903" xr:uid="{00000000-0005-0000-0000-000031000000}"/>
    <cellStyle name="20% - Accent1 12 2 5" xfId="5621" xr:uid="{00000000-0005-0000-0000-000032000000}"/>
    <cellStyle name="20% - Accent1 12 2 5 2" xfId="16909" xr:uid="{00000000-0005-0000-0000-000033000000}"/>
    <cellStyle name="20% - Accent1 12 2 6" xfId="14915" xr:uid="{00000000-0005-0000-0000-000034000000}"/>
    <cellStyle name="20% - Accent1 12 3" xfId="10606" xr:uid="{00000000-0005-0000-0000-000035000000}"/>
    <cellStyle name="20% - Accent1 12 3 2" xfId="21894" xr:uid="{00000000-0005-0000-0000-000036000000}"/>
    <cellStyle name="20% - Accent1 12 4" xfId="8620" xr:uid="{00000000-0005-0000-0000-000037000000}"/>
    <cellStyle name="20% - Accent1 12 4 2" xfId="19908" xr:uid="{00000000-0005-0000-0000-000038000000}"/>
    <cellStyle name="20% - Accent1 12 5" xfId="6618" xr:uid="{00000000-0005-0000-0000-000039000000}"/>
    <cellStyle name="20% - Accent1 12 5 2" xfId="17906" xr:uid="{00000000-0005-0000-0000-00003A000000}"/>
    <cellStyle name="20% - Accent1 12 6" xfId="4624" xr:uid="{00000000-0005-0000-0000-00003B000000}"/>
    <cellStyle name="20% - Accent1 12 6 2" xfId="15912" xr:uid="{00000000-0005-0000-0000-00003C000000}"/>
    <cellStyle name="20% - Accent1 12 7" xfId="13918" xr:uid="{00000000-0005-0000-0000-00003D000000}"/>
    <cellStyle name="20% - Accent1 12 8" xfId="12604" xr:uid="{00000000-0005-0000-0000-00003E000000}"/>
    <cellStyle name="20% - Accent1 13" xfId="669" xr:uid="{00000000-0005-0000-0000-00003F000000}"/>
    <cellStyle name="20% - Accent1 13 2" xfId="3625" xr:uid="{00000000-0005-0000-0000-000040000000}"/>
    <cellStyle name="20% - Accent1 13 2 2" xfId="11604" xr:uid="{00000000-0005-0000-0000-000041000000}"/>
    <cellStyle name="20% - Accent1 13 2 2 2" xfId="22892" xr:uid="{00000000-0005-0000-0000-000042000000}"/>
    <cellStyle name="20% - Accent1 13 2 3" xfId="9610" xr:uid="{00000000-0005-0000-0000-000043000000}"/>
    <cellStyle name="20% - Accent1 13 2 3 2" xfId="20898" xr:uid="{00000000-0005-0000-0000-000044000000}"/>
    <cellStyle name="20% - Accent1 13 2 4" xfId="7616" xr:uid="{00000000-0005-0000-0000-000045000000}"/>
    <cellStyle name="20% - Accent1 13 2 4 2" xfId="18904" xr:uid="{00000000-0005-0000-0000-000046000000}"/>
    <cellStyle name="20% - Accent1 13 2 5" xfId="5622" xr:uid="{00000000-0005-0000-0000-000047000000}"/>
    <cellStyle name="20% - Accent1 13 2 5 2" xfId="16910" xr:uid="{00000000-0005-0000-0000-000048000000}"/>
    <cellStyle name="20% - Accent1 13 2 6" xfId="14916" xr:uid="{00000000-0005-0000-0000-000049000000}"/>
    <cellStyle name="20% - Accent1 13 3" xfId="10607" xr:uid="{00000000-0005-0000-0000-00004A000000}"/>
    <cellStyle name="20% - Accent1 13 3 2" xfId="21895" xr:uid="{00000000-0005-0000-0000-00004B000000}"/>
    <cellStyle name="20% - Accent1 13 4" xfId="8612" xr:uid="{00000000-0005-0000-0000-00004C000000}"/>
    <cellStyle name="20% - Accent1 13 4 2" xfId="19900" xr:uid="{00000000-0005-0000-0000-00004D000000}"/>
    <cellStyle name="20% - Accent1 13 5" xfId="6619" xr:uid="{00000000-0005-0000-0000-00004E000000}"/>
    <cellStyle name="20% - Accent1 13 5 2" xfId="17907" xr:uid="{00000000-0005-0000-0000-00004F000000}"/>
    <cellStyle name="20% - Accent1 13 6" xfId="4625" xr:uid="{00000000-0005-0000-0000-000050000000}"/>
    <cellStyle name="20% - Accent1 13 6 2" xfId="15913" xr:uid="{00000000-0005-0000-0000-000051000000}"/>
    <cellStyle name="20% - Accent1 13 7" xfId="13919" xr:uid="{00000000-0005-0000-0000-000052000000}"/>
    <cellStyle name="20% - Accent1 13 8" xfId="12605" xr:uid="{00000000-0005-0000-0000-000053000000}"/>
    <cellStyle name="20% - Accent1 14" xfId="670" xr:uid="{00000000-0005-0000-0000-000054000000}"/>
    <cellStyle name="20% - Accent1 14 2" xfId="3626" xr:uid="{00000000-0005-0000-0000-000055000000}"/>
    <cellStyle name="20% - Accent1 14 2 2" xfId="11605" xr:uid="{00000000-0005-0000-0000-000056000000}"/>
    <cellStyle name="20% - Accent1 14 2 2 2" xfId="22893" xr:uid="{00000000-0005-0000-0000-000057000000}"/>
    <cellStyle name="20% - Accent1 14 2 3" xfId="9611" xr:uid="{00000000-0005-0000-0000-000058000000}"/>
    <cellStyle name="20% - Accent1 14 2 3 2" xfId="20899" xr:uid="{00000000-0005-0000-0000-000059000000}"/>
    <cellStyle name="20% - Accent1 14 2 4" xfId="7617" xr:uid="{00000000-0005-0000-0000-00005A000000}"/>
    <cellStyle name="20% - Accent1 14 2 4 2" xfId="18905" xr:uid="{00000000-0005-0000-0000-00005B000000}"/>
    <cellStyle name="20% - Accent1 14 2 5" xfId="5623" xr:uid="{00000000-0005-0000-0000-00005C000000}"/>
    <cellStyle name="20% - Accent1 14 2 5 2" xfId="16911" xr:uid="{00000000-0005-0000-0000-00005D000000}"/>
    <cellStyle name="20% - Accent1 14 2 6" xfId="14917" xr:uid="{00000000-0005-0000-0000-00005E000000}"/>
    <cellStyle name="20% - Accent1 14 3" xfId="10608" xr:uid="{00000000-0005-0000-0000-00005F000000}"/>
    <cellStyle name="20% - Accent1 14 3 2" xfId="21896" xr:uid="{00000000-0005-0000-0000-000060000000}"/>
    <cellStyle name="20% - Accent1 14 4" xfId="8610" xr:uid="{00000000-0005-0000-0000-000061000000}"/>
    <cellStyle name="20% - Accent1 14 4 2" xfId="19898" xr:uid="{00000000-0005-0000-0000-000062000000}"/>
    <cellStyle name="20% - Accent1 14 5" xfId="6620" xr:uid="{00000000-0005-0000-0000-000063000000}"/>
    <cellStyle name="20% - Accent1 14 5 2" xfId="17908" xr:uid="{00000000-0005-0000-0000-000064000000}"/>
    <cellStyle name="20% - Accent1 14 6" xfId="4626" xr:uid="{00000000-0005-0000-0000-000065000000}"/>
    <cellStyle name="20% - Accent1 14 6 2" xfId="15914" xr:uid="{00000000-0005-0000-0000-000066000000}"/>
    <cellStyle name="20% - Accent1 14 7" xfId="13920" xr:uid="{00000000-0005-0000-0000-000067000000}"/>
    <cellStyle name="20% - Accent1 14 8" xfId="12606" xr:uid="{00000000-0005-0000-0000-000068000000}"/>
    <cellStyle name="20% - Accent1 15" xfId="671" xr:uid="{00000000-0005-0000-0000-000069000000}"/>
    <cellStyle name="20% - Accent1 15 2" xfId="3627" xr:uid="{00000000-0005-0000-0000-00006A000000}"/>
    <cellStyle name="20% - Accent1 15 2 2" xfId="11606" xr:uid="{00000000-0005-0000-0000-00006B000000}"/>
    <cellStyle name="20% - Accent1 15 2 2 2" xfId="22894" xr:uid="{00000000-0005-0000-0000-00006C000000}"/>
    <cellStyle name="20% - Accent1 15 2 3" xfId="9612" xr:uid="{00000000-0005-0000-0000-00006D000000}"/>
    <cellStyle name="20% - Accent1 15 2 3 2" xfId="20900" xr:uid="{00000000-0005-0000-0000-00006E000000}"/>
    <cellStyle name="20% - Accent1 15 2 4" xfId="7618" xr:uid="{00000000-0005-0000-0000-00006F000000}"/>
    <cellStyle name="20% - Accent1 15 2 4 2" xfId="18906" xr:uid="{00000000-0005-0000-0000-000070000000}"/>
    <cellStyle name="20% - Accent1 15 2 5" xfId="5624" xr:uid="{00000000-0005-0000-0000-000071000000}"/>
    <cellStyle name="20% - Accent1 15 2 5 2" xfId="16912" xr:uid="{00000000-0005-0000-0000-000072000000}"/>
    <cellStyle name="20% - Accent1 15 2 6" xfId="14918" xr:uid="{00000000-0005-0000-0000-000073000000}"/>
    <cellStyle name="20% - Accent1 15 3" xfId="10609" xr:uid="{00000000-0005-0000-0000-000074000000}"/>
    <cellStyle name="20% - Accent1 15 3 2" xfId="21897" xr:uid="{00000000-0005-0000-0000-000075000000}"/>
    <cellStyle name="20% - Accent1 15 4" xfId="8613" xr:uid="{00000000-0005-0000-0000-000076000000}"/>
    <cellStyle name="20% - Accent1 15 4 2" xfId="19901" xr:uid="{00000000-0005-0000-0000-000077000000}"/>
    <cellStyle name="20% - Accent1 15 5" xfId="6621" xr:uid="{00000000-0005-0000-0000-000078000000}"/>
    <cellStyle name="20% - Accent1 15 5 2" xfId="17909" xr:uid="{00000000-0005-0000-0000-000079000000}"/>
    <cellStyle name="20% - Accent1 15 6" xfId="4627" xr:uid="{00000000-0005-0000-0000-00007A000000}"/>
    <cellStyle name="20% - Accent1 15 6 2" xfId="15915" xr:uid="{00000000-0005-0000-0000-00007B000000}"/>
    <cellStyle name="20% - Accent1 15 7" xfId="13921" xr:uid="{00000000-0005-0000-0000-00007C000000}"/>
    <cellStyle name="20% - Accent1 15 8" xfId="12607" xr:uid="{00000000-0005-0000-0000-00007D000000}"/>
    <cellStyle name="20% - Accent1 16" xfId="672" xr:uid="{00000000-0005-0000-0000-00007E000000}"/>
    <cellStyle name="20% - Accent1 16 2" xfId="3628" xr:uid="{00000000-0005-0000-0000-00007F000000}"/>
    <cellStyle name="20% - Accent1 16 2 2" xfId="11607" xr:uid="{00000000-0005-0000-0000-000080000000}"/>
    <cellStyle name="20% - Accent1 16 2 2 2" xfId="22895" xr:uid="{00000000-0005-0000-0000-000081000000}"/>
    <cellStyle name="20% - Accent1 16 2 3" xfId="9613" xr:uid="{00000000-0005-0000-0000-000082000000}"/>
    <cellStyle name="20% - Accent1 16 2 3 2" xfId="20901" xr:uid="{00000000-0005-0000-0000-000083000000}"/>
    <cellStyle name="20% - Accent1 16 2 4" xfId="7619" xr:uid="{00000000-0005-0000-0000-000084000000}"/>
    <cellStyle name="20% - Accent1 16 2 4 2" xfId="18907" xr:uid="{00000000-0005-0000-0000-000085000000}"/>
    <cellStyle name="20% - Accent1 16 2 5" xfId="5625" xr:uid="{00000000-0005-0000-0000-000086000000}"/>
    <cellStyle name="20% - Accent1 16 2 5 2" xfId="16913" xr:uid="{00000000-0005-0000-0000-000087000000}"/>
    <cellStyle name="20% - Accent1 16 2 6" xfId="14919" xr:uid="{00000000-0005-0000-0000-000088000000}"/>
    <cellStyle name="20% - Accent1 16 3" xfId="10610" xr:uid="{00000000-0005-0000-0000-000089000000}"/>
    <cellStyle name="20% - Accent1 16 3 2" xfId="21898" xr:uid="{00000000-0005-0000-0000-00008A000000}"/>
    <cellStyle name="20% - Accent1 16 4" xfId="8614" xr:uid="{00000000-0005-0000-0000-00008B000000}"/>
    <cellStyle name="20% - Accent1 16 4 2" xfId="19902" xr:uid="{00000000-0005-0000-0000-00008C000000}"/>
    <cellStyle name="20% - Accent1 16 5" xfId="6622" xr:uid="{00000000-0005-0000-0000-00008D000000}"/>
    <cellStyle name="20% - Accent1 16 5 2" xfId="17910" xr:uid="{00000000-0005-0000-0000-00008E000000}"/>
    <cellStyle name="20% - Accent1 16 6" xfId="4628" xr:uid="{00000000-0005-0000-0000-00008F000000}"/>
    <cellStyle name="20% - Accent1 16 6 2" xfId="15916" xr:uid="{00000000-0005-0000-0000-000090000000}"/>
    <cellStyle name="20% - Accent1 16 7" xfId="13922" xr:uid="{00000000-0005-0000-0000-000091000000}"/>
    <cellStyle name="20% - Accent1 16 8" xfId="12608" xr:uid="{00000000-0005-0000-0000-000092000000}"/>
    <cellStyle name="20% - Accent1 17" xfId="673" xr:uid="{00000000-0005-0000-0000-000093000000}"/>
    <cellStyle name="20% - Accent1 17 2" xfId="3629" xr:uid="{00000000-0005-0000-0000-000094000000}"/>
    <cellStyle name="20% - Accent1 17 2 2" xfId="11608" xr:uid="{00000000-0005-0000-0000-000095000000}"/>
    <cellStyle name="20% - Accent1 17 2 2 2" xfId="22896" xr:uid="{00000000-0005-0000-0000-000096000000}"/>
    <cellStyle name="20% - Accent1 17 2 3" xfId="9614" xr:uid="{00000000-0005-0000-0000-000097000000}"/>
    <cellStyle name="20% - Accent1 17 2 3 2" xfId="20902" xr:uid="{00000000-0005-0000-0000-000098000000}"/>
    <cellStyle name="20% - Accent1 17 2 4" xfId="7620" xr:uid="{00000000-0005-0000-0000-000099000000}"/>
    <cellStyle name="20% - Accent1 17 2 4 2" xfId="18908" xr:uid="{00000000-0005-0000-0000-00009A000000}"/>
    <cellStyle name="20% - Accent1 17 2 5" xfId="5626" xr:uid="{00000000-0005-0000-0000-00009B000000}"/>
    <cellStyle name="20% - Accent1 17 2 5 2" xfId="16914" xr:uid="{00000000-0005-0000-0000-00009C000000}"/>
    <cellStyle name="20% - Accent1 17 2 6" xfId="14920" xr:uid="{00000000-0005-0000-0000-00009D000000}"/>
    <cellStyle name="20% - Accent1 17 3" xfId="10611" xr:uid="{00000000-0005-0000-0000-00009E000000}"/>
    <cellStyle name="20% - Accent1 17 3 2" xfId="21899" xr:uid="{00000000-0005-0000-0000-00009F000000}"/>
    <cellStyle name="20% - Accent1 17 4" xfId="8617" xr:uid="{00000000-0005-0000-0000-0000A0000000}"/>
    <cellStyle name="20% - Accent1 17 4 2" xfId="19905" xr:uid="{00000000-0005-0000-0000-0000A1000000}"/>
    <cellStyle name="20% - Accent1 17 5" xfId="6623" xr:uid="{00000000-0005-0000-0000-0000A2000000}"/>
    <cellStyle name="20% - Accent1 17 5 2" xfId="17911" xr:uid="{00000000-0005-0000-0000-0000A3000000}"/>
    <cellStyle name="20% - Accent1 17 6" xfId="4629" xr:uid="{00000000-0005-0000-0000-0000A4000000}"/>
    <cellStyle name="20% - Accent1 17 6 2" xfId="15917" xr:uid="{00000000-0005-0000-0000-0000A5000000}"/>
    <cellStyle name="20% - Accent1 17 7" xfId="13923" xr:uid="{00000000-0005-0000-0000-0000A6000000}"/>
    <cellStyle name="20% - Accent1 17 8" xfId="12609" xr:uid="{00000000-0005-0000-0000-0000A7000000}"/>
    <cellStyle name="20% - Accent1 18" xfId="674" xr:uid="{00000000-0005-0000-0000-0000A8000000}"/>
    <cellStyle name="20% - Accent1 18 2" xfId="3630" xr:uid="{00000000-0005-0000-0000-0000A9000000}"/>
    <cellStyle name="20% - Accent1 18 2 2" xfId="11609" xr:uid="{00000000-0005-0000-0000-0000AA000000}"/>
    <cellStyle name="20% - Accent1 18 2 2 2" xfId="22897" xr:uid="{00000000-0005-0000-0000-0000AB000000}"/>
    <cellStyle name="20% - Accent1 18 2 3" xfId="9615" xr:uid="{00000000-0005-0000-0000-0000AC000000}"/>
    <cellStyle name="20% - Accent1 18 2 3 2" xfId="20903" xr:uid="{00000000-0005-0000-0000-0000AD000000}"/>
    <cellStyle name="20% - Accent1 18 2 4" xfId="7621" xr:uid="{00000000-0005-0000-0000-0000AE000000}"/>
    <cellStyle name="20% - Accent1 18 2 4 2" xfId="18909" xr:uid="{00000000-0005-0000-0000-0000AF000000}"/>
    <cellStyle name="20% - Accent1 18 2 5" xfId="5627" xr:uid="{00000000-0005-0000-0000-0000B0000000}"/>
    <cellStyle name="20% - Accent1 18 2 5 2" xfId="16915" xr:uid="{00000000-0005-0000-0000-0000B1000000}"/>
    <cellStyle name="20% - Accent1 18 2 6" xfId="14921" xr:uid="{00000000-0005-0000-0000-0000B2000000}"/>
    <cellStyle name="20% - Accent1 18 3" xfId="10612" xr:uid="{00000000-0005-0000-0000-0000B3000000}"/>
    <cellStyle name="20% - Accent1 18 3 2" xfId="21900" xr:uid="{00000000-0005-0000-0000-0000B4000000}"/>
    <cellStyle name="20% - Accent1 18 4" xfId="8618" xr:uid="{00000000-0005-0000-0000-0000B5000000}"/>
    <cellStyle name="20% - Accent1 18 4 2" xfId="19906" xr:uid="{00000000-0005-0000-0000-0000B6000000}"/>
    <cellStyle name="20% - Accent1 18 5" xfId="6624" xr:uid="{00000000-0005-0000-0000-0000B7000000}"/>
    <cellStyle name="20% - Accent1 18 5 2" xfId="17912" xr:uid="{00000000-0005-0000-0000-0000B8000000}"/>
    <cellStyle name="20% - Accent1 18 6" xfId="4630" xr:uid="{00000000-0005-0000-0000-0000B9000000}"/>
    <cellStyle name="20% - Accent1 18 6 2" xfId="15918" xr:uid="{00000000-0005-0000-0000-0000BA000000}"/>
    <cellStyle name="20% - Accent1 18 7" xfId="13924" xr:uid="{00000000-0005-0000-0000-0000BB000000}"/>
    <cellStyle name="20% - Accent1 18 8" xfId="12610" xr:uid="{00000000-0005-0000-0000-0000BC000000}"/>
    <cellStyle name="20% - Accent1 19" xfId="675" xr:uid="{00000000-0005-0000-0000-0000BD000000}"/>
    <cellStyle name="20% - Accent1 19 2" xfId="3631" xr:uid="{00000000-0005-0000-0000-0000BE000000}"/>
    <cellStyle name="20% - Accent1 19 2 2" xfId="11610" xr:uid="{00000000-0005-0000-0000-0000BF000000}"/>
    <cellStyle name="20% - Accent1 19 2 2 2" xfId="22898" xr:uid="{00000000-0005-0000-0000-0000C0000000}"/>
    <cellStyle name="20% - Accent1 19 2 3" xfId="9616" xr:uid="{00000000-0005-0000-0000-0000C1000000}"/>
    <cellStyle name="20% - Accent1 19 2 3 2" xfId="20904" xr:uid="{00000000-0005-0000-0000-0000C2000000}"/>
    <cellStyle name="20% - Accent1 19 2 4" xfId="7622" xr:uid="{00000000-0005-0000-0000-0000C3000000}"/>
    <cellStyle name="20% - Accent1 19 2 4 2" xfId="18910" xr:uid="{00000000-0005-0000-0000-0000C4000000}"/>
    <cellStyle name="20% - Accent1 19 2 5" xfId="5628" xr:uid="{00000000-0005-0000-0000-0000C5000000}"/>
    <cellStyle name="20% - Accent1 19 2 5 2" xfId="16916" xr:uid="{00000000-0005-0000-0000-0000C6000000}"/>
    <cellStyle name="20% - Accent1 19 2 6" xfId="14922" xr:uid="{00000000-0005-0000-0000-0000C7000000}"/>
    <cellStyle name="20% - Accent1 19 3" xfId="10613" xr:uid="{00000000-0005-0000-0000-0000C8000000}"/>
    <cellStyle name="20% - Accent1 19 3 2" xfId="21901" xr:uid="{00000000-0005-0000-0000-0000C9000000}"/>
    <cellStyle name="20% - Accent1 19 4" xfId="8615" xr:uid="{00000000-0005-0000-0000-0000CA000000}"/>
    <cellStyle name="20% - Accent1 19 4 2" xfId="19903" xr:uid="{00000000-0005-0000-0000-0000CB000000}"/>
    <cellStyle name="20% - Accent1 19 5" xfId="6625" xr:uid="{00000000-0005-0000-0000-0000CC000000}"/>
    <cellStyle name="20% - Accent1 19 5 2" xfId="17913" xr:uid="{00000000-0005-0000-0000-0000CD000000}"/>
    <cellStyle name="20% - Accent1 19 6" xfId="4631" xr:uid="{00000000-0005-0000-0000-0000CE000000}"/>
    <cellStyle name="20% - Accent1 19 6 2" xfId="15919" xr:uid="{00000000-0005-0000-0000-0000CF000000}"/>
    <cellStyle name="20% - Accent1 19 7" xfId="13925" xr:uid="{00000000-0005-0000-0000-0000D0000000}"/>
    <cellStyle name="20% - Accent1 19 8" xfId="12611" xr:uid="{00000000-0005-0000-0000-0000D1000000}"/>
    <cellStyle name="20% - Accent1 2" xfId="676" xr:uid="{00000000-0005-0000-0000-0000D2000000}"/>
    <cellStyle name="20% - Accent1 2 10" xfId="24559" xr:uid="{00000000-0005-0000-0000-0000D3000000}"/>
    <cellStyle name="20% - Accent1 2 11" xfId="24949" xr:uid="{00000000-0005-0000-0000-0000D4000000}"/>
    <cellStyle name="20% - Accent1 2 2" xfId="3632" xr:uid="{00000000-0005-0000-0000-0000D5000000}"/>
    <cellStyle name="20% - Accent1 2 2 2" xfId="11611" xr:uid="{00000000-0005-0000-0000-0000D6000000}"/>
    <cellStyle name="20% - Accent1 2 2 2 2" xfId="22899" xr:uid="{00000000-0005-0000-0000-0000D7000000}"/>
    <cellStyle name="20% - Accent1 2 2 3" xfId="9617" xr:uid="{00000000-0005-0000-0000-0000D8000000}"/>
    <cellStyle name="20% - Accent1 2 2 3 2" xfId="20905" xr:uid="{00000000-0005-0000-0000-0000D9000000}"/>
    <cellStyle name="20% - Accent1 2 2 4" xfId="7623" xr:uid="{00000000-0005-0000-0000-0000DA000000}"/>
    <cellStyle name="20% - Accent1 2 2 4 2" xfId="18911" xr:uid="{00000000-0005-0000-0000-0000DB000000}"/>
    <cellStyle name="20% - Accent1 2 2 5" xfId="5629" xr:uid="{00000000-0005-0000-0000-0000DC000000}"/>
    <cellStyle name="20% - Accent1 2 2 5 2" xfId="16917" xr:uid="{00000000-0005-0000-0000-0000DD000000}"/>
    <cellStyle name="20% - Accent1 2 2 6" xfId="14923" xr:uid="{00000000-0005-0000-0000-0000DE000000}"/>
    <cellStyle name="20% - Accent1 2 2 7" xfId="24320" xr:uid="{00000000-0005-0000-0000-0000DF000000}"/>
    <cellStyle name="20% - Accent1 2 2 8" xfId="24784" xr:uid="{00000000-0005-0000-0000-0000E0000000}"/>
    <cellStyle name="20% - Accent1 2 2 9" xfId="25151" xr:uid="{00000000-0005-0000-0000-0000E1000000}"/>
    <cellStyle name="20% - Accent1 2 3" xfId="10614" xr:uid="{00000000-0005-0000-0000-0000E2000000}"/>
    <cellStyle name="20% - Accent1 2 3 2" xfId="21902" xr:uid="{00000000-0005-0000-0000-0000E3000000}"/>
    <cellStyle name="20% - Accent1 2 4" xfId="8616" xr:uid="{00000000-0005-0000-0000-0000E4000000}"/>
    <cellStyle name="20% - Accent1 2 4 2" xfId="19904" xr:uid="{00000000-0005-0000-0000-0000E5000000}"/>
    <cellStyle name="20% - Accent1 2 5" xfId="6626" xr:uid="{00000000-0005-0000-0000-0000E6000000}"/>
    <cellStyle name="20% - Accent1 2 5 2" xfId="17914" xr:uid="{00000000-0005-0000-0000-0000E7000000}"/>
    <cellStyle name="20% - Accent1 2 6" xfId="4632" xr:uid="{00000000-0005-0000-0000-0000E8000000}"/>
    <cellStyle name="20% - Accent1 2 6 2" xfId="15920" xr:uid="{00000000-0005-0000-0000-0000E9000000}"/>
    <cellStyle name="20% - Accent1 2 7" xfId="13926" xr:uid="{00000000-0005-0000-0000-0000EA000000}"/>
    <cellStyle name="20% - Accent1 2 8" xfId="12612" xr:uid="{00000000-0005-0000-0000-0000EB000000}"/>
    <cellStyle name="20% - Accent1 2 9" xfId="23932" xr:uid="{00000000-0005-0000-0000-0000EC000000}"/>
    <cellStyle name="20% - Accent1 20" xfId="677" xr:uid="{00000000-0005-0000-0000-0000ED000000}"/>
    <cellStyle name="20% - Accent1 20 2" xfId="3633" xr:uid="{00000000-0005-0000-0000-0000EE000000}"/>
    <cellStyle name="20% - Accent1 20 2 2" xfId="11612" xr:uid="{00000000-0005-0000-0000-0000EF000000}"/>
    <cellStyle name="20% - Accent1 20 2 2 2" xfId="22900" xr:uid="{00000000-0005-0000-0000-0000F0000000}"/>
    <cellStyle name="20% - Accent1 20 2 3" xfId="9618" xr:uid="{00000000-0005-0000-0000-0000F1000000}"/>
    <cellStyle name="20% - Accent1 20 2 3 2" xfId="20906" xr:uid="{00000000-0005-0000-0000-0000F2000000}"/>
    <cellStyle name="20% - Accent1 20 2 4" xfId="7624" xr:uid="{00000000-0005-0000-0000-0000F3000000}"/>
    <cellStyle name="20% - Accent1 20 2 4 2" xfId="18912" xr:uid="{00000000-0005-0000-0000-0000F4000000}"/>
    <cellStyle name="20% - Accent1 20 2 5" xfId="5630" xr:uid="{00000000-0005-0000-0000-0000F5000000}"/>
    <cellStyle name="20% - Accent1 20 2 5 2" xfId="16918" xr:uid="{00000000-0005-0000-0000-0000F6000000}"/>
    <cellStyle name="20% - Accent1 20 2 6" xfId="14924" xr:uid="{00000000-0005-0000-0000-0000F7000000}"/>
    <cellStyle name="20% - Accent1 20 3" xfId="10615" xr:uid="{00000000-0005-0000-0000-0000F8000000}"/>
    <cellStyle name="20% - Accent1 20 3 2" xfId="21903" xr:uid="{00000000-0005-0000-0000-0000F9000000}"/>
    <cellStyle name="20% - Accent1 20 4" xfId="8621" xr:uid="{00000000-0005-0000-0000-0000FA000000}"/>
    <cellStyle name="20% - Accent1 20 4 2" xfId="19909" xr:uid="{00000000-0005-0000-0000-0000FB000000}"/>
    <cellStyle name="20% - Accent1 20 5" xfId="6627" xr:uid="{00000000-0005-0000-0000-0000FC000000}"/>
    <cellStyle name="20% - Accent1 20 5 2" xfId="17915" xr:uid="{00000000-0005-0000-0000-0000FD000000}"/>
    <cellStyle name="20% - Accent1 20 6" xfId="4633" xr:uid="{00000000-0005-0000-0000-0000FE000000}"/>
    <cellStyle name="20% - Accent1 20 6 2" xfId="15921" xr:uid="{00000000-0005-0000-0000-0000FF000000}"/>
    <cellStyle name="20% - Accent1 20 7" xfId="13927" xr:uid="{00000000-0005-0000-0000-000000010000}"/>
    <cellStyle name="20% - Accent1 20 8" xfId="12613" xr:uid="{00000000-0005-0000-0000-000001010000}"/>
    <cellStyle name="20% - Accent1 21" xfId="678" xr:uid="{00000000-0005-0000-0000-000002010000}"/>
    <cellStyle name="20% - Accent1 21 2" xfId="3634" xr:uid="{00000000-0005-0000-0000-000003010000}"/>
    <cellStyle name="20% - Accent1 21 2 2" xfId="11613" xr:uid="{00000000-0005-0000-0000-000004010000}"/>
    <cellStyle name="20% - Accent1 21 2 2 2" xfId="22901" xr:uid="{00000000-0005-0000-0000-000005010000}"/>
    <cellStyle name="20% - Accent1 21 2 3" xfId="9619" xr:uid="{00000000-0005-0000-0000-000006010000}"/>
    <cellStyle name="20% - Accent1 21 2 3 2" xfId="20907" xr:uid="{00000000-0005-0000-0000-000007010000}"/>
    <cellStyle name="20% - Accent1 21 2 4" xfId="7625" xr:uid="{00000000-0005-0000-0000-000008010000}"/>
    <cellStyle name="20% - Accent1 21 2 4 2" xfId="18913" xr:uid="{00000000-0005-0000-0000-000009010000}"/>
    <cellStyle name="20% - Accent1 21 2 5" xfId="5631" xr:uid="{00000000-0005-0000-0000-00000A010000}"/>
    <cellStyle name="20% - Accent1 21 2 5 2" xfId="16919" xr:uid="{00000000-0005-0000-0000-00000B010000}"/>
    <cellStyle name="20% - Accent1 21 2 6" xfId="14925" xr:uid="{00000000-0005-0000-0000-00000C010000}"/>
    <cellStyle name="20% - Accent1 21 3" xfId="10616" xr:uid="{00000000-0005-0000-0000-00000D010000}"/>
    <cellStyle name="20% - Accent1 21 3 2" xfId="21904" xr:uid="{00000000-0005-0000-0000-00000E010000}"/>
    <cellStyle name="20% - Accent1 21 4" xfId="8622" xr:uid="{00000000-0005-0000-0000-00000F010000}"/>
    <cellStyle name="20% - Accent1 21 4 2" xfId="19910" xr:uid="{00000000-0005-0000-0000-000010010000}"/>
    <cellStyle name="20% - Accent1 21 5" xfId="6628" xr:uid="{00000000-0005-0000-0000-000011010000}"/>
    <cellStyle name="20% - Accent1 21 5 2" xfId="17916" xr:uid="{00000000-0005-0000-0000-000012010000}"/>
    <cellStyle name="20% - Accent1 21 6" xfId="4634" xr:uid="{00000000-0005-0000-0000-000013010000}"/>
    <cellStyle name="20% - Accent1 21 6 2" xfId="15922" xr:uid="{00000000-0005-0000-0000-000014010000}"/>
    <cellStyle name="20% - Accent1 21 7" xfId="13928" xr:uid="{00000000-0005-0000-0000-000015010000}"/>
    <cellStyle name="20% - Accent1 21 8" xfId="12614" xr:uid="{00000000-0005-0000-0000-000016010000}"/>
    <cellStyle name="20% - Accent1 22" xfId="679" xr:uid="{00000000-0005-0000-0000-000017010000}"/>
    <cellStyle name="20% - Accent1 22 2" xfId="3635" xr:uid="{00000000-0005-0000-0000-000018010000}"/>
    <cellStyle name="20% - Accent1 22 2 2" xfId="11614" xr:uid="{00000000-0005-0000-0000-000019010000}"/>
    <cellStyle name="20% - Accent1 22 2 2 2" xfId="22902" xr:uid="{00000000-0005-0000-0000-00001A010000}"/>
    <cellStyle name="20% - Accent1 22 2 3" xfId="9620" xr:uid="{00000000-0005-0000-0000-00001B010000}"/>
    <cellStyle name="20% - Accent1 22 2 3 2" xfId="20908" xr:uid="{00000000-0005-0000-0000-00001C010000}"/>
    <cellStyle name="20% - Accent1 22 2 4" xfId="7626" xr:uid="{00000000-0005-0000-0000-00001D010000}"/>
    <cellStyle name="20% - Accent1 22 2 4 2" xfId="18914" xr:uid="{00000000-0005-0000-0000-00001E010000}"/>
    <cellStyle name="20% - Accent1 22 2 5" xfId="5632" xr:uid="{00000000-0005-0000-0000-00001F010000}"/>
    <cellStyle name="20% - Accent1 22 2 5 2" xfId="16920" xr:uid="{00000000-0005-0000-0000-000020010000}"/>
    <cellStyle name="20% - Accent1 22 2 6" xfId="14926" xr:uid="{00000000-0005-0000-0000-000021010000}"/>
    <cellStyle name="20% - Accent1 22 3" xfId="10617" xr:uid="{00000000-0005-0000-0000-000022010000}"/>
    <cellStyle name="20% - Accent1 22 3 2" xfId="21905" xr:uid="{00000000-0005-0000-0000-000023010000}"/>
    <cellStyle name="20% - Accent1 22 4" xfId="8623" xr:uid="{00000000-0005-0000-0000-000024010000}"/>
    <cellStyle name="20% - Accent1 22 4 2" xfId="19911" xr:uid="{00000000-0005-0000-0000-000025010000}"/>
    <cellStyle name="20% - Accent1 22 5" xfId="6629" xr:uid="{00000000-0005-0000-0000-000026010000}"/>
    <cellStyle name="20% - Accent1 22 5 2" xfId="17917" xr:uid="{00000000-0005-0000-0000-000027010000}"/>
    <cellStyle name="20% - Accent1 22 6" xfId="4635" xr:uid="{00000000-0005-0000-0000-000028010000}"/>
    <cellStyle name="20% - Accent1 22 6 2" xfId="15923" xr:uid="{00000000-0005-0000-0000-000029010000}"/>
    <cellStyle name="20% - Accent1 22 7" xfId="13929" xr:uid="{00000000-0005-0000-0000-00002A010000}"/>
    <cellStyle name="20% - Accent1 22 8" xfId="12615" xr:uid="{00000000-0005-0000-0000-00002B010000}"/>
    <cellStyle name="20% - Accent1 23" xfId="680" xr:uid="{00000000-0005-0000-0000-00002C010000}"/>
    <cellStyle name="20% - Accent1 23 2" xfId="3636" xr:uid="{00000000-0005-0000-0000-00002D010000}"/>
    <cellStyle name="20% - Accent1 23 2 2" xfId="11615" xr:uid="{00000000-0005-0000-0000-00002E010000}"/>
    <cellStyle name="20% - Accent1 23 2 2 2" xfId="22903" xr:uid="{00000000-0005-0000-0000-00002F010000}"/>
    <cellStyle name="20% - Accent1 23 2 3" xfId="9621" xr:uid="{00000000-0005-0000-0000-000030010000}"/>
    <cellStyle name="20% - Accent1 23 2 3 2" xfId="20909" xr:uid="{00000000-0005-0000-0000-000031010000}"/>
    <cellStyle name="20% - Accent1 23 2 4" xfId="7627" xr:uid="{00000000-0005-0000-0000-000032010000}"/>
    <cellStyle name="20% - Accent1 23 2 4 2" xfId="18915" xr:uid="{00000000-0005-0000-0000-000033010000}"/>
    <cellStyle name="20% - Accent1 23 2 5" xfId="5633" xr:uid="{00000000-0005-0000-0000-000034010000}"/>
    <cellStyle name="20% - Accent1 23 2 5 2" xfId="16921" xr:uid="{00000000-0005-0000-0000-000035010000}"/>
    <cellStyle name="20% - Accent1 23 2 6" xfId="14927" xr:uid="{00000000-0005-0000-0000-000036010000}"/>
    <cellStyle name="20% - Accent1 23 3" xfId="10618" xr:uid="{00000000-0005-0000-0000-000037010000}"/>
    <cellStyle name="20% - Accent1 23 3 2" xfId="21906" xr:uid="{00000000-0005-0000-0000-000038010000}"/>
    <cellStyle name="20% - Accent1 23 4" xfId="8624" xr:uid="{00000000-0005-0000-0000-000039010000}"/>
    <cellStyle name="20% - Accent1 23 4 2" xfId="19912" xr:uid="{00000000-0005-0000-0000-00003A010000}"/>
    <cellStyle name="20% - Accent1 23 5" xfId="6630" xr:uid="{00000000-0005-0000-0000-00003B010000}"/>
    <cellStyle name="20% - Accent1 23 5 2" xfId="17918" xr:uid="{00000000-0005-0000-0000-00003C010000}"/>
    <cellStyle name="20% - Accent1 23 6" xfId="4636" xr:uid="{00000000-0005-0000-0000-00003D010000}"/>
    <cellStyle name="20% - Accent1 23 6 2" xfId="15924" xr:uid="{00000000-0005-0000-0000-00003E010000}"/>
    <cellStyle name="20% - Accent1 23 7" xfId="13930" xr:uid="{00000000-0005-0000-0000-00003F010000}"/>
    <cellStyle name="20% - Accent1 23 8" xfId="12616" xr:uid="{00000000-0005-0000-0000-000040010000}"/>
    <cellStyle name="20% - Accent1 24" xfId="681" xr:uid="{00000000-0005-0000-0000-000041010000}"/>
    <cellStyle name="20% - Accent1 24 2" xfId="3637" xr:uid="{00000000-0005-0000-0000-000042010000}"/>
    <cellStyle name="20% - Accent1 24 2 2" xfId="11616" xr:uid="{00000000-0005-0000-0000-000043010000}"/>
    <cellStyle name="20% - Accent1 24 2 2 2" xfId="22904" xr:uid="{00000000-0005-0000-0000-000044010000}"/>
    <cellStyle name="20% - Accent1 24 2 3" xfId="9622" xr:uid="{00000000-0005-0000-0000-000045010000}"/>
    <cellStyle name="20% - Accent1 24 2 3 2" xfId="20910" xr:uid="{00000000-0005-0000-0000-000046010000}"/>
    <cellStyle name="20% - Accent1 24 2 4" xfId="7628" xr:uid="{00000000-0005-0000-0000-000047010000}"/>
    <cellStyle name="20% - Accent1 24 2 4 2" xfId="18916" xr:uid="{00000000-0005-0000-0000-000048010000}"/>
    <cellStyle name="20% - Accent1 24 2 5" xfId="5634" xr:uid="{00000000-0005-0000-0000-000049010000}"/>
    <cellStyle name="20% - Accent1 24 2 5 2" xfId="16922" xr:uid="{00000000-0005-0000-0000-00004A010000}"/>
    <cellStyle name="20% - Accent1 24 2 6" xfId="14928" xr:uid="{00000000-0005-0000-0000-00004B010000}"/>
    <cellStyle name="20% - Accent1 24 3" xfId="10619" xr:uid="{00000000-0005-0000-0000-00004C010000}"/>
    <cellStyle name="20% - Accent1 24 3 2" xfId="21907" xr:uid="{00000000-0005-0000-0000-00004D010000}"/>
    <cellStyle name="20% - Accent1 24 4" xfId="8625" xr:uid="{00000000-0005-0000-0000-00004E010000}"/>
    <cellStyle name="20% - Accent1 24 4 2" xfId="19913" xr:uid="{00000000-0005-0000-0000-00004F010000}"/>
    <cellStyle name="20% - Accent1 24 5" xfId="6631" xr:uid="{00000000-0005-0000-0000-000050010000}"/>
    <cellStyle name="20% - Accent1 24 5 2" xfId="17919" xr:uid="{00000000-0005-0000-0000-000051010000}"/>
    <cellStyle name="20% - Accent1 24 6" xfId="4637" xr:uid="{00000000-0005-0000-0000-000052010000}"/>
    <cellStyle name="20% - Accent1 24 6 2" xfId="15925" xr:uid="{00000000-0005-0000-0000-000053010000}"/>
    <cellStyle name="20% - Accent1 24 7" xfId="13931" xr:uid="{00000000-0005-0000-0000-000054010000}"/>
    <cellStyle name="20% - Accent1 24 8" xfId="12617" xr:uid="{00000000-0005-0000-0000-000055010000}"/>
    <cellStyle name="20% - Accent1 25" xfId="682" xr:uid="{00000000-0005-0000-0000-000056010000}"/>
    <cellStyle name="20% - Accent1 25 2" xfId="3638" xr:uid="{00000000-0005-0000-0000-000057010000}"/>
    <cellStyle name="20% - Accent1 25 2 2" xfId="11617" xr:uid="{00000000-0005-0000-0000-000058010000}"/>
    <cellStyle name="20% - Accent1 25 2 2 2" xfId="22905" xr:uid="{00000000-0005-0000-0000-000059010000}"/>
    <cellStyle name="20% - Accent1 25 2 3" xfId="9623" xr:uid="{00000000-0005-0000-0000-00005A010000}"/>
    <cellStyle name="20% - Accent1 25 2 3 2" xfId="20911" xr:uid="{00000000-0005-0000-0000-00005B010000}"/>
    <cellStyle name="20% - Accent1 25 2 4" xfId="7629" xr:uid="{00000000-0005-0000-0000-00005C010000}"/>
    <cellStyle name="20% - Accent1 25 2 4 2" xfId="18917" xr:uid="{00000000-0005-0000-0000-00005D010000}"/>
    <cellStyle name="20% - Accent1 25 2 5" xfId="5635" xr:uid="{00000000-0005-0000-0000-00005E010000}"/>
    <cellStyle name="20% - Accent1 25 2 5 2" xfId="16923" xr:uid="{00000000-0005-0000-0000-00005F010000}"/>
    <cellStyle name="20% - Accent1 25 2 6" xfId="14929" xr:uid="{00000000-0005-0000-0000-000060010000}"/>
    <cellStyle name="20% - Accent1 25 3" xfId="10620" xr:uid="{00000000-0005-0000-0000-000061010000}"/>
    <cellStyle name="20% - Accent1 25 3 2" xfId="21908" xr:uid="{00000000-0005-0000-0000-000062010000}"/>
    <cellStyle name="20% - Accent1 25 4" xfId="8626" xr:uid="{00000000-0005-0000-0000-000063010000}"/>
    <cellStyle name="20% - Accent1 25 4 2" xfId="19914" xr:uid="{00000000-0005-0000-0000-000064010000}"/>
    <cellStyle name="20% - Accent1 25 5" xfId="6632" xr:uid="{00000000-0005-0000-0000-000065010000}"/>
    <cellStyle name="20% - Accent1 25 5 2" xfId="17920" xr:uid="{00000000-0005-0000-0000-000066010000}"/>
    <cellStyle name="20% - Accent1 25 6" xfId="4638" xr:uid="{00000000-0005-0000-0000-000067010000}"/>
    <cellStyle name="20% - Accent1 25 6 2" xfId="15926" xr:uid="{00000000-0005-0000-0000-000068010000}"/>
    <cellStyle name="20% - Accent1 25 7" xfId="13932" xr:uid="{00000000-0005-0000-0000-000069010000}"/>
    <cellStyle name="20% - Accent1 25 8" xfId="12618" xr:uid="{00000000-0005-0000-0000-00006A010000}"/>
    <cellStyle name="20% - Accent1 26" xfId="683" xr:uid="{00000000-0005-0000-0000-00006B010000}"/>
    <cellStyle name="20% - Accent1 26 2" xfId="3639" xr:uid="{00000000-0005-0000-0000-00006C010000}"/>
    <cellStyle name="20% - Accent1 26 2 2" xfId="11618" xr:uid="{00000000-0005-0000-0000-00006D010000}"/>
    <cellStyle name="20% - Accent1 26 2 2 2" xfId="22906" xr:uid="{00000000-0005-0000-0000-00006E010000}"/>
    <cellStyle name="20% - Accent1 26 2 3" xfId="9624" xr:uid="{00000000-0005-0000-0000-00006F010000}"/>
    <cellStyle name="20% - Accent1 26 2 3 2" xfId="20912" xr:uid="{00000000-0005-0000-0000-000070010000}"/>
    <cellStyle name="20% - Accent1 26 2 4" xfId="7630" xr:uid="{00000000-0005-0000-0000-000071010000}"/>
    <cellStyle name="20% - Accent1 26 2 4 2" xfId="18918" xr:uid="{00000000-0005-0000-0000-000072010000}"/>
    <cellStyle name="20% - Accent1 26 2 5" xfId="5636" xr:uid="{00000000-0005-0000-0000-000073010000}"/>
    <cellStyle name="20% - Accent1 26 2 5 2" xfId="16924" xr:uid="{00000000-0005-0000-0000-000074010000}"/>
    <cellStyle name="20% - Accent1 26 2 6" xfId="14930" xr:uid="{00000000-0005-0000-0000-000075010000}"/>
    <cellStyle name="20% - Accent1 26 3" xfId="10621" xr:uid="{00000000-0005-0000-0000-000076010000}"/>
    <cellStyle name="20% - Accent1 26 3 2" xfId="21909" xr:uid="{00000000-0005-0000-0000-000077010000}"/>
    <cellStyle name="20% - Accent1 26 4" xfId="8627" xr:uid="{00000000-0005-0000-0000-000078010000}"/>
    <cellStyle name="20% - Accent1 26 4 2" xfId="19915" xr:uid="{00000000-0005-0000-0000-000079010000}"/>
    <cellStyle name="20% - Accent1 26 5" xfId="6633" xr:uid="{00000000-0005-0000-0000-00007A010000}"/>
    <cellStyle name="20% - Accent1 26 5 2" xfId="17921" xr:uid="{00000000-0005-0000-0000-00007B010000}"/>
    <cellStyle name="20% - Accent1 26 6" xfId="4639" xr:uid="{00000000-0005-0000-0000-00007C010000}"/>
    <cellStyle name="20% - Accent1 26 6 2" xfId="15927" xr:uid="{00000000-0005-0000-0000-00007D010000}"/>
    <cellStyle name="20% - Accent1 26 7" xfId="13933" xr:uid="{00000000-0005-0000-0000-00007E010000}"/>
    <cellStyle name="20% - Accent1 26 8" xfId="12619" xr:uid="{00000000-0005-0000-0000-00007F010000}"/>
    <cellStyle name="20% - Accent1 27" xfId="684" xr:uid="{00000000-0005-0000-0000-000080010000}"/>
    <cellStyle name="20% - Accent1 27 2" xfId="3640" xr:uid="{00000000-0005-0000-0000-000081010000}"/>
    <cellStyle name="20% - Accent1 27 2 2" xfId="11619" xr:uid="{00000000-0005-0000-0000-000082010000}"/>
    <cellStyle name="20% - Accent1 27 2 2 2" xfId="22907" xr:uid="{00000000-0005-0000-0000-000083010000}"/>
    <cellStyle name="20% - Accent1 27 2 3" xfId="9625" xr:uid="{00000000-0005-0000-0000-000084010000}"/>
    <cellStyle name="20% - Accent1 27 2 3 2" xfId="20913" xr:uid="{00000000-0005-0000-0000-000085010000}"/>
    <cellStyle name="20% - Accent1 27 2 4" xfId="7631" xr:uid="{00000000-0005-0000-0000-000086010000}"/>
    <cellStyle name="20% - Accent1 27 2 4 2" xfId="18919" xr:uid="{00000000-0005-0000-0000-000087010000}"/>
    <cellStyle name="20% - Accent1 27 2 5" xfId="5637" xr:uid="{00000000-0005-0000-0000-000088010000}"/>
    <cellStyle name="20% - Accent1 27 2 5 2" xfId="16925" xr:uid="{00000000-0005-0000-0000-000089010000}"/>
    <cellStyle name="20% - Accent1 27 2 6" xfId="14931" xr:uid="{00000000-0005-0000-0000-00008A010000}"/>
    <cellStyle name="20% - Accent1 27 3" xfId="10622" xr:uid="{00000000-0005-0000-0000-00008B010000}"/>
    <cellStyle name="20% - Accent1 27 3 2" xfId="21910" xr:uid="{00000000-0005-0000-0000-00008C010000}"/>
    <cellStyle name="20% - Accent1 27 4" xfId="8628" xr:uid="{00000000-0005-0000-0000-00008D010000}"/>
    <cellStyle name="20% - Accent1 27 4 2" xfId="19916" xr:uid="{00000000-0005-0000-0000-00008E010000}"/>
    <cellStyle name="20% - Accent1 27 5" xfId="6634" xr:uid="{00000000-0005-0000-0000-00008F010000}"/>
    <cellStyle name="20% - Accent1 27 5 2" xfId="17922" xr:uid="{00000000-0005-0000-0000-000090010000}"/>
    <cellStyle name="20% - Accent1 27 6" xfId="4640" xr:uid="{00000000-0005-0000-0000-000091010000}"/>
    <cellStyle name="20% - Accent1 27 6 2" xfId="15928" xr:uid="{00000000-0005-0000-0000-000092010000}"/>
    <cellStyle name="20% - Accent1 27 7" xfId="13934" xr:uid="{00000000-0005-0000-0000-000093010000}"/>
    <cellStyle name="20% - Accent1 27 8" xfId="12620" xr:uid="{00000000-0005-0000-0000-000094010000}"/>
    <cellStyle name="20% - Accent1 28" xfId="685" xr:uid="{00000000-0005-0000-0000-000095010000}"/>
    <cellStyle name="20% - Accent1 28 2" xfId="3641" xr:uid="{00000000-0005-0000-0000-000096010000}"/>
    <cellStyle name="20% - Accent1 28 2 2" xfId="11620" xr:uid="{00000000-0005-0000-0000-000097010000}"/>
    <cellStyle name="20% - Accent1 28 2 2 2" xfId="22908" xr:uid="{00000000-0005-0000-0000-000098010000}"/>
    <cellStyle name="20% - Accent1 28 2 3" xfId="9626" xr:uid="{00000000-0005-0000-0000-000099010000}"/>
    <cellStyle name="20% - Accent1 28 2 3 2" xfId="20914" xr:uid="{00000000-0005-0000-0000-00009A010000}"/>
    <cellStyle name="20% - Accent1 28 2 4" xfId="7632" xr:uid="{00000000-0005-0000-0000-00009B010000}"/>
    <cellStyle name="20% - Accent1 28 2 4 2" xfId="18920" xr:uid="{00000000-0005-0000-0000-00009C010000}"/>
    <cellStyle name="20% - Accent1 28 2 5" xfId="5638" xr:uid="{00000000-0005-0000-0000-00009D010000}"/>
    <cellStyle name="20% - Accent1 28 2 5 2" xfId="16926" xr:uid="{00000000-0005-0000-0000-00009E010000}"/>
    <cellStyle name="20% - Accent1 28 2 6" xfId="14932" xr:uid="{00000000-0005-0000-0000-00009F010000}"/>
    <cellStyle name="20% - Accent1 28 3" xfId="10623" xr:uid="{00000000-0005-0000-0000-0000A0010000}"/>
    <cellStyle name="20% - Accent1 28 3 2" xfId="21911" xr:uid="{00000000-0005-0000-0000-0000A1010000}"/>
    <cellStyle name="20% - Accent1 28 4" xfId="8629" xr:uid="{00000000-0005-0000-0000-0000A2010000}"/>
    <cellStyle name="20% - Accent1 28 4 2" xfId="19917" xr:uid="{00000000-0005-0000-0000-0000A3010000}"/>
    <cellStyle name="20% - Accent1 28 5" xfId="6635" xr:uid="{00000000-0005-0000-0000-0000A4010000}"/>
    <cellStyle name="20% - Accent1 28 5 2" xfId="17923" xr:uid="{00000000-0005-0000-0000-0000A5010000}"/>
    <cellStyle name="20% - Accent1 28 6" xfId="4641" xr:uid="{00000000-0005-0000-0000-0000A6010000}"/>
    <cellStyle name="20% - Accent1 28 6 2" xfId="15929" xr:uid="{00000000-0005-0000-0000-0000A7010000}"/>
    <cellStyle name="20% - Accent1 28 7" xfId="13935" xr:uid="{00000000-0005-0000-0000-0000A8010000}"/>
    <cellStyle name="20% - Accent1 28 8" xfId="12621" xr:uid="{00000000-0005-0000-0000-0000A9010000}"/>
    <cellStyle name="20% - Accent1 29" xfId="686" xr:uid="{00000000-0005-0000-0000-0000AA010000}"/>
    <cellStyle name="20% - Accent1 29 2" xfId="3642" xr:uid="{00000000-0005-0000-0000-0000AB010000}"/>
    <cellStyle name="20% - Accent1 29 2 2" xfId="11621" xr:uid="{00000000-0005-0000-0000-0000AC010000}"/>
    <cellStyle name="20% - Accent1 29 2 2 2" xfId="22909" xr:uid="{00000000-0005-0000-0000-0000AD010000}"/>
    <cellStyle name="20% - Accent1 29 2 3" xfId="9627" xr:uid="{00000000-0005-0000-0000-0000AE010000}"/>
    <cellStyle name="20% - Accent1 29 2 3 2" xfId="20915" xr:uid="{00000000-0005-0000-0000-0000AF010000}"/>
    <cellStyle name="20% - Accent1 29 2 4" xfId="7633" xr:uid="{00000000-0005-0000-0000-0000B0010000}"/>
    <cellStyle name="20% - Accent1 29 2 4 2" xfId="18921" xr:uid="{00000000-0005-0000-0000-0000B1010000}"/>
    <cellStyle name="20% - Accent1 29 2 5" xfId="5639" xr:uid="{00000000-0005-0000-0000-0000B2010000}"/>
    <cellStyle name="20% - Accent1 29 2 5 2" xfId="16927" xr:uid="{00000000-0005-0000-0000-0000B3010000}"/>
    <cellStyle name="20% - Accent1 29 2 6" xfId="14933" xr:uid="{00000000-0005-0000-0000-0000B4010000}"/>
    <cellStyle name="20% - Accent1 29 3" xfId="10624" xr:uid="{00000000-0005-0000-0000-0000B5010000}"/>
    <cellStyle name="20% - Accent1 29 3 2" xfId="21912" xr:uid="{00000000-0005-0000-0000-0000B6010000}"/>
    <cellStyle name="20% - Accent1 29 4" xfId="8630" xr:uid="{00000000-0005-0000-0000-0000B7010000}"/>
    <cellStyle name="20% - Accent1 29 4 2" xfId="19918" xr:uid="{00000000-0005-0000-0000-0000B8010000}"/>
    <cellStyle name="20% - Accent1 29 5" xfId="6636" xr:uid="{00000000-0005-0000-0000-0000B9010000}"/>
    <cellStyle name="20% - Accent1 29 5 2" xfId="17924" xr:uid="{00000000-0005-0000-0000-0000BA010000}"/>
    <cellStyle name="20% - Accent1 29 6" xfId="4642" xr:uid="{00000000-0005-0000-0000-0000BB010000}"/>
    <cellStyle name="20% - Accent1 29 6 2" xfId="15930" xr:uid="{00000000-0005-0000-0000-0000BC010000}"/>
    <cellStyle name="20% - Accent1 29 7" xfId="13936" xr:uid="{00000000-0005-0000-0000-0000BD010000}"/>
    <cellStyle name="20% - Accent1 29 8" xfId="12622" xr:uid="{00000000-0005-0000-0000-0000BE010000}"/>
    <cellStyle name="20% - Accent1 3" xfId="687" xr:uid="{00000000-0005-0000-0000-0000BF010000}"/>
    <cellStyle name="20% - Accent1 3 10" xfId="24560" xr:uid="{00000000-0005-0000-0000-0000C0010000}"/>
    <cellStyle name="20% - Accent1 3 11" xfId="24950" xr:uid="{00000000-0005-0000-0000-0000C1010000}"/>
    <cellStyle name="20% - Accent1 3 2" xfId="3643" xr:uid="{00000000-0005-0000-0000-0000C2010000}"/>
    <cellStyle name="20% - Accent1 3 2 2" xfId="11622" xr:uid="{00000000-0005-0000-0000-0000C3010000}"/>
    <cellStyle name="20% - Accent1 3 2 2 2" xfId="22910" xr:uid="{00000000-0005-0000-0000-0000C4010000}"/>
    <cellStyle name="20% - Accent1 3 2 3" xfId="9628" xr:uid="{00000000-0005-0000-0000-0000C5010000}"/>
    <cellStyle name="20% - Accent1 3 2 3 2" xfId="20916" xr:uid="{00000000-0005-0000-0000-0000C6010000}"/>
    <cellStyle name="20% - Accent1 3 2 4" xfId="7634" xr:uid="{00000000-0005-0000-0000-0000C7010000}"/>
    <cellStyle name="20% - Accent1 3 2 4 2" xfId="18922" xr:uid="{00000000-0005-0000-0000-0000C8010000}"/>
    <cellStyle name="20% - Accent1 3 2 5" xfId="5640" xr:uid="{00000000-0005-0000-0000-0000C9010000}"/>
    <cellStyle name="20% - Accent1 3 2 5 2" xfId="16928" xr:uid="{00000000-0005-0000-0000-0000CA010000}"/>
    <cellStyle name="20% - Accent1 3 2 6" xfId="14934" xr:uid="{00000000-0005-0000-0000-0000CB010000}"/>
    <cellStyle name="20% - Accent1 3 2 7" xfId="24321" xr:uid="{00000000-0005-0000-0000-0000CC010000}"/>
    <cellStyle name="20% - Accent1 3 2 8" xfId="24785" xr:uid="{00000000-0005-0000-0000-0000CD010000}"/>
    <cellStyle name="20% - Accent1 3 2 9" xfId="25152" xr:uid="{00000000-0005-0000-0000-0000CE010000}"/>
    <cellStyle name="20% - Accent1 3 3" xfId="10625" xr:uid="{00000000-0005-0000-0000-0000CF010000}"/>
    <cellStyle name="20% - Accent1 3 3 2" xfId="21913" xr:uid="{00000000-0005-0000-0000-0000D0010000}"/>
    <cellStyle name="20% - Accent1 3 4" xfId="8631" xr:uid="{00000000-0005-0000-0000-0000D1010000}"/>
    <cellStyle name="20% - Accent1 3 4 2" xfId="19919" xr:uid="{00000000-0005-0000-0000-0000D2010000}"/>
    <cellStyle name="20% - Accent1 3 5" xfId="6637" xr:uid="{00000000-0005-0000-0000-0000D3010000}"/>
    <cellStyle name="20% - Accent1 3 5 2" xfId="17925" xr:uid="{00000000-0005-0000-0000-0000D4010000}"/>
    <cellStyle name="20% - Accent1 3 6" xfId="4643" xr:uid="{00000000-0005-0000-0000-0000D5010000}"/>
    <cellStyle name="20% - Accent1 3 6 2" xfId="15931" xr:uid="{00000000-0005-0000-0000-0000D6010000}"/>
    <cellStyle name="20% - Accent1 3 7" xfId="13937" xr:uid="{00000000-0005-0000-0000-0000D7010000}"/>
    <cellStyle name="20% - Accent1 3 8" xfId="12623" xr:uid="{00000000-0005-0000-0000-0000D8010000}"/>
    <cellStyle name="20% - Accent1 3 9" xfId="23933" xr:uid="{00000000-0005-0000-0000-0000D9010000}"/>
    <cellStyle name="20% - Accent1 30" xfId="688" xr:uid="{00000000-0005-0000-0000-0000DA010000}"/>
    <cellStyle name="20% - Accent1 30 2" xfId="3644" xr:uid="{00000000-0005-0000-0000-0000DB010000}"/>
    <cellStyle name="20% - Accent1 30 2 2" xfId="11623" xr:uid="{00000000-0005-0000-0000-0000DC010000}"/>
    <cellStyle name="20% - Accent1 30 2 2 2" xfId="22911" xr:uid="{00000000-0005-0000-0000-0000DD010000}"/>
    <cellStyle name="20% - Accent1 30 2 3" xfId="9629" xr:uid="{00000000-0005-0000-0000-0000DE010000}"/>
    <cellStyle name="20% - Accent1 30 2 3 2" xfId="20917" xr:uid="{00000000-0005-0000-0000-0000DF010000}"/>
    <cellStyle name="20% - Accent1 30 2 4" xfId="7635" xr:uid="{00000000-0005-0000-0000-0000E0010000}"/>
    <cellStyle name="20% - Accent1 30 2 4 2" xfId="18923" xr:uid="{00000000-0005-0000-0000-0000E1010000}"/>
    <cellStyle name="20% - Accent1 30 2 5" xfId="5641" xr:uid="{00000000-0005-0000-0000-0000E2010000}"/>
    <cellStyle name="20% - Accent1 30 2 5 2" xfId="16929" xr:uid="{00000000-0005-0000-0000-0000E3010000}"/>
    <cellStyle name="20% - Accent1 30 2 6" xfId="14935" xr:uid="{00000000-0005-0000-0000-0000E4010000}"/>
    <cellStyle name="20% - Accent1 30 3" xfId="10626" xr:uid="{00000000-0005-0000-0000-0000E5010000}"/>
    <cellStyle name="20% - Accent1 30 3 2" xfId="21914" xr:uid="{00000000-0005-0000-0000-0000E6010000}"/>
    <cellStyle name="20% - Accent1 30 4" xfId="8632" xr:uid="{00000000-0005-0000-0000-0000E7010000}"/>
    <cellStyle name="20% - Accent1 30 4 2" xfId="19920" xr:uid="{00000000-0005-0000-0000-0000E8010000}"/>
    <cellStyle name="20% - Accent1 30 5" xfId="6638" xr:uid="{00000000-0005-0000-0000-0000E9010000}"/>
    <cellStyle name="20% - Accent1 30 5 2" xfId="17926" xr:uid="{00000000-0005-0000-0000-0000EA010000}"/>
    <cellStyle name="20% - Accent1 30 6" xfId="4644" xr:uid="{00000000-0005-0000-0000-0000EB010000}"/>
    <cellStyle name="20% - Accent1 30 6 2" xfId="15932" xr:uid="{00000000-0005-0000-0000-0000EC010000}"/>
    <cellStyle name="20% - Accent1 30 7" xfId="13938" xr:uid="{00000000-0005-0000-0000-0000ED010000}"/>
    <cellStyle name="20% - Accent1 30 8" xfId="12624" xr:uid="{00000000-0005-0000-0000-0000EE010000}"/>
    <cellStyle name="20% - Accent1 31" xfId="689" xr:uid="{00000000-0005-0000-0000-0000EF010000}"/>
    <cellStyle name="20% - Accent1 31 2" xfId="3645" xr:uid="{00000000-0005-0000-0000-0000F0010000}"/>
    <cellStyle name="20% - Accent1 31 2 2" xfId="11624" xr:uid="{00000000-0005-0000-0000-0000F1010000}"/>
    <cellStyle name="20% - Accent1 31 2 2 2" xfId="22912" xr:uid="{00000000-0005-0000-0000-0000F2010000}"/>
    <cellStyle name="20% - Accent1 31 2 3" xfId="9630" xr:uid="{00000000-0005-0000-0000-0000F3010000}"/>
    <cellStyle name="20% - Accent1 31 2 3 2" xfId="20918" xr:uid="{00000000-0005-0000-0000-0000F4010000}"/>
    <cellStyle name="20% - Accent1 31 2 4" xfId="7636" xr:uid="{00000000-0005-0000-0000-0000F5010000}"/>
    <cellStyle name="20% - Accent1 31 2 4 2" xfId="18924" xr:uid="{00000000-0005-0000-0000-0000F6010000}"/>
    <cellStyle name="20% - Accent1 31 2 5" xfId="5642" xr:uid="{00000000-0005-0000-0000-0000F7010000}"/>
    <cellStyle name="20% - Accent1 31 2 5 2" xfId="16930" xr:uid="{00000000-0005-0000-0000-0000F8010000}"/>
    <cellStyle name="20% - Accent1 31 2 6" xfId="14936" xr:uid="{00000000-0005-0000-0000-0000F9010000}"/>
    <cellStyle name="20% - Accent1 31 3" xfId="10627" xr:uid="{00000000-0005-0000-0000-0000FA010000}"/>
    <cellStyle name="20% - Accent1 31 3 2" xfId="21915" xr:uid="{00000000-0005-0000-0000-0000FB010000}"/>
    <cellStyle name="20% - Accent1 31 4" xfId="8633" xr:uid="{00000000-0005-0000-0000-0000FC010000}"/>
    <cellStyle name="20% - Accent1 31 4 2" xfId="19921" xr:uid="{00000000-0005-0000-0000-0000FD010000}"/>
    <cellStyle name="20% - Accent1 31 5" xfId="6639" xr:uid="{00000000-0005-0000-0000-0000FE010000}"/>
    <cellStyle name="20% - Accent1 31 5 2" xfId="17927" xr:uid="{00000000-0005-0000-0000-0000FF010000}"/>
    <cellStyle name="20% - Accent1 31 6" xfId="4645" xr:uid="{00000000-0005-0000-0000-000000020000}"/>
    <cellStyle name="20% - Accent1 31 6 2" xfId="15933" xr:uid="{00000000-0005-0000-0000-000001020000}"/>
    <cellStyle name="20% - Accent1 31 7" xfId="13939" xr:uid="{00000000-0005-0000-0000-000002020000}"/>
    <cellStyle name="20% - Accent1 31 8" xfId="12625" xr:uid="{00000000-0005-0000-0000-000003020000}"/>
    <cellStyle name="20% - Accent1 32" xfId="690" xr:uid="{00000000-0005-0000-0000-000004020000}"/>
    <cellStyle name="20% - Accent1 32 2" xfId="3646" xr:uid="{00000000-0005-0000-0000-000005020000}"/>
    <cellStyle name="20% - Accent1 32 2 2" xfId="11625" xr:uid="{00000000-0005-0000-0000-000006020000}"/>
    <cellStyle name="20% - Accent1 32 2 2 2" xfId="22913" xr:uid="{00000000-0005-0000-0000-000007020000}"/>
    <cellStyle name="20% - Accent1 32 2 3" xfId="9631" xr:uid="{00000000-0005-0000-0000-000008020000}"/>
    <cellStyle name="20% - Accent1 32 2 3 2" xfId="20919" xr:uid="{00000000-0005-0000-0000-000009020000}"/>
    <cellStyle name="20% - Accent1 32 2 4" xfId="7637" xr:uid="{00000000-0005-0000-0000-00000A020000}"/>
    <cellStyle name="20% - Accent1 32 2 4 2" xfId="18925" xr:uid="{00000000-0005-0000-0000-00000B020000}"/>
    <cellStyle name="20% - Accent1 32 2 5" xfId="5643" xr:uid="{00000000-0005-0000-0000-00000C020000}"/>
    <cellStyle name="20% - Accent1 32 2 5 2" xfId="16931" xr:uid="{00000000-0005-0000-0000-00000D020000}"/>
    <cellStyle name="20% - Accent1 32 2 6" xfId="14937" xr:uid="{00000000-0005-0000-0000-00000E020000}"/>
    <cellStyle name="20% - Accent1 32 3" xfId="10628" xr:uid="{00000000-0005-0000-0000-00000F020000}"/>
    <cellStyle name="20% - Accent1 32 3 2" xfId="21916" xr:uid="{00000000-0005-0000-0000-000010020000}"/>
    <cellStyle name="20% - Accent1 32 4" xfId="8634" xr:uid="{00000000-0005-0000-0000-000011020000}"/>
    <cellStyle name="20% - Accent1 32 4 2" xfId="19922" xr:uid="{00000000-0005-0000-0000-000012020000}"/>
    <cellStyle name="20% - Accent1 32 5" xfId="6640" xr:uid="{00000000-0005-0000-0000-000013020000}"/>
    <cellStyle name="20% - Accent1 32 5 2" xfId="17928" xr:uid="{00000000-0005-0000-0000-000014020000}"/>
    <cellStyle name="20% - Accent1 32 6" xfId="4646" xr:uid="{00000000-0005-0000-0000-000015020000}"/>
    <cellStyle name="20% - Accent1 32 6 2" xfId="15934" xr:uid="{00000000-0005-0000-0000-000016020000}"/>
    <cellStyle name="20% - Accent1 32 7" xfId="13940" xr:uid="{00000000-0005-0000-0000-000017020000}"/>
    <cellStyle name="20% - Accent1 32 8" xfId="12626" xr:uid="{00000000-0005-0000-0000-000018020000}"/>
    <cellStyle name="20% - Accent1 33" xfId="691" xr:uid="{00000000-0005-0000-0000-000019020000}"/>
    <cellStyle name="20% - Accent1 33 2" xfId="3647" xr:uid="{00000000-0005-0000-0000-00001A020000}"/>
    <cellStyle name="20% - Accent1 33 2 2" xfId="11626" xr:uid="{00000000-0005-0000-0000-00001B020000}"/>
    <cellStyle name="20% - Accent1 33 2 2 2" xfId="22914" xr:uid="{00000000-0005-0000-0000-00001C020000}"/>
    <cellStyle name="20% - Accent1 33 2 3" xfId="9632" xr:uid="{00000000-0005-0000-0000-00001D020000}"/>
    <cellStyle name="20% - Accent1 33 2 3 2" xfId="20920" xr:uid="{00000000-0005-0000-0000-00001E020000}"/>
    <cellStyle name="20% - Accent1 33 2 4" xfId="7638" xr:uid="{00000000-0005-0000-0000-00001F020000}"/>
    <cellStyle name="20% - Accent1 33 2 4 2" xfId="18926" xr:uid="{00000000-0005-0000-0000-000020020000}"/>
    <cellStyle name="20% - Accent1 33 2 5" xfId="5644" xr:uid="{00000000-0005-0000-0000-000021020000}"/>
    <cellStyle name="20% - Accent1 33 2 5 2" xfId="16932" xr:uid="{00000000-0005-0000-0000-000022020000}"/>
    <cellStyle name="20% - Accent1 33 2 6" xfId="14938" xr:uid="{00000000-0005-0000-0000-000023020000}"/>
    <cellStyle name="20% - Accent1 33 3" xfId="10629" xr:uid="{00000000-0005-0000-0000-000024020000}"/>
    <cellStyle name="20% - Accent1 33 3 2" xfId="21917" xr:uid="{00000000-0005-0000-0000-000025020000}"/>
    <cellStyle name="20% - Accent1 33 4" xfId="8635" xr:uid="{00000000-0005-0000-0000-000026020000}"/>
    <cellStyle name="20% - Accent1 33 4 2" xfId="19923" xr:uid="{00000000-0005-0000-0000-000027020000}"/>
    <cellStyle name="20% - Accent1 33 5" xfId="6641" xr:uid="{00000000-0005-0000-0000-000028020000}"/>
    <cellStyle name="20% - Accent1 33 5 2" xfId="17929" xr:uid="{00000000-0005-0000-0000-000029020000}"/>
    <cellStyle name="20% - Accent1 33 6" xfId="4647" xr:uid="{00000000-0005-0000-0000-00002A020000}"/>
    <cellStyle name="20% - Accent1 33 6 2" xfId="15935" xr:uid="{00000000-0005-0000-0000-00002B020000}"/>
    <cellStyle name="20% - Accent1 33 7" xfId="13941" xr:uid="{00000000-0005-0000-0000-00002C020000}"/>
    <cellStyle name="20% - Accent1 33 8" xfId="12627" xr:uid="{00000000-0005-0000-0000-00002D020000}"/>
    <cellStyle name="20% - Accent1 34" xfId="692" xr:uid="{00000000-0005-0000-0000-00002E020000}"/>
    <cellStyle name="20% - Accent1 34 2" xfId="3648" xr:uid="{00000000-0005-0000-0000-00002F020000}"/>
    <cellStyle name="20% - Accent1 34 2 2" xfId="11627" xr:uid="{00000000-0005-0000-0000-000030020000}"/>
    <cellStyle name="20% - Accent1 34 2 2 2" xfId="22915" xr:uid="{00000000-0005-0000-0000-000031020000}"/>
    <cellStyle name="20% - Accent1 34 2 3" xfId="9633" xr:uid="{00000000-0005-0000-0000-000032020000}"/>
    <cellStyle name="20% - Accent1 34 2 3 2" xfId="20921" xr:uid="{00000000-0005-0000-0000-000033020000}"/>
    <cellStyle name="20% - Accent1 34 2 4" xfId="7639" xr:uid="{00000000-0005-0000-0000-000034020000}"/>
    <cellStyle name="20% - Accent1 34 2 4 2" xfId="18927" xr:uid="{00000000-0005-0000-0000-000035020000}"/>
    <cellStyle name="20% - Accent1 34 2 5" xfId="5645" xr:uid="{00000000-0005-0000-0000-000036020000}"/>
    <cellStyle name="20% - Accent1 34 2 5 2" xfId="16933" xr:uid="{00000000-0005-0000-0000-000037020000}"/>
    <cellStyle name="20% - Accent1 34 2 6" xfId="14939" xr:uid="{00000000-0005-0000-0000-000038020000}"/>
    <cellStyle name="20% - Accent1 34 3" xfId="10630" xr:uid="{00000000-0005-0000-0000-000039020000}"/>
    <cellStyle name="20% - Accent1 34 3 2" xfId="21918" xr:uid="{00000000-0005-0000-0000-00003A020000}"/>
    <cellStyle name="20% - Accent1 34 4" xfId="8636" xr:uid="{00000000-0005-0000-0000-00003B020000}"/>
    <cellStyle name="20% - Accent1 34 4 2" xfId="19924" xr:uid="{00000000-0005-0000-0000-00003C020000}"/>
    <cellStyle name="20% - Accent1 34 5" xfId="6642" xr:uid="{00000000-0005-0000-0000-00003D020000}"/>
    <cellStyle name="20% - Accent1 34 5 2" xfId="17930" xr:uid="{00000000-0005-0000-0000-00003E020000}"/>
    <cellStyle name="20% - Accent1 34 6" xfId="4648" xr:uid="{00000000-0005-0000-0000-00003F020000}"/>
    <cellStyle name="20% - Accent1 34 6 2" xfId="15936" xr:uid="{00000000-0005-0000-0000-000040020000}"/>
    <cellStyle name="20% - Accent1 34 7" xfId="13942" xr:uid="{00000000-0005-0000-0000-000041020000}"/>
    <cellStyle name="20% - Accent1 34 8" xfId="12628" xr:uid="{00000000-0005-0000-0000-000042020000}"/>
    <cellStyle name="20% - Accent1 35" xfId="693" xr:uid="{00000000-0005-0000-0000-000043020000}"/>
    <cellStyle name="20% - Accent1 35 2" xfId="3649" xr:uid="{00000000-0005-0000-0000-000044020000}"/>
    <cellStyle name="20% - Accent1 35 2 2" xfId="11628" xr:uid="{00000000-0005-0000-0000-000045020000}"/>
    <cellStyle name="20% - Accent1 35 2 2 2" xfId="22916" xr:uid="{00000000-0005-0000-0000-000046020000}"/>
    <cellStyle name="20% - Accent1 35 2 3" xfId="9634" xr:uid="{00000000-0005-0000-0000-000047020000}"/>
    <cellStyle name="20% - Accent1 35 2 3 2" xfId="20922" xr:uid="{00000000-0005-0000-0000-000048020000}"/>
    <cellStyle name="20% - Accent1 35 2 4" xfId="7640" xr:uid="{00000000-0005-0000-0000-000049020000}"/>
    <cellStyle name="20% - Accent1 35 2 4 2" xfId="18928" xr:uid="{00000000-0005-0000-0000-00004A020000}"/>
    <cellStyle name="20% - Accent1 35 2 5" xfId="5646" xr:uid="{00000000-0005-0000-0000-00004B020000}"/>
    <cellStyle name="20% - Accent1 35 2 5 2" xfId="16934" xr:uid="{00000000-0005-0000-0000-00004C020000}"/>
    <cellStyle name="20% - Accent1 35 2 6" xfId="14940" xr:uid="{00000000-0005-0000-0000-00004D020000}"/>
    <cellStyle name="20% - Accent1 35 3" xfId="10631" xr:uid="{00000000-0005-0000-0000-00004E020000}"/>
    <cellStyle name="20% - Accent1 35 3 2" xfId="21919" xr:uid="{00000000-0005-0000-0000-00004F020000}"/>
    <cellStyle name="20% - Accent1 35 4" xfId="8637" xr:uid="{00000000-0005-0000-0000-000050020000}"/>
    <cellStyle name="20% - Accent1 35 4 2" xfId="19925" xr:uid="{00000000-0005-0000-0000-000051020000}"/>
    <cellStyle name="20% - Accent1 35 5" xfId="6643" xr:uid="{00000000-0005-0000-0000-000052020000}"/>
    <cellStyle name="20% - Accent1 35 5 2" xfId="17931" xr:uid="{00000000-0005-0000-0000-000053020000}"/>
    <cellStyle name="20% - Accent1 35 6" xfId="4649" xr:uid="{00000000-0005-0000-0000-000054020000}"/>
    <cellStyle name="20% - Accent1 35 6 2" xfId="15937" xr:uid="{00000000-0005-0000-0000-000055020000}"/>
    <cellStyle name="20% - Accent1 35 7" xfId="13943" xr:uid="{00000000-0005-0000-0000-000056020000}"/>
    <cellStyle name="20% - Accent1 35 8" xfId="12629" xr:uid="{00000000-0005-0000-0000-000057020000}"/>
    <cellStyle name="20% - Accent1 36" xfId="694" xr:uid="{00000000-0005-0000-0000-000058020000}"/>
    <cellStyle name="20% - Accent1 36 2" xfId="3650" xr:uid="{00000000-0005-0000-0000-000059020000}"/>
    <cellStyle name="20% - Accent1 36 2 2" xfId="11629" xr:uid="{00000000-0005-0000-0000-00005A020000}"/>
    <cellStyle name="20% - Accent1 36 2 2 2" xfId="22917" xr:uid="{00000000-0005-0000-0000-00005B020000}"/>
    <cellStyle name="20% - Accent1 36 2 3" xfId="9635" xr:uid="{00000000-0005-0000-0000-00005C020000}"/>
    <cellStyle name="20% - Accent1 36 2 3 2" xfId="20923" xr:uid="{00000000-0005-0000-0000-00005D020000}"/>
    <cellStyle name="20% - Accent1 36 2 4" xfId="7641" xr:uid="{00000000-0005-0000-0000-00005E020000}"/>
    <cellStyle name="20% - Accent1 36 2 4 2" xfId="18929" xr:uid="{00000000-0005-0000-0000-00005F020000}"/>
    <cellStyle name="20% - Accent1 36 2 5" xfId="5647" xr:uid="{00000000-0005-0000-0000-000060020000}"/>
    <cellStyle name="20% - Accent1 36 2 5 2" xfId="16935" xr:uid="{00000000-0005-0000-0000-000061020000}"/>
    <cellStyle name="20% - Accent1 36 2 6" xfId="14941" xr:uid="{00000000-0005-0000-0000-000062020000}"/>
    <cellStyle name="20% - Accent1 36 3" xfId="10632" xr:uid="{00000000-0005-0000-0000-000063020000}"/>
    <cellStyle name="20% - Accent1 36 3 2" xfId="21920" xr:uid="{00000000-0005-0000-0000-000064020000}"/>
    <cellStyle name="20% - Accent1 36 4" xfId="8638" xr:uid="{00000000-0005-0000-0000-000065020000}"/>
    <cellStyle name="20% - Accent1 36 4 2" xfId="19926" xr:uid="{00000000-0005-0000-0000-000066020000}"/>
    <cellStyle name="20% - Accent1 36 5" xfId="6644" xr:uid="{00000000-0005-0000-0000-000067020000}"/>
    <cellStyle name="20% - Accent1 36 5 2" xfId="17932" xr:uid="{00000000-0005-0000-0000-000068020000}"/>
    <cellStyle name="20% - Accent1 36 6" xfId="4650" xr:uid="{00000000-0005-0000-0000-000069020000}"/>
    <cellStyle name="20% - Accent1 36 6 2" xfId="15938" xr:uid="{00000000-0005-0000-0000-00006A020000}"/>
    <cellStyle name="20% - Accent1 36 7" xfId="13944" xr:uid="{00000000-0005-0000-0000-00006B020000}"/>
    <cellStyle name="20% - Accent1 36 8" xfId="12630" xr:uid="{00000000-0005-0000-0000-00006C020000}"/>
    <cellStyle name="20% - Accent1 37" xfId="695" xr:uid="{00000000-0005-0000-0000-00006D020000}"/>
    <cellStyle name="20% - Accent1 37 2" xfId="3651" xr:uid="{00000000-0005-0000-0000-00006E020000}"/>
    <cellStyle name="20% - Accent1 37 2 2" xfId="11630" xr:uid="{00000000-0005-0000-0000-00006F020000}"/>
    <cellStyle name="20% - Accent1 37 2 2 2" xfId="22918" xr:uid="{00000000-0005-0000-0000-000070020000}"/>
    <cellStyle name="20% - Accent1 37 2 3" xfId="9636" xr:uid="{00000000-0005-0000-0000-000071020000}"/>
    <cellStyle name="20% - Accent1 37 2 3 2" xfId="20924" xr:uid="{00000000-0005-0000-0000-000072020000}"/>
    <cellStyle name="20% - Accent1 37 2 4" xfId="7642" xr:uid="{00000000-0005-0000-0000-000073020000}"/>
    <cellStyle name="20% - Accent1 37 2 4 2" xfId="18930" xr:uid="{00000000-0005-0000-0000-000074020000}"/>
    <cellStyle name="20% - Accent1 37 2 5" xfId="5648" xr:uid="{00000000-0005-0000-0000-000075020000}"/>
    <cellStyle name="20% - Accent1 37 2 5 2" xfId="16936" xr:uid="{00000000-0005-0000-0000-000076020000}"/>
    <cellStyle name="20% - Accent1 37 2 6" xfId="14942" xr:uid="{00000000-0005-0000-0000-000077020000}"/>
    <cellStyle name="20% - Accent1 37 3" xfId="10633" xr:uid="{00000000-0005-0000-0000-000078020000}"/>
    <cellStyle name="20% - Accent1 37 3 2" xfId="21921" xr:uid="{00000000-0005-0000-0000-000079020000}"/>
    <cellStyle name="20% - Accent1 37 4" xfId="8639" xr:uid="{00000000-0005-0000-0000-00007A020000}"/>
    <cellStyle name="20% - Accent1 37 4 2" xfId="19927" xr:uid="{00000000-0005-0000-0000-00007B020000}"/>
    <cellStyle name="20% - Accent1 37 5" xfId="6645" xr:uid="{00000000-0005-0000-0000-00007C020000}"/>
    <cellStyle name="20% - Accent1 37 5 2" xfId="17933" xr:uid="{00000000-0005-0000-0000-00007D020000}"/>
    <cellStyle name="20% - Accent1 37 6" xfId="4651" xr:uid="{00000000-0005-0000-0000-00007E020000}"/>
    <cellStyle name="20% - Accent1 37 6 2" xfId="15939" xr:uid="{00000000-0005-0000-0000-00007F020000}"/>
    <cellStyle name="20% - Accent1 37 7" xfId="13945" xr:uid="{00000000-0005-0000-0000-000080020000}"/>
    <cellStyle name="20% - Accent1 37 8" xfId="12631" xr:uid="{00000000-0005-0000-0000-000081020000}"/>
    <cellStyle name="20% - Accent1 38" xfId="696" xr:uid="{00000000-0005-0000-0000-000082020000}"/>
    <cellStyle name="20% - Accent1 38 2" xfId="3652" xr:uid="{00000000-0005-0000-0000-000083020000}"/>
    <cellStyle name="20% - Accent1 38 2 2" xfId="11631" xr:uid="{00000000-0005-0000-0000-000084020000}"/>
    <cellStyle name="20% - Accent1 38 2 2 2" xfId="22919" xr:uid="{00000000-0005-0000-0000-000085020000}"/>
    <cellStyle name="20% - Accent1 38 2 3" xfId="9637" xr:uid="{00000000-0005-0000-0000-000086020000}"/>
    <cellStyle name="20% - Accent1 38 2 3 2" xfId="20925" xr:uid="{00000000-0005-0000-0000-000087020000}"/>
    <cellStyle name="20% - Accent1 38 2 4" xfId="7643" xr:uid="{00000000-0005-0000-0000-000088020000}"/>
    <cellStyle name="20% - Accent1 38 2 4 2" xfId="18931" xr:uid="{00000000-0005-0000-0000-000089020000}"/>
    <cellStyle name="20% - Accent1 38 2 5" xfId="5649" xr:uid="{00000000-0005-0000-0000-00008A020000}"/>
    <cellStyle name="20% - Accent1 38 2 5 2" xfId="16937" xr:uid="{00000000-0005-0000-0000-00008B020000}"/>
    <cellStyle name="20% - Accent1 38 2 6" xfId="14943" xr:uid="{00000000-0005-0000-0000-00008C020000}"/>
    <cellStyle name="20% - Accent1 38 3" xfId="10634" xr:uid="{00000000-0005-0000-0000-00008D020000}"/>
    <cellStyle name="20% - Accent1 38 3 2" xfId="21922" xr:uid="{00000000-0005-0000-0000-00008E020000}"/>
    <cellStyle name="20% - Accent1 38 4" xfId="8640" xr:uid="{00000000-0005-0000-0000-00008F020000}"/>
    <cellStyle name="20% - Accent1 38 4 2" xfId="19928" xr:uid="{00000000-0005-0000-0000-000090020000}"/>
    <cellStyle name="20% - Accent1 38 5" xfId="6646" xr:uid="{00000000-0005-0000-0000-000091020000}"/>
    <cellStyle name="20% - Accent1 38 5 2" xfId="17934" xr:uid="{00000000-0005-0000-0000-000092020000}"/>
    <cellStyle name="20% - Accent1 38 6" xfId="4652" xr:uid="{00000000-0005-0000-0000-000093020000}"/>
    <cellStyle name="20% - Accent1 38 6 2" xfId="15940" xr:uid="{00000000-0005-0000-0000-000094020000}"/>
    <cellStyle name="20% - Accent1 38 7" xfId="13946" xr:uid="{00000000-0005-0000-0000-000095020000}"/>
    <cellStyle name="20% - Accent1 38 8" xfId="12632" xr:uid="{00000000-0005-0000-0000-000096020000}"/>
    <cellStyle name="20% - Accent1 39" xfId="697" xr:uid="{00000000-0005-0000-0000-000097020000}"/>
    <cellStyle name="20% - Accent1 39 2" xfId="3653" xr:uid="{00000000-0005-0000-0000-000098020000}"/>
    <cellStyle name="20% - Accent1 39 2 2" xfId="11632" xr:uid="{00000000-0005-0000-0000-000099020000}"/>
    <cellStyle name="20% - Accent1 39 2 2 2" xfId="22920" xr:uid="{00000000-0005-0000-0000-00009A020000}"/>
    <cellStyle name="20% - Accent1 39 2 3" xfId="9638" xr:uid="{00000000-0005-0000-0000-00009B020000}"/>
    <cellStyle name="20% - Accent1 39 2 3 2" xfId="20926" xr:uid="{00000000-0005-0000-0000-00009C020000}"/>
    <cellStyle name="20% - Accent1 39 2 4" xfId="7644" xr:uid="{00000000-0005-0000-0000-00009D020000}"/>
    <cellStyle name="20% - Accent1 39 2 4 2" xfId="18932" xr:uid="{00000000-0005-0000-0000-00009E020000}"/>
    <cellStyle name="20% - Accent1 39 2 5" xfId="5650" xr:uid="{00000000-0005-0000-0000-00009F020000}"/>
    <cellStyle name="20% - Accent1 39 2 5 2" xfId="16938" xr:uid="{00000000-0005-0000-0000-0000A0020000}"/>
    <cellStyle name="20% - Accent1 39 2 6" xfId="14944" xr:uid="{00000000-0005-0000-0000-0000A1020000}"/>
    <cellStyle name="20% - Accent1 39 3" xfId="10635" xr:uid="{00000000-0005-0000-0000-0000A2020000}"/>
    <cellStyle name="20% - Accent1 39 3 2" xfId="21923" xr:uid="{00000000-0005-0000-0000-0000A3020000}"/>
    <cellStyle name="20% - Accent1 39 4" xfId="8641" xr:uid="{00000000-0005-0000-0000-0000A4020000}"/>
    <cellStyle name="20% - Accent1 39 4 2" xfId="19929" xr:uid="{00000000-0005-0000-0000-0000A5020000}"/>
    <cellStyle name="20% - Accent1 39 5" xfId="6647" xr:uid="{00000000-0005-0000-0000-0000A6020000}"/>
    <cellStyle name="20% - Accent1 39 5 2" xfId="17935" xr:uid="{00000000-0005-0000-0000-0000A7020000}"/>
    <cellStyle name="20% - Accent1 39 6" xfId="4653" xr:uid="{00000000-0005-0000-0000-0000A8020000}"/>
    <cellStyle name="20% - Accent1 39 6 2" xfId="15941" xr:uid="{00000000-0005-0000-0000-0000A9020000}"/>
    <cellStyle name="20% - Accent1 39 7" xfId="13947" xr:uid="{00000000-0005-0000-0000-0000AA020000}"/>
    <cellStyle name="20% - Accent1 39 8" xfId="12633" xr:uid="{00000000-0005-0000-0000-0000AB020000}"/>
    <cellStyle name="20% - Accent1 4" xfId="698" xr:uid="{00000000-0005-0000-0000-0000AC020000}"/>
    <cellStyle name="20% - Accent1 4 10" xfId="24561" xr:uid="{00000000-0005-0000-0000-0000AD020000}"/>
    <cellStyle name="20% - Accent1 4 11" xfId="24951" xr:uid="{00000000-0005-0000-0000-0000AE020000}"/>
    <cellStyle name="20% - Accent1 4 2" xfId="3654" xr:uid="{00000000-0005-0000-0000-0000AF020000}"/>
    <cellStyle name="20% - Accent1 4 2 2" xfId="11633" xr:uid="{00000000-0005-0000-0000-0000B0020000}"/>
    <cellStyle name="20% - Accent1 4 2 2 2" xfId="22921" xr:uid="{00000000-0005-0000-0000-0000B1020000}"/>
    <cellStyle name="20% - Accent1 4 2 3" xfId="9639" xr:uid="{00000000-0005-0000-0000-0000B2020000}"/>
    <cellStyle name="20% - Accent1 4 2 3 2" xfId="20927" xr:uid="{00000000-0005-0000-0000-0000B3020000}"/>
    <cellStyle name="20% - Accent1 4 2 4" xfId="7645" xr:uid="{00000000-0005-0000-0000-0000B4020000}"/>
    <cellStyle name="20% - Accent1 4 2 4 2" xfId="18933" xr:uid="{00000000-0005-0000-0000-0000B5020000}"/>
    <cellStyle name="20% - Accent1 4 2 5" xfId="5651" xr:uid="{00000000-0005-0000-0000-0000B6020000}"/>
    <cellStyle name="20% - Accent1 4 2 5 2" xfId="16939" xr:uid="{00000000-0005-0000-0000-0000B7020000}"/>
    <cellStyle name="20% - Accent1 4 2 6" xfId="14945" xr:uid="{00000000-0005-0000-0000-0000B8020000}"/>
    <cellStyle name="20% - Accent1 4 2 7" xfId="24322" xr:uid="{00000000-0005-0000-0000-0000B9020000}"/>
    <cellStyle name="20% - Accent1 4 2 8" xfId="24786" xr:uid="{00000000-0005-0000-0000-0000BA020000}"/>
    <cellStyle name="20% - Accent1 4 2 9" xfId="25153" xr:uid="{00000000-0005-0000-0000-0000BB020000}"/>
    <cellStyle name="20% - Accent1 4 3" xfId="10636" xr:uid="{00000000-0005-0000-0000-0000BC020000}"/>
    <cellStyle name="20% - Accent1 4 3 2" xfId="21924" xr:uid="{00000000-0005-0000-0000-0000BD020000}"/>
    <cellStyle name="20% - Accent1 4 4" xfId="8642" xr:uid="{00000000-0005-0000-0000-0000BE020000}"/>
    <cellStyle name="20% - Accent1 4 4 2" xfId="19930" xr:uid="{00000000-0005-0000-0000-0000BF020000}"/>
    <cellStyle name="20% - Accent1 4 5" xfId="6648" xr:uid="{00000000-0005-0000-0000-0000C0020000}"/>
    <cellStyle name="20% - Accent1 4 5 2" xfId="17936" xr:uid="{00000000-0005-0000-0000-0000C1020000}"/>
    <cellStyle name="20% - Accent1 4 6" xfId="4654" xr:uid="{00000000-0005-0000-0000-0000C2020000}"/>
    <cellStyle name="20% - Accent1 4 6 2" xfId="15942" xr:uid="{00000000-0005-0000-0000-0000C3020000}"/>
    <cellStyle name="20% - Accent1 4 7" xfId="13948" xr:uid="{00000000-0005-0000-0000-0000C4020000}"/>
    <cellStyle name="20% - Accent1 4 8" xfId="12634" xr:uid="{00000000-0005-0000-0000-0000C5020000}"/>
    <cellStyle name="20% - Accent1 4 9" xfId="23934" xr:uid="{00000000-0005-0000-0000-0000C6020000}"/>
    <cellStyle name="20% - Accent1 40" xfId="699" xr:uid="{00000000-0005-0000-0000-0000C7020000}"/>
    <cellStyle name="20% - Accent1 40 2" xfId="3655" xr:uid="{00000000-0005-0000-0000-0000C8020000}"/>
    <cellStyle name="20% - Accent1 40 2 2" xfId="11634" xr:uid="{00000000-0005-0000-0000-0000C9020000}"/>
    <cellStyle name="20% - Accent1 40 2 2 2" xfId="22922" xr:uid="{00000000-0005-0000-0000-0000CA020000}"/>
    <cellStyle name="20% - Accent1 40 2 3" xfId="9640" xr:uid="{00000000-0005-0000-0000-0000CB020000}"/>
    <cellStyle name="20% - Accent1 40 2 3 2" xfId="20928" xr:uid="{00000000-0005-0000-0000-0000CC020000}"/>
    <cellStyle name="20% - Accent1 40 2 4" xfId="7646" xr:uid="{00000000-0005-0000-0000-0000CD020000}"/>
    <cellStyle name="20% - Accent1 40 2 4 2" xfId="18934" xr:uid="{00000000-0005-0000-0000-0000CE020000}"/>
    <cellStyle name="20% - Accent1 40 2 5" xfId="5652" xr:uid="{00000000-0005-0000-0000-0000CF020000}"/>
    <cellStyle name="20% - Accent1 40 2 5 2" xfId="16940" xr:uid="{00000000-0005-0000-0000-0000D0020000}"/>
    <cellStyle name="20% - Accent1 40 2 6" xfId="14946" xr:uid="{00000000-0005-0000-0000-0000D1020000}"/>
    <cellStyle name="20% - Accent1 40 3" xfId="10637" xr:uid="{00000000-0005-0000-0000-0000D2020000}"/>
    <cellStyle name="20% - Accent1 40 3 2" xfId="21925" xr:uid="{00000000-0005-0000-0000-0000D3020000}"/>
    <cellStyle name="20% - Accent1 40 4" xfId="8643" xr:uid="{00000000-0005-0000-0000-0000D4020000}"/>
    <cellStyle name="20% - Accent1 40 4 2" xfId="19931" xr:uid="{00000000-0005-0000-0000-0000D5020000}"/>
    <cellStyle name="20% - Accent1 40 5" xfId="6649" xr:uid="{00000000-0005-0000-0000-0000D6020000}"/>
    <cellStyle name="20% - Accent1 40 5 2" xfId="17937" xr:uid="{00000000-0005-0000-0000-0000D7020000}"/>
    <cellStyle name="20% - Accent1 40 6" xfId="4655" xr:uid="{00000000-0005-0000-0000-0000D8020000}"/>
    <cellStyle name="20% - Accent1 40 6 2" xfId="15943" xr:uid="{00000000-0005-0000-0000-0000D9020000}"/>
    <cellStyle name="20% - Accent1 40 7" xfId="13949" xr:uid="{00000000-0005-0000-0000-0000DA020000}"/>
    <cellStyle name="20% - Accent1 40 8" xfId="12635" xr:uid="{00000000-0005-0000-0000-0000DB020000}"/>
    <cellStyle name="20% - Accent1 41" xfId="700" xr:uid="{00000000-0005-0000-0000-0000DC020000}"/>
    <cellStyle name="20% - Accent1 41 2" xfId="3656" xr:uid="{00000000-0005-0000-0000-0000DD020000}"/>
    <cellStyle name="20% - Accent1 41 2 2" xfId="11635" xr:uid="{00000000-0005-0000-0000-0000DE020000}"/>
    <cellStyle name="20% - Accent1 41 2 2 2" xfId="22923" xr:uid="{00000000-0005-0000-0000-0000DF020000}"/>
    <cellStyle name="20% - Accent1 41 2 3" xfId="9641" xr:uid="{00000000-0005-0000-0000-0000E0020000}"/>
    <cellStyle name="20% - Accent1 41 2 3 2" xfId="20929" xr:uid="{00000000-0005-0000-0000-0000E1020000}"/>
    <cellStyle name="20% - Accent1 41 2 4" xfId="7647" xr:uid="{00000000-0005-0000-0000-0000E2020000}"/>
    <cellStyle name="20% - Accent1 41 2 4 2" xfId="18935" xr:uid="{00000000-0005-0000-0000-0000E3020000}"/>
    <cellStyle name="20% - Accent1 41 2 5" xfId="5653" xr:uid="{00000000-0005-0000-0000-0000E4020000}"/>
    <cellStyle name="20% - Accent1 41 2 5 2" xfId="16941" xr:uid="{00000000-0005-0000-0000-0000E5020000}"/>
    <cellStyle name="20% - Accent1 41 2 6" xfId="14947" xr:uid="{00000000-0005-0000-0000-0000E6020000}"/>
    <cellStyle name="20% - Accent1 41 3" xfId="10638" xr:uid="{00000000-0005-0000-0000-0000E7020000}"/>
    <cellStyle name="20% - Accent1 41 3 2" xfId="21926" xr:uid="{00000000-0005-0000-0000-0000E8020000}"/>
    <cellStyle name="20% - Accent1 41 4" xfId="8644" xr:uid="{00000000-0005-0000-0000-0000E9020000}"/>
    <cellStyle name="20% - Accent1 41 4 2" xfId="19932" xr:uid="{00000000-0005-0000-0000-0000EA020000}"/>
    <cellStyle name="20% - Accent1 41 5" xfId="6650" xr:uid="{00000000-0005-0000-0000-0000EB020000}"/>
    <cellStyle name="20% - Accent1 41 5 2" xfId="17938" xr:uid="{00000000-0005-0000-0000-0000EC020000}"/>
    <cellStyle name="20% - Accent1 41 6" xfId="4656" xr:uid="{00000000-0005-0000-0000-0000ED020000}"/>
    <cellStyle name="20% - Accent1 41 6 2" xfId="15944" xr:uid="{00000000-0005-0000-0000-0000EE020000}"/>
    <cellStyle name="20% - Accent1 41 7" xfId="13950" xr:uid="{00000000-0005-0000-0000-0000EF020000}"/>
    <cellStyle name="20% - Accent1 41 8" xfId="12636" xr:uid="{00000000-0005-0000-0000-0000F0020000}"/>
    <cellStyle name="20% - Accent1 42" xfId="701" xr:uid="{00000000-0005-0000-0000-0000F1020000}"/>
    <cellStyle name="20% - Accent1 42 2" xfId="3657" xr:uid="{00000000-0005-0000-0000-0000F2020000}"/>
    <cellStyle name="20% - Accent1 42 2 2" xfId="11636" xr:uid="{00000000-0005-0000-0000-0000F3020000}"/>
    <cellStyle name="20% - Accent1 42 2 2 2" xfId="22924" xr:uid="{00000000-0005-0000-0000-0000F4020000}"/>
    <cellStyle name="20% - Accent1 42 2 3" xfId="9642" xr:uid="{00000000-0005-0000-0000-0000F5020000}"/>
    <cellStyle name="20% - Accent1 42 2 3 2" xfId="20930" xr:uid="{00000000-0005-0000-0000-0000F6020000}"/>
    <cellStyle name="20% - Accent1 42 2 4" xfId="7648" xr:uid="{00000000-0005-0000-0000-0000F7020000}"/>
    <cellStyle name="20% - Accent1 42 2 4 2" xfId="18936" xr:uid="{00000000-0005-0000-0000-0000F8020000}"/>
    <cellStyle name="20% - Accent1 42 2 5" xfId="5654" xr:uid="{00000000-0005-0000-0000-0000F9020000}"/>
    <cellStyle name="20% - Accent1 42 2 5 2" xfId="16942" xr:uid="{00000000-0005-0000-0000-0000FA020000}"/>
    <cellStyle name="20% - Accent1 42 2 6" xfId="14948" xr:uid="{00000000-0005-0000-0000-0000FB020000}"/>
    <cellStyle name="20% - Accent1 42 3" xfId="10639" xr:uid="{00000000-0005-0000-0000-0000FC020000}"/>
    <cellStyle name="20% - Accent1 42 3 2" xfId="21927" xr:uid="{00000000-0005-0000-0000-0000FD020000}"/>
    <cellStyle name="20% - Accent1 42 4" xfId="8645" xr:uid="{00000000-0005-0000-0000-0000FE020000}"/>
    <cellStyle name="20% - Accent1 42 4 2" xfId="19933" xr:uid="{00000000-0005-0000-0000-0000FF020000}"/>
    <cellStyle name="20% - Accent1 42 5" xfId="6651" xr:uid="{00000000-0005-0000-0000-000000030000}"/>
    <cellStyle name="20% - Accent1 42 5 2" xfId="17939" xr:uid="{00000000-0005-0000-0000-000001030000}"/>
    <cellStyle name="20% - Accent1 42 6" xfId="4657" xr:uid="{00000000-0005-0000-0000-000002030000}"/>
    <cellStyle name="20% - Accent1 42 6 2" xfId="15945" xr:uid="{00000000-0005-0000-0000-000003030000}"/>
    <cellStyle name="20% - Accent1 42 7" xfId="13951" xr:uid="{00000000-0005-0000-0000-000004030000}"/>
    <cellStyle name="20% - Accent1 42 8" xfId="12637" xr:uid="{00000000-0005-0000-0000-000005030000}"/>
    <cellStyle name="20% - Accent1 43" xfId="702" xr:uid="{00000000-0005-0000-0000-000006030000}"/>
    <cellStyle name="20% - Accent1 43 2" xfId="3658" xr:uid="{00000000-0005-0000-0000-000007030000}"/>
    <cellStyle name="20% - Accent1 43 2 2" xfId="11637" xr:uid="{00000000-0005-0000-0000-000008030000}"/>
    <cellStyle name="20% - Accent1 43 2 2 2" xfId="22925" xr:uid="{00000000-0005-0000-0000-000009030000}"/>
    <cellStyle name="20% - Accent1 43 2 3" xfId="9643" xr:uid="{00000000-0005-0000-0000-00000A030000}"/>
    <cellStyle name="20% - Accent1 43 2 3 2" xfId="20931" xr:uid="{00000000-0005-0000-0000-00000B030000}"/>
    <cellStyle name="20% - Accent1 43 2 4" xfId="7649" xr:uid="{00000000-0005-0000-0000-00000C030000}"/>
    <cellStyle name="20% - Accent1 43 2 4 2" xfId="18937" xr:uid="{00000000-0005-0000-0000-00000D030000}"/>
    <cellStyle name="20% - Accent1 43 2 5" xfId="5655" xr:uid="{00000000-0005-0000-0000-00000E030000}"/>
    <cellStyle name="20% - Accent1 43 2 5 2" xfId="16943" xr:uid="{00000000-0005-0000-0000-00000F030000}"/>
    <cellStyle name="20% - Accent1 43 2 6" xfId="14949" xr:uid="{00000000-0005-0000-0000-000010030000}"/>
    <cellStyle name="20% - Accent1 43 3" xfId="10640" xr:uid="{00000000-0005-0000-0000-000011030000}"/>
    <cellStyle name="20% - Accent1 43 3 2" xfId="21928" xr:uid="{00000000-0005-0000-0000-000012030000}"/>
    <cellStyle name="20% - Accent1 43 4" xfId="8646" xr:uid="{00000000-0005-0000-0000-000013030000}"/>
    <cellStyle name="20% - Accent1 43 4 2" xfId="19934" xr:uid="{00000000-0005-0000-0000-000014030000}"/>
    <cellStyle name="20% - Accent1 43 5" xfId="6652" xr:uid="{00000000-0005-0000-0000-000015030000}"/>
    <cellStyle name="20% - Accent1 43 5 2" xfId="17940" xr:uid="{00000000-0005-0000-0000-000016030000}"/>
    <cellStyle name="20% - Accent1 43 6" xfId="4658" xr:uid="{00000000-0005-0000-0000-000017030000}"/>
    <cellStyle name="20% - Accent1 43 6 2" xfId="15946" xr:uid="{00000000-0005-0000-0000-000018030000}"/>
    <cellStyle name="20% - Accent1 43 7" xfId="13952" xr:uid="{00000000-0005-0000-0000-000019030000}"/>
    <cellStyle name="20% - Accent1 43 8" xfId="12638" xr:uid="{00000000-0005-0000-0000-00001A030000}"/>
    <cellStyle name="20% - Accent1 44" xfId="703" xr:uid="{00000000-0005-0000-0000-00001B030000}"/>
    <cellStyle name="20% - Accent1 44 2" xfId="3659" xr:uid="{00000000-0005-0000-0000-00001C030000}"/>
    <cellStyle name="20% - Accent1 44 2 2" xfId="11638" xr:uid="{00000000-0005-0000-0000-00001D030000}"/>
    <cellStyle name="20% - Accent1 44 2 2 2" xfId="22926" xr:uid="{00000000-0005-0000-0000-00001E030000}"/>
    <cellStyle name="20% - Accent1 44 2 3" xfId="9644" xr:uid="{00000000-0005-0000-0000-00001F030000}"/>
    <cellStyle name="20% - Accent1 44 2 3 2" xfId="20932" xr:uid="{00000000-0005-0000-0000-000020030000}"/>
    <cellStyle name="20% - Accent1 44 2 4" xfId="7650" xr:uid="{00000000-0005-0000-0000-000021030000}"/>
    <cellStyle name="20% - Accent1 44 2 4 2" xfId="18938" xr:uid="{00000000-0005-0000-0000-000022030000}"/>
    <cellStyle name="20% - Accent1 44 2 5" xfId="5656" xr:uid="{00000000-0005-0000-0000-000023030000}"/>
    <cellStyle name="20% - Accent1 44 2 5 2" xfId="16944" xr:uid="{00000000-0005-0000-0000-000024030000}"/>
    <cellStyle name="20% - Accent1 44 2 6" xfId="14950" xr:uid="{00000000-0005-0000-0000-000025030000}"/>
    <cellStyle name="20% - Accent1 44 3" xfId="10641" xr:uid="{00000000-0005-0000-0000-000026030000}"/>
    <cellStyle name="20% - Accent1 44 3 2" xfId="21929" xr:uid="{00000000-0005-0000-0000-000027030000}"/>
    <cellStyle name="20% - Accent1 44 4" xfId="8647" xr:uid="{00000000-0005-0000-0000-000028030000}"/>
    <cellStyle name="20% - Accent1 44 4 2" xfId="19935" xr:uid="{00000000-0005-0000-0000-000029030000}"/>
    <cellStyle name="20% - Accent1 44 5" xfId="6653" xr:uid="{00000000-0005-0000-0000-00002A030000}"/>
    <cellStyle name="20% - Accent1 44 5 2" xfId="17941" xr:uid="{00000000-0005-0000-0000-00002B030000}"/>
    <cellStyle name="20% - Accent1 44 6" xfId="4659" xr:uid="{00000000-0005-0000-0000-00002C030000}"/>
    <cellStyle name="20% - Accent1 44 6 2" xfId="15947" xr:uid="{00000000-0005-0000-0000-00002D030000}"/>
    <cellStyle name="20% - Accent1 44 7" xfId="13953" xr:uid="{00000000-0005-0000-0000-00002E030000}"/>
    <cellStyle name="20% - Accent1 44 8" xfId="12639" xr:uid="{00000000-0005-0000-0000-00002F030000}"/>
    <cellStyle name="20% - Accent1 45" xfId="704" xr:uid="{00000000-0005-0000-0000-000030030000}"/>
    <cellStyle name="20% - Accent1 45 2" xfId="3660" xr:uid="{00000000-0005-0000-0000-000031030000}"/>
    <cellStyle name="20% - Accent1 45 2 2" xfId="11639" xr:uid="{00000000-0005-0000-0000-000032030000}"/>
    <cellStyle name="20% - Accent1 45 2 2 2" xfId="22927" xr:uid="{00000000-0005-0000-0000-000033030000}"/>
    <cellStyle name="20% - Accent1 45 2 3" xfId="9645" xr:uid="{00000000-0005-0000-0000-000034030000}"/>
    <cellStyle name="20% - Accent1 45 2 3 2" xfId="20933" xr:uid="{00000000-0005-0000-0000-000035030000}"/>
    <cellStyle name="20% - Accent1 45 2 4" xfId="7651" xr:uid="{00000000-0005-0000-0000-000036030000}"/>
    <cellStyle name="20% - Accent1 45 2 4 2" xfId="18939" xr:uid="{00000000-0005-0000-0000-000037030000}"/>
    <cellStyle name="20% - Accent1 45 2 5" xfId="5657" xr:uid="{00000000-0005-0000-0000-000038030000}"/>
    <cellStyle name="20% - Accent1 45 2 5 2" xfId="16945" xr:uid="{00000000-0005-0000-0000-000039030000}"/>
    <cellStyle name="20% - Accent1 45 2 6" xfId="14951" xr:uid="{00000000-0005-0000-0000-00003A030000}"/>
    <cellStyle name="20% - Accent1 45 3" xfId="10642" xr:uid="{00000000-0005-0000-0000-00003B030000}"/>
    <cellStyle name="20% - Accent1 45 3 2" xfId="21930" xr:uid="{00000000-0005-0000-0000-00003C030000}"/>
    <cellStyle name="20% - Accent1 45 4" xfId="8648" xr:uid="{00000000-0005-0000-0000-00003D030000}"/>
    <cellStyle name="20% - Accent1 45 4 2" xfId="19936" xr:uid="{00000000-0005-0000-0000-00003E030000}"/>
    <cellStyle name="20% - Accent1 45 5" xfId="6654" xr:uid="{00000000-0005-0000-0000-00003F030000}"/>
    <cellStyle name="20% - Accent1 45 5 2" xfId="17942" xr:uid="{00000000-0005-0000-0000-000040030000}"/>
    <cellStyle name="20% - Accent1 45 6" xfId="4660" xr:uid="{00000000-0005-0000-0000-000041030000}"/>
    <cellStyle name="20% - Accent1 45 6 2" xfId="15948" xr:uid="{00000000-0005-0000-0000-000042030000}"/>
    <cellStyle name="20% - Accent1 45 7" xfId="13954" xr:uid="{00000000-0005-0000-0000-000043030000}"/>
    <cellStyle name="20% - Accent1 45 8" xfId="12640" xr:uid="{00000000-0005-0000-0000-000044030000}"/>
    <cellStyle name="20% - Accent1 46" xfId="705" xr:uid="{00000000-0005-0000-0000-000045030000}"/>
    <cellStyle name="20% - Accent1 46 2" xfId="3661" xr:uid="{00000000-0005-0000-0000-000046030000}"/>
    <cellStyle name="20% - Accent1 46 2 2" xfId="11640" xr:uid="{00000000-0005-0000-0000-000047030000}"/>
    <cellStyle name="20% - Accent1 46 2 2 2" xfId="22928" xr:uid="{00000000-0005-0000-0000-000048030000}"/>
    <cellStyle name="20% - Accent1 46 2 3" xfId="9646" xr:uid="{00000000-0005-0000-0000-000049030000}"/>
    <cellStyle name="20% - Accent1 46 2 3 2" xfId="20934" xr:uid="{00000000-0005-0000-0000-00004A030000}"/>
    <cellStyle name="20% - Accent1 46 2 4" xfId="7652" xr:uid="{00000000-0005-0000-0000-00004B030000}"/>
    <cellStyle name="20% - Accent1 46 2 4 2" xfId="18940" xr:uid="{00000000-0005-0000-0000-00004C030000}"/>
    <cellStyle name="20% - Accent1 46 2 5" xfId="5658" xr:uid="{00000000-0005-0000-0000-00004D030000}"/>
    <cellStyle name="20% - Accent1 46 2 5 2" xfId="16946" xr:uid="{00000000-0005-0000-0000-00004E030000}"/>
    <cellStyle name="20% - Accent1 46 2 6" xfId="14952" xr:uid="{00000000-0005-0000-0000-00004F030000}"/>
    <cellStyle name="20% - Accent1 46 3" xfId="10643" xr:uid="{00000000-0005-0000-0000-000050030000}"/>
    <cellStyle name="20% - Accent1 46 3 2" xfId="21931" xr:uid="{00000000-0005-0000-0000-000051030000}"/>
    <cellStyle name="20% - Accent1 46 4" xfId="8649" xr:uid="{00000000-0005-0000-0000-000052030000}"/>
    <cellStyle name="20% - Accent1 46 4 2" xfId="19937" xr:uid="{00000000-0005-0000-0000-000053030000}"/>
    <cellStyle name="20% - Accent1 46 5" xfId="6655" xr:uid="{00000000-0005-0000-0000-000054030000}"/>
    <cellStyle name="20% - Accent1 46 5 2" xfId="17943" xr:uid="{00000000-0005-0000-0000-000055030000}"/>
    <cellStyle name="20% - Accent1 46 6" xfId="4661" xr:uid="{00000000-0005-0000-0000-000056030000}"/>
    <cellStyle name="20% - Accent1 46 6 2" xfId="15949" xr:uid="{00000000-0005-0000-0000-000057030000}"/>
    <cellStyle name="20% - Accent1 46 7" xfId="13955" xr:uid="{00000000-0005-0000-0000-000058030000}"/>
    <cellStyle name="20% - Accent1 46 8" xfId="12641" xr:uid="{00000000-0005-0000-0000-000059030000}"/>
    <cellStyle name="20% - Accent1 47" xfId="706" xr:uid="{00000000-0005-0000-0000-00005A030000}"/>
    <cellStyle name="20% - Accent1 47 2" xfId="3662" xr:uid="{00000000-0005-0000-0000-00005B030000}"/>
    <cellStyle name="20% - Accent1 47 2 2" xfId="11641" xr:uid="{00000000-0005-0000-0000-00005C030000}"/>
    <cellStyle name="20% - Accent1 47 2 2 2" xfId="22929" xr:uid="{00000000-0005-0000-0000-00005D030000}"/>
    <cellStyle name="20% - Accent1 47 2 3" xfId="9647" xr:uid="{00000000-0005-0000-0000-00005E030000}"/>
    <cellStyle name="20% - Accent1 47 2 3 2" xfId="20935" xr:uid="{00000000-0005-0000-0000-00005F030000}"/>
    <cellStyle name="20% - Accent1 47 2 4" xfId="7653" xr:uid="{00000000-0005-0000-0000-000060030000}"/>
    <cellStyle name="20% - Accent1 47 2 4 2" xfId="18941" xr:uid="{00000000-0005-0000-0000-000061030000}"/>
    <cellStyle name="20% - Accent1 47 2 5" xfId="5659" xr:uid="{00000000-0005-0000-0000-000062030000}"/>
    <cellStyle name="20% - Accent1 47 2 5 2" xfId="16947" xr:uid="{00000000-0005-0000-0000-000063030000}"/>
    <cellStyle name="20% - Accent1 47 2 6" xfId="14953" xr:uid="{00000000-0005-0000-0000-000064030000}"/>
    <cellStyle name="20% - Accent1 47 3" xfId="10644" xr:uid="{00000000-0005-0000-0000-000065030000}"/>
    <cellStyle name="20% - Accent1 47 3 2" xfId="21932" xr:uid="{00000000-0005-0000-0000-000066030000}"/>
    <cellStyle name="20% - Accent1 47 4" xfId="8650" xr:uid="{00000000-0005-0000-0000-000067030000}"/>
    <cellStyle name="20% - Accent1 47 4 2" xfId="19938" xr:uid="{00000000-0005-0000-0000-000068030000}"/>
    <cellStyle name="20% - Accent1 47 5" xfId="6656" xr:uid="{00000000-0005-0000-0000-000069030000}"/>
    <cellStyle name="20% - Accent1 47 5 2" xfId="17944" xr:uid="{00000000-0005-0000-0000-00006A030000}"/>
    <cellStyle name="20% - Accent1 47 6" xfId="4662" xr:uid="{00000000-0005-0000-0000-00006B030000}"/>
    <cellStyle name="20% - Accent1 47 6 2" xfId="15950" xr:uid="{00000000-0005-0000-0000-00006C030000}"/>
    <cellStyle name="20% - Accent1 47 7" xfId="13956" xr:uid="{00000000-0005-0000-0000-00006D030000}"/>
    <cellStyle name="20% - Accent1 47 8" xfId="12642" xr:uid="{00000000-0005-0000-0000-00006E030000}"/>
    <cellStyle name="20% - Accent1 48" xfId="707" xr:uid="{00000000-0005-0000-0000-00006F030000}"/>
    <cellStyle name="20% - Accent1 48 2" xfId="3663" xr:uid="{00000000-0005-0000-0000-000070030000}"/>
    <cellStyle name="20% - Accent1 48 2 2" xfId="11642" xr:uid="{00000000-0005-0000-0000-000071030000}"/>
    <cellStyle name="20% - Accent1 48 2 2 2" xfId="22930" xr:uid="{00000000-0005-0000-0000-000072030000}"/>
    <cellStyle name="20% - Accent1 48 2 3" xfId="9648" xr:uid="{00000000-0005-0000-0000-000073030000}"/>
    <cellStyle name="20% - Accent1 48 2 3 2" xfId="20936" xr:uid="{00000000-0005-0000-0000-000074030000}"/>
    <cellStyle name="20% - Accent1 48 2 4" xfId="7654" xr:uid="{00000000-0005-0000-0000-000075030000}"/>
    <cellStyle name="20% - Accent1 48 2 4 2" xfId="18942" xr:uid="{00000000-0005-0000-0000-000076030000}"/>
    <cellStyle name="20% - Accent1 48 2 5" xfId="5660" xr:uid="{00000000-0005-0000-0000-000077030000}"/>
    <cellStyle name="20% - Accent1 48 2 5 2" xfId="16948" xr:uid="{00000000-0005-0000-0000-000078030000}"/>
    <cellStyle name="20% - Accent1 48 2 6" xfId="14954" xr:uid="{00000000-0005-0000-0000-000079030000}"/>
    <cellStyle name="20% - Accent1 48 3" xfId="10645" xr:uid="{00000000-0005-0000-0000-00007A030000}"/>
    <cellStyle name="20% - Accent1 48 3 2" xfId="21933" xr:uid="{00000000-0005-0000-0000-00007B030000}"/>
    <cellStyle name="20% - Accent1 48 4" xfId="8651" xr:uid="{00000000-0005-0000-0000-00007C030000}"/>
    <cellStyle name="20% - Accent1 48 4 2" xfId="19939" xr:uid="{00000000-0005-0000-0000-00007D030000}"/>
    <cellStyle name="20% - Accent1 48 5" xfId="6657" xr:uid="{00000000-0005-0000-0000-00007E030000}"/>
    <cellStyle name="20% - Accent1 48 5 2" xfId="17945" xr:uid="{00000000-0005-0000-0000-00007F030000}"/>
    <cellStyle name="20% - Accent1 48 6" xfId="4663" xr:uid="{00000000-0005-0000-0000-000080030000}"/>
    <cellStyle name="20% - Accent1 48 6 2" xfId="15951" xr:uid="{00000000-0005-0000-0000-000081030000}"/>
    <cellStyle name="20% - Accent1 48 7" xfId="13957" xr:uid="{00000000-0005-0000-0000-000082030000}"/>
    <cellStyle name="20% - Accent1 48 8" xfId="12643" xr:uid="{00000000-0005-0000-0000-000083030000}"/>
    <cellStyle name="20% - Accent1 49" xfId="708" xr:uid="{00000000-0005-0000-0000-000084030000}"/>
    <cellStyle name="20% - Accent1 49 2" xfId="3664" xr:uid="{00000000-0005-0000-0000-000085030000}"/>
    <cellStyle name="20% - Accent1 49 2 2" xfId="11643" xr:uid="{00000000-0005-0000-0000-000086030000}"/>
    <cellStyle name="20% - Accent1 49 2 2 2" xfId="22931" xr:uid="{00000000-0005-0000-0000-000087030000}"/>
    <cellStyle name="20% - Accent1 49 2 3" xfId="9649" xr:uid="{00000000-0005-0000-0000-000088030000}"/>
    <cellStyle name="20% - Accent1 49 2 3 2" xfId="20937" xr:uid="{00000000-0005-0000-0000-000089030000}"/>
    <cellStyle name="20% - Accent1 49 2 4" xfId="7655" xr:uid="{00000000-0005-0000-0000-00008A030000}"/>
    <cellStyle name="20% - Accent1 49 2 4 2" xfId="18943" xr:uid="{00000000-0005-0000-0000-00008B030000}"/>
    <cellStyle name="20% - Accent1 49 2 5" xfId="5661" xr:uid="{00000000-0005-0000-0000-00008C030000}"/>
    <cellStyle name="20% - Accent1 49 2 5 2" xfId="16949" xr:uid="{00000000-0005-0000-0000-00008D030000}"/>
    <cellStyle name="20% - Accent1 49 2 6" xfId="14955" xr:uid="{00000000-0005-0000-0000-00008E030000}"/>
    <cellStyle name="20% - Accent1 49 3" xfId="10646" xr:uid="{00000000-0005-0000-0000-00008F030000}"/>
    <cellStyle name="20% - Accent1 49 3 2" xfId="21934" xr:uid="{00000000-0005-0000-0000-000090030000}"/>
    <cellStyle name="20% - Accent1 49 4" xfId="8652" xr:uid="{00000000-0005-0000-0000-000091030000}"/>
    <cellStyle name="20% - Accent1 49 4 2" xfId="19940" xr:uid="{00000000-0005-0000-0000-000092030000}"/>
    <cellStyle name="20% - Accent1 49 5" xfId="6658" xr:uid="{00000000-0005-0000-0000-000093030000}"/>
    <cellStyle name="20% - Accent1 49 5 2" xfId="17946" xr:uid="{00000000-0005-0000-0000-000094030000}"/>
    <cellStyle name="20% - Accent1 49 6" xfId="4664" xr:uid="{00000000-0005-0000-0000-000095030000}"/>
    <cellStyle name="20% - Accent1 49 6 2" xfId="15952" xr:uid="{00000000-0005-0000-0000-000096030000}"/>
    <cellStyle name="20% - Accent1 49 7" xfId="13958" xr:uid="{00000000-0005-0000-0000-000097030000}"/>
    <cellStyle name="20% - Accent1 49 8" xfId="12644" xr:uid="{00000000-0005-0000-0000-000098030000}"/>
    <cellStyle name="20% - Accent1 5" xfId="709" xr:uid="{00000000-0005-0000-0000-000099030000}"/>
    <cellStyle name="20% - Accent1 5 10" xfId="24562" xr:uid="{00000000-0005-0000-0000-00009A030000}"/>
    <cellStyle name="20% - Accent1 5 11" xfId="24952" xr:uid="{00000000-0005-0000-0000-00009B030000}"/>
    <cellStyle name="20% - Accent1 5 2" xfId="3665" xr:uid="{00000000-0005-0000-0000-00009C030000}"/>
    <cellStyle name="20% - Accent1 5 2 2" xfId="11644" xr:uid="{00000000-0005-0000-0000-00009D030000}"/>
    <cellStyle name="20% - Accent1 5 2 2 2" xfId="22932" xr:uid="{00000000-0005-0000-0000-00009E030000}"/>
    <cellStyle name="20% - Accent1 5 2 3" xfId="9650" xr:uid="{00000000-0005-0000-0000-00009F030000}"/>
    <cellStyle name="20% - Accent1 5 2 3 2" xfId="20938" xr:uid="{00000000-0005-0000-0000-0000A0030000}"/>
    <cellStyle name="20% - Accent1 5 2 4" xfId="7656" xr:uid="{00000000-0005-0000-0000-0000A1030000}"/>
    <cellStyle name="20% - Accent1 5 2 4 2" xfId="18944" xr:uid="{00000000-0005-0000-0000-0000A2030000}"/>
    <cellStyle name="20% - Accent1 5 2 5" xfId="5662" xr:uid="{00000000-0005-0000-0000-0000A3030000}"/>
    <cellStyle name="20% - Accent1 5 2 5 2" xfId="16950" xr:uid="{00000000-0005-0000-0000-0000A4030000}"/>
    <cellStyle name="20% - Accent1 5 2 6" xfId="14956" xr:uid="{00000000-0005-0000-0000-0000A5030000}"/>
    <cellStyle name="20% - Accent1 5 2 7" xfId="24323" xr:uid="{00000000-0005-0000-0000-0000A6030000}"/>
    <cellStyle name="20% - Accent1 5 2 8" xfId="24787" xr:uid="{00000000-0005-0000-0000-0000A7030000}"/>
    <cellStyle name="20% - Accent1 5 2 9" xfId="25154" xr:uid="{00000000-0005-0000-0000-0000A8030000}"/>
    <cellStyle name="20% - Accent1 5 3" xfId="10647" xr:uid="{00000000-0005-0000-0000-0000A9030000}"/>
    <cellStyle name="20% - Accent1 5 3 2" xfId="21935" xr:uid="{00000000-0005-0000-0000-0000AA030000}"/>
    <cellStyle name="20% - Accent1 5 4" xfId="8653" xr:uid="{00000000-0005-0000-0000-0000AB030000}"/>
    <cellStyle name="20% - Accent1 5 4 2" xfId="19941" xr:uid="{00000000-0005-0000-0000-0000AC030000}"/>
    <cellStyle name="20% - Accent1 5 5" xfId="6659" xr:uid="{00000000-0005-0000-0000-0000AD030000}"/>
    <cellStyle name="20% - Accent1 5 5 2" xfId="17947" xr:uid="{00000000-0005-0000-0000-0000AE030000}"/>
    <cellStyle name="20% - Accent1 5 6" xfId="4665" xr:uid="{00000000-0005-0000-0000-0000AF030000}"/>
    <cellStyle name="20% - Accent1 5 6 2" xfId="15953" xr:uid="{00000000-0005-0000-0000-0000B0030000}"/>
    <cellStyle name="20% - Accent1 5 7" xfId="13959" xr:uid="{00000000-0005-0000-0000-0000B1030000}"/>
    <cellStyle name="20% - Accent1 5 8" xfId="12645" xr:uid="{00000000-0005-0000-0000-0000B2030000}"/>
    <cellStyle name="20% - Accent1 5 9" xfId="23935" xr:uid="{00000000-0005-0000-0000-0000B3030000}"/>
    <cellStyle name="20% - Accent1 50" xfId="710" xr:uid="{00000000-0005-0000-0000-0000B4030000}"/>
    <cellStyle name="20% - Accent1 50 2" xfId="3666" xr:uid="{00000000-0005-0000-0000-0000B5030000}"/>
    <cellStyle name="20% - Accent1 50 2 2" xfId="11645" xr:uid="{00000000-0005-0000-0000-0000B6030000}"/>
    <cellStyle name="20% - Accent1 50 2 2 2" xfId="22933" xr:uid="{00000000-0005-0000-0000-0000B7030000}"/>
    <cellStyle name="20% - Accent1 50 2 3" xfId="9651" xr:uid="{00000000-0005-0000-0000-0000B8030000}"/>
    <cellStyle name="20% - Accent1 50 2 3 2" xfId="20939" xr:uid="{00000000-0005-0000-0000-0000B9030000}"/>
    <cellStyle name="20% - Accent1 50 2 4" xfId="7657" xr:uid="{00000000-0005-0000-0000-0000BA030000}"/>
    <cellStyle name="20% - Accent1 50 2 4 2" xfId="18945" xr:uid="{00000000-0005-0000-0000-0000BB030000}"/>
    <cellStyle name="20% - Accent1 50 2 5" xfId="5663" xr:uid="{00000000-0005-0000-0000-0000BC030000}"/>
    <cellStyle name="20% - Accent1 50 2 5 2" xfId="16951" xr:uid="{00000000-0005-0000-0000-0000BD030000}"/>
    <cellStyle name="20% - Accent1 50 2 6" xfId="14957" xr:uid="{00000000-0005-0000-0000-0000BE030000}"/>
    <cellStyle name="20% - Accent1 50 3" xfId="10648" xr:uid="{00000000-0005-0000-0000-0000BF030000}"/>
    <cellStyle name="20% - Accent1 50 3 2" xfId="21936" xr:uid="{00000000-0005-0000-0000-0000C0030000}"/>
    <cellStyle name="20% - Accent1 50 4" xfId="8654" xr:uid="{00000000-0005-0000-0000-0000C1030000}"/>
    <cellStyle name="20% - Accent1 50 4 2" xfId="19942" xr:uid="{00000000-0005-0000-0000-0000C2030000}"/>
    <cellStyle name="20% - Accent1 50 5" xfId="6660" xr:uid="{00000000-0005-0000-0000-0000C3030000}"/>
    <cellStyle name="20% - Accent1 50 5 2" xfId="17948" xr:uid="{00000000-0005-0000-0000-0000C4030000}"/>
    <cellStyle name="20% - Accent1 50 6" xfId="4666" xr:uid="{00000000-0005-0000-0000-0000C5030000}"/>
    <cellStyle name="20% - Accent1 50 6 2" xfId="15954" xr:uid="{00000000-0005-0000-0000-0000C6030000}"/>
    <cellStyle name="20% - Accent1 50 7" xfId="13960" xr:uid="{00000000-0005-0000-0000-0000C7030000}"/>
    <cellStyle name="20% - Accent1 50 8" xfId="12646" xr:uid="{00000000-0005-0000-0000-0000C8030000}"/>
    <cellStyle name="20% - Accent1 51" xfId="711" xr:uid="{00000000-0005-0000-0000-0000C9030000}"/>
    <cellStyle name="20% - Accent1 51 2" xfId="3667" xr:uid="{00000000-0005-0000-0000-0000CA030000}"/>
    <cellStyle name="20% - Accent1 51 2 2" xfId="11646" xr:uid="{00000000-0005-0000-0000-0000CB030000}"/>
    <cellStyle name="20% - Accent1 51 2 2 2" xfId="22934" xr:uid="{00000000-0005-0000-0000-0000CC030000}"/>
    <cellStyle name="20% - Accent1 51 2 3" xfId="9652" xr:uid="{00000000-0005-0000-0000-0000CD030000}"/>
    <cellStyle name="20% - Accent1 51 2 3 2" xfId="20940" xr:uid="{00000000-0005-0000-0000-0000CE030000}"/>
    <cellStyle name="20% - Accent1 51 2 4" xfId="7658" xr:uid="{00000000-0005-0000-0000-0000CF030000}"/>
    <cellStyle name="20% - Accent1 51 2 4 2" xfId="18946" xr:uid="{00000000-0005-0000-0000-0000D0030000}"/>
    <cellStyle name="20% - Accent1 51 2 5" xfId="5664" xr:uid="{00000000-0005-0000-0000-0000D1030000}"/>
    <cellStyle name="20% - Accent1 51 2 5 2" xfId="16952" xr:uid="{00000000-0005-0000-0000-0000D2030000}"/>
    <cellStyle name="20% - Accent1 51 2 6" xfId="14958" xr:uid="{00000000-0005-0000-0000-0000D3030000}"/>
    <cellStyle name="20% - Accent1 51 3" xfId="10649" xr:uid="{00000000-0005-0000-0000-0000D4030000}"/>
    <cellStyle name="20% - Accent1 51 3 2" xfId="21937" xr:uid="{00000000-0005-0000-0000-0000D5030000}"/>
    <cellStyle name="20% - Accent1 51 4" xfId="8655" xr:uid="{00000000-0005-0000-0000-0000D6030000}"/>
    <cellStyle name="20% - Accent1 51 4 2" xfId="19943" xr:uid="{00000000-0005-0000-0000-0000D7030000}"/>
    <cellStyle name="20% - Accent1 51 5" xfId="6661" xr:uid="{00000000-0005-0000-0000-0000D8030000}"/>
    <cellStyle name="20% - Accent1 51 5 2" xfId="17949" xr:uid="{00000000-0005-0000-0000-0000D9030000}"/>
    <cellStyle name="20% - Accent1 51 6" xfId="4667" xr:uid="{00000000-0005-0000-0000-0000DA030000}"/>
    <cellStyle name="20% - Accent1 51 6 2" xfId="15955" xr:uid="{00000000-0005-0000-0000-0000DB030000}"/>
    <cellStyle name="20% - Accent1 51 7" xfId="13961" xr:uid="{00000000-0005-0000-0000-0000DC030000}"/>
    <cellStyle name="20% - Accent1 51 8" xfId="12647" xr:uid="{00000000-0005-0000-0000-0000DD030000}"/>
    <cellStyle name="20% - Accent1 52" xfId="712" xr:uid="{00000000-0005-0000-0000-0000DE030000}"/>
    <cellStyle name="20% - Accent1 52 2" xfId="3668" xr:uid="{00000000-0005-0000-0000-0000DF030000}"/>
    <cellStyle name="20% - Accent1 52 2 2" xfId="11647" xr:uid="{00000000-0005-0000-0000-0000E0030000}"/>
    <cellStyle name="20% - Accent1 52 2 2 2" xfId="22935" xr:uid="{00000000-0005-0000-0000-0000E1030000}"/>
    <cellStyle name="20% - Accent1 52 2 3" xfId="9653" xr:uid="{00000000-0005-0000-0000-0000E2030000}"/>
    <cellStyle name="20% - Accent1 52 2 3 2" xfId="20941" xr:uid="{00000000-0005-0000-0000-0000E3030000}"/>
    <cellStyle name="20% - Accent1 52 2 4" xfId="7659" xr:uid="{00000000-0005-0000-0000-0000E4030000}"/>
    <cellStyle name="20% - Accent1 52 2 4 2" xfId="18947" xr:uid="{00000000-0005-0000-0000-0000E5030000}"/>
    <cellStyle name="20% - Accent1 52 2 5" xfId="5665" xr:uid="{00000000-0005-0000-0000-0000E6030000}"/>
    <cellStyle name="20% - Accent1 52 2 5 2" xfId="16953" xr:uid="{00000000-0005-0000-0000-0000E7030000}"/>
    <cellStyle name="20% - Accent1 52 2 6" xfId="14959" xr:uid="{00000000-0005-0000-0000-0000E8030000}"/>
    <cellStyle name="20% - Accent1 52 3" xfId="10650" xr:uid="{00000000-0005-0000-0000-0000E9030000}"/>
    <cellStyle name="20% - Accent1 52 3 2" xfId="21938" xr:uid="{00000000-0005-0000-0000-0000EA030000}"/>
    <cellStyle name="20% - Accent1 52 4" xfId="8656" xr:uid="{00000000-0005-0000-0000-0000EB030000}"/>
    <cellStyle name="20% - Accent1 52 4 2" xfId="19944" xr:uid="{00000000-0005-0000-0000-0000EC030000}"/>
    <cellStyle name="20% - Accent1 52 5" xfId="6662" xr:uid="{00000000-0005-0000-0000-0000ED030000}"/>
    <cellStyle name="20% - Accent1 52 5 2" xfId="17950" xr:uid="{00000000-0005-0000-0000-0000EE030000}"/>
    <cellStyle name="20% - Accent1 52 6" xfId="4668" xr:uid="{00000000-0005-0000-0000-0000EF030000}"/>
    <cellStyle name="20% - Accent1 52 6 2" xfId="15956" xr:uid="{00000000-0005-0000-0000-0000F0030000}"/>
    <cellStyle name="20% - Accent1 52 7" xfId="13962" xr:uid="{00000000-0005-0000-0000-0000F1030000}"/>
    <cellStyle name="20% - Accent1 52 8" xfId="12648" xr:uid="{00000000-0005-0000-0000-0000F2030000}"/>
    <cellStyle name="20% - Accent1 53" xfId="713" xr:uid="{00000000-0005-0000-0000-0000F3030000}"/>
    <cellStyle name="20% - Accent1 53 2" xfId="3669" xr:uid="{00000000-0005-0000-0000-0000F4030000}"/>
    <cellStyle name="20% - Accent1 53 2 2" xfId="11648" xr:uid="{00000000-0005-0000-0000-0000F5030000}"/>
    <cellStyle name="20% - Accent1 53 2 2 2" xfId="22936" xr:uid="{00000000-0005-0000-0000-0000F6030000}"/>
    <cellStyle name="20% - Accent1 53 2 3" xfId="9654" xr:uid="{00000000-0005-0000-0000-0000F7030000}"/>
    <cellStyle name="20% - Accent1 53 2 3 2" xfId="20942" xr:uid="{00000000-0005-0000-0000-0000F8030000}"/>
    <cellStyle name="20% - Accent1 53 2 4" xfId="7660" xr:uid="{00000000-0005-0000-0000-0000F9030000}"/>
    <cellStyle name="20% - Accent1 53 2 4 2" xfId="18948" xr:uid="{00000000-0005-0000-0000-0000FA030000}"/>
    <cellStyle name="20% - Accent1 53 2 5" xfId="5666" xr:uid="{00000000-0005-0000-0000-0000FB030000}"/>
    <cellStyle name="20% - Accent1 53 2 5 2" xfId="16954" xr:uid="{00000000-0005-0000-0000-0000FC030000}"/>
    <cellStyle name="20% - Accent1 53 2 6" xfId="14960" xr:uid="{00000000-0005-0000-0000-0000FD030000}"/>
    <cellStyle name="20% - Accent1 53 3" xfId="10651" xr:uid="{00000000-0005-0000-0000-0000FE030000}"/>
    <cellStyle name="20% - Accent1 53 3 2" xfId="21939" xr:uid="{00000000-0005-0000-0000-0000FF030000}"/>
    <cellStyle name="20% - Accent1 53 4" xfId="8657" xr:uid="{00000000-0005-0000-0000-000000040000}"/>
    <cellStyle name="20% - Accent1 53 4 2" xfId="19945" xr:uid="{00000000-0005-0000-0000-000001040000}"/>
    <cellStyle name="20% - Accent1 53 5" xfId="6663" xr:uid="{00000000-0005-0000-0000-000002040000}"/>
    <cellStyle name="20% - Accent1 53 5 2" xfId="17951" xr:uid="{00000000-0005-0000-0000-000003040000}"/>
    <cellStyle name="20% - Accent1 53 6" xfId="4669" xr:uid="{00000000-0005-0000-0000-000004040000}"/>
    <cellStyle name="20% - Accent1 53 6 2" xfId="15957" xr:uid="{00000000-0005-0000-0000-000005040000}"/>
    <cellStyle name="20% - Accent1 53 7" xfId="13963" xr:uid="{00000000-0005-0000-0000-000006040000}"/>
    <cellStyle name="20% - Accent1 53 8" xfId="12649" xr:uid="{00000000-0005-0000-0000-000007040000}"/>
    <cellStyle name="20% - Accent1 54" xfId="714" xr:uid="{00000000-0005-0000-0000-000008040000}"/>
    <cellStyle name="20% - Accent1 54 2" xfId="3670" xr:uid="{00000000-0005-0000-0000-000009040000}"/>
    <cellStyle name="20% - Accent1 54 2 2" xfId="11649" xr:uid="{00000000-0005-0000-0000-00000A040000}"/>
    <cellStyle name="20% - Accent1 54 2 2 2" xfId="22937" xr:uid="{00000000-0005-0000-0000-00000B040000}"/>
    <cellStyle name="20% - Accent1 54 2 3" xfId="9655" xr:uid="{00000000-0005-0000-0000-00000C040000}"/>
    <cellStyle name="20% - Accent1 54 2 3 2" xfId="20943" xr:uid="{00000000-0005-0000-0000-00000D040000}"/>
    <cellStyle name="20% - Accent1 54 2 4" xfId="7661" xr:uid="{00000000-0005-0000-0000-00000E040000}"/>
    <cellStyle name="20% - Accent1 54 2 4 2" xfId="18949" xr:uid="{00000000-0005-0000-0000-00000F040000}"/>
    <cellStyle name="20% - Accent1 54 2 5" xfId="5667" xr:uid="{00000000-0005-0000-0000-000010040000}"/>
    <cellStyle name="20% - Accent1 54 2 5 2" xfId="16955" xr:uid="{00000000-0005-0000-0000-000011040000}"/>
    <cellStyle name="20% - Accent1 54 2 6" xfId="14961" xr:uid="{00000000-0005-0000-0000-000012040000}"/>
    <cellStyle name="20% - Accent1 54 3" xfId="10652" xr:uid="{00000000-0005-0000-0000-000013040000}"/>
    <cellStyle name="20% - Accent1 54 3 2" xfId="21940" xr:uid="{00000000-0005-0000-0000-000014040000}"/>
    <cellStyle name="20% - Accent1 54 4" xfId="8658" xr:uid="{00000000-0005-0000-0000-000015040000}"/>
    <cellStyle name="20% - Accent1 54 4 2" xfId="19946" xr:uid="{00000000-0005-0000-0000-000016040000}"/>
    <cellStyle name="20% - Accent1 54 5" xfId="6664" xr:uid="{00000000-0005-0000-0000-000017040000}"/>
    <cellStyle name="20% - Accent1 54 5 2" xfId="17952" xr:uid="{00000000-0005-0000-0000-000018040000}"/>
    <cellStyle name="20% - Accent1 54 6" xfId="4670" xr:uid="{00000000-0005-0000-0000-000019040000}"/>
    <cellStyle name="20% - Accent1 54 6 2" xfId="15958" xr:uid="{00000000-0005-0000-0000-00001A040000}"/>
    <cellStyle name="20% - Accent1 54 7" xfId="13964" xr:uid="{00000000-0005-0000-0000-00001B040000}"/>
    <cellStyle name="20% - Accent1 54 8" xfId="12650" xr:uid="{00000000-0005-0000-0000-00001C040000}"/>
    <cellStyle name="20% - Accent1 55" xfId="715" xr:uid="{00000000-0005-0000-0000-00001D040000}"/>
    <cellStyle name="20% - Accent1 55 2" xfId="3671" xr:uid="{00000000-0005-0000-0000-00001E040000}"/>
    <cellStyle name="20% - Accent1 55 2 2" xfId="11650" xr:uid="{00000000-0005-0000-0000-00001F040000}"/>
    <cellStyle name="20% - Accent1 55 2 2 2" xfId="22938" xr:uid="{00000000-0005-0000-0000-000020040000}"/>
    <cellStyle name="20% - Accent1 55 2 3" xfId="9656" xr:uid="{00000000-0005-0000-0000-000021040000}"/>
    <cellStyle name="20% - Accent1 55 2 3 2" xfId="20944" xr:uid="{00000000-0005-0000-0000-000022040000}"/>
    <cellStyle name="20% - Accent1 55 2 4" xfId="7662" xr:uid="{00000000-0005-0000-0000-000023040000}"/>
    <cellStyle name="20% - Accent1 55 2 4 2" xfId="18950" xr:uid="{00000000-0005-0000-0000-000024040000}"/>
    <cellStyle name="20% - Accent1 55 2 5" xfId="5668" xr:uid="{00000000-0005-0000-0000-000025040000}"/>
    <cellStyle name="20% - Accent1 55 2 5 2" xfId="16956" xr:uid="{00000000-0005-0000-0000-000026040000}"/>
    <cellStyle name="20% - Accent1 55 2 6" xfId="14962" xr:uid="{00000000-0005-0000-0000-000027040000}"/>
    <cellStyle name="20% - Accent1 55 3" xfId="10653" xr:uid="{00000000-0005-0000-0000-000028040000}"/>
    <cellStyle name="20% - Accent1 55 3 2" xfId="21941" xr:uid="{00000000-0005-0000-0000-000029040000}"/>
    <cellStyle name="20% - Accent1 55 4" xfId="8659" xr:uid="{00000000-0005-0000-0000-00002A040000}"/>
    <cellStyle name="20% - Accent1 55 4 2" xfId="19947" xr:uid="{00000000-0005-0000-0000-00002B040000}"/>
    <cellStyle name="20% - Accent1 55 5" xfId="6665" xr:uid="{00000000-0005-0000-0000-00002C040000}"/>
    <cellStyle name="20% - Accent1 55 5 2" xfId="17953" xr:uid="{00000000-0005-0000-0000-00002D040000}"/>
    <cellStyle name="20% - Accent1 55 6" xfId="4671" xr:uid="{00000000-0005-0000-0000-00002E040000}"/>
    <cellStyle name="20% - Accent1 55 6 2" xfId="15959" xr:uid="{00000000-0005-0000-0000-00002F040000}"/>
    <cellStyle name="20% - Accent1 55 7" xfId="13965" xr:uid="{00000000-0005-0000-0000-000030040000}"/>
    <cellStyle name="20% - Accent1 55 8" xfId="12651" xr:uid="{00000000-0005-0000-0000-000031040000}"/>
    <cellStyle name="20% - Accent1 56" xfId="716" xr:uid="{00000000-0005-0000-0000-000032040000}"/>
    <cellStyle name="20% - Accent1 56 2" xfId="3672" xr:uid="{00000000-0005-0000-0000-000033040000}"/>
    <cellStyle name="20% - Accent1 56 2 2" xfId="11651" xr:uid="{00000000-0005-0000-0000-000034040000}"/>
    <cellStyle name="20% - Accent1 56 2 2 2" xfId="22939" xr:uid="{00000000-0005-0000-0000-000035040000}"/>
    <cellStyle name="20% - Accent1 56 2 3" xfId="9657" xr:uid="{00000000-0005-0000-0000-000036040000}"/>
    <cellStyle name="20% - Accent1 56 2 3 2" xfId="20945" xr:uid="{00000000-0005-0000-0000-000037040000}"/>
    <cellStyle name="20% - Accent1 56 2 4" xfId="7663" xr:uid="{00000000-0005-0000-0000-000038040000}"/>
    <cellStyle name="20% - Accent1 56 2 4 2" xfId="18951" xr:uid="{00000000-0005-0000-0000-000039040000}"/>
    <cellStyle name="20% - Accent1 56 2 5" xfId="5669" xr:uid="{00000000-0005-0000-0000-00003A040000}"/>
    <cellStyle name="20% - Accent1 56 2 5 2" xfId="16957" xr:uid="{00000000-0005-0000-0000-00003B040000}"/>
    <cellStyle name="20% - Accent1 56 2 6" xfId="14963" xr:uid="{00000000-0005-0000-0000-00003C040000}"/>
    <cellStyle name="20% - Accent1 56 3" xfId="10654" xr:uid="{00000000-0005-0000-0000-00003D040000}"/>
    <cellStyle name="20% - Accent1 56 3 2" xfId="21942" xr:uid="{00000000-0005-0000-0000-00003E040000}"/>
    <cellStyle name="20% - Accent1 56 4" xfId="8660" xr:uid="{00000000-0005-0000-0000-00003F040000}"/>
    <cellStyle name="20% - Accent1 56 4 2" xfId="19948" xr:uid="{00000000-0005-0000-0000-000040040000}"/>
    <cellStyle name="20% - Accent1 56 5" xfId="6666" xr:uid="{00000000-0005-0000-0000-000041040000}"/>
    <cellStyle name="20% - Accent1 56 5 2" xfId="17954" xr:uid="{00000000-0005-0000-0000-000042040000}"/>
    <cellStyle name="20% - Accent1 56 6" xfId="4672" xr:uid="{00000000-0005-0000-0000-000043040000}"/>
    <cellStyle name="20% - Accent1 56 6 2" xfId="15960" xr:uid="{00000000-0005-0000-0000-000044040000}"/>
    <cellStyle name="20% - Accent1 56 7" xfId="13966" xr:uid="{00000000-0005-0000-0000-000045040000}"/>
    <cellStyle name="20% - Accent1 56 8" xfId="12652" xr:uid="{00000000-0005-0000-0000-000046040000}"/>
    <cellStyle name="20% - Accent1 57" xfId="717" xr:uid="{00000000-0005-0000-0000-000047040000}"/>
    <cellStyle name="20% - Accent1 57 2" xfId="3673" xr:uid="{00000000-0005-0000-0000-000048040000}"/>
    <cellStyle name="20% - Accent1 57 2 2" xfId="11652" xr:uid="{00000000-0005-0000-0000-000049040000}"/>
    <cellStyle name="20% - Accent1 57 2 2 2" xfId="22940" xr:uid="{00000000-0005-0000-0000-00004A040000}"/>
    <cellStyle name="20% - Accent1 57 2 3" xfId="9658" xr:uid="{00000000-0005-0000-0000-00004B040000}"/>
    <cellStyle name="20% - Accent1 57 2 3 2" xfId="20946" xr:uid="{00000000-0005-0000-0000-00004C040000}"/>
    <cellStyle name="20% - Accent1 57 2 4" xfId="7664" xr:uid="{00000000-0005-0000-0000-00004D040000}"/>
    <cellStyle name="20% - Accent1 57 2 4 2" xfId="18952" xr:uid="{00000000-0005-0000-0000-00004E040000}"/>
    <cellStyle name="20% - Accent1 57 2 5" xfId="5670" xr:uid="{00000000-0005-0000-0000-00004F040000}"/>
    <cellStyle name="20% - Accent1 57 2 5 2" xfId="16958" xr:uid="{00000000-0005-0000-0000-000050040000}"/>
    <cellStyle name="20% - Accent1 57 2 6" xfId="14964" xr:uid="{00000000-0005-0000-0000-000051040000}"/>
    <cellStyle name="20% - Accent1 57 3" xfId="10655" xr:uid="{00000000-0005-0000-0000-000052040000}"/>
    <cellStyle name="20% - Accent1 57 3 2" xfId="21943" xr:uid="{00000000-0005-0000-0000-000053040000}"/>
    <cellStyle name="20% - Accent1 57 4" xfId="8661" xr:uid="{00000000-0005-0000-0000-000054040000}"/>
    <cellStyle name="20% - Accent1 57 4 2" xfId="19949" xr:uid="{00000000-0005-0000-0000-000055040000}"/>
    <cellStyle name="20% - Accent1 57 5" xfId="6667" xr:uid="{00000000-0005-0000-0000-000056040000}"/>
    <cellStyle name="20% - Accent1 57 5 2" xfId="17955" xr:uid="{00000000-0005-0000-0000-000057040000}"/>
    <cellStyle name="20% - Accent1 57 6" xfId="4673" xr:uid="{00000000-0005-0000-0000-000058040000}"/>
    <cellStyle name="20% - Accent1 57 6 2" xfId="15961" xr:uid="{00000000-0005-0000-0000-000059040000}"/>
    <cellStyle name="20% - Accent1 57 7" xfId="13967" xr:uid="{00000000-0005-0000-0000-00005A040000}"/>
    <cellStyle name="20% - Accent1 57 8" xfId="12653" xr:uid="{00000000-0005-0000-0000-00005B040000}"/>
    <cellStyle name="20% - Accent1 58" xfId="718" xr:uid="{00000000-0005-0000-0000-00005C040000}"/>
    <cellStyle name="20% - Accent1 58 2" xfId="3674" xr:uid="{00000000-0005-0000-0000-00005D040000}"/>
    <cellStyle name="20% - Accent1 58 2 2" xfId="11653" xr:uid="{00000000-0005-0000-0000-00005E040000}"/>
    <cellStyle name="20% - Accent1 58 2 2 2" xfId="22941" xr:uid="{00000000-0005-0000-0000-00005F040000}"/>
    <cellStyle name="20% - Accent1 58 2 3" xfId="9659" xr:uid="{00000000-0005-0000-0000-000060040000}"/>
    <cellStyle name="20% - Accent1 58 2 3 2" xfId="20947" xr:uid="{00000000-0005-0000-0000-000061040000}"/>
    <cellStyle name="20% - Accent1 58 2 4" xfId="7665" xr:uid="{00000000-0005-0000-0000-000062040000}"/>
    <cellStyle name="20% - Accent1 58 2 4 2" xfId="18953" xr:uid="{00000000-0005-0000-0000-000063040000}"/>
    <cellStyle name="20% - Accent1 58 2 5" xfId="5671" xr:uid="{00000000-0005-0000-0000-000064040000}"/>
    <cellStyle name="20% - Accent1 58 2 5 2" xfId="16959" xr:uid="{00000000-0005-0000-0000-000065040000}"/>
    <cellStyle name="20% - Accent1 58 2 6" xfId="14965" xr:uid="{00000000-0005-0000-0000-000066040000}"/>
    <cellStyle name="20% - Accent1 58 3" xfId="10656" xr:uid="{00000000-0005-0000-0000-000067040000}"/>
    <cellStyle name="20% - Accent1 58 3 2" xfId="21944" xr:uid="{00000000-0005-0000-0000-000068040000}"/>
    <cellStyle name="20% - Accent1 58 4" xfId="8662" xr:uid="{00000000-0005-0000-0000-000069040000}"/>
    <cellStyle name="20% - Accent1 58 4 2" xfId="19950" xr:uid="{00000000-0005-0000-0000-00006A040000}"/>
    <cellStyle name="20% - Accent1 58 5" xfId="6668" xr:uid="{00000000-0005-0000-0000-00006B040000}"/>
    <cellStyle name="20% - Accent1 58 5 2" xfId="17956" xr:uid="{00000000-0005-0000-0000-00006C040000}"/>
    <cellStyle name="20% - Accent1 58 6" xfId="4674" xr:uid="{00000000-0005-0000-0000-00006D040000}"/>
    <cellStyle name="20% - Accent1 58 6 2" xfId="15962" xr:uid="{00000000-0005-0000-0000-00006E040000}"/>
    <cellStyle name="20% - Accent1 58 7" xfId="13968" xr:uid="{00000000-0005-0000-0000-00006F040000}"/>
    <cellStyle name="20% - Accent1 58 8" xfId="12654" xr:uid="{00000000-0005-0000-0000-000070040000}"/>
    <cellStyle name="20% - Accent1 59" xfId="719" xr:uid="{00000000-0005-0000-0000-000071040000}"/>
    <cellStyle name="20% - Accent1 59 2" xfId="3675" xr:uid="{00000000-0005-0000-0000-000072040000}"/>
    <cellStyle name="20% - Accent1 59 2 2" xfId="11654" xr:uid="{00000000-0005-0000-0000-000073040000}"/>
    <cellStyle name="20% - Accent1 59 2 2 2" xfId="22942" xr:uid="{00000000-0005-0000-0000-000074040000}"/>
    <cellStyle name="20% - Accent1 59 2 3" xfId="9660" xr:uid="{00000000-0005-0000-0000-000075040000}"/>
    <cellStyle name="20% - Accent1 59 2 3 2" xfId="20948" xr:uid="{00000000-0005-0000-0000-000076040000}"/>
    <cellStyle name="20% - Accent1 59 2 4" xfId="7666" xr:uid="{00000000-0005-0000-0000-000077040000}"/>
    <cellStyle name="20% - Accent1 59 2 4 2" xfId="18954" xr:uid="{00000000-0005-0000-0000-000078040000}"/>
    <cellStyle name="20% - Accent1 59 2 5" xfId="5672" xr:uid="{00000000-0005-0000-0000-000079040000}"/>
    <cellStyle name="20% - Accent1 59 2 5 2" xfId="16960" xr:uid="{00000000-0005-0000-0000-00007A040000}"/>
    <cellStyle name="20% - Accent1 59 2 6" xfId="14966" xr:uid="{00000000-0005-0000-0000-00007B040000}"/>
    <cellStyle name="20% - Accent1 59 3" xfId="10657" xr:uid="{00000000-0005-0000-0000-00007C040000}"/>
    <cellStyle name="20% - Accent1 59 3 2" xfId="21945" xr:uid="{00000000-0005-0000-0000-00007D040000}"/>
    <cellStyle name="20% - Accent1 59 4" xfId="8663" xr:uid="{00000000-0005-0000-0000-00007E040000}"/>
    <cellStyle name="20% - Accent1 59 4 2" xfId="19951" xr:uid="{00000000-0005-0000-0000-00007F040000}"/>
    <cellStyle name="20% - Accent1 59 5" xfId="6669" xr:uid="{00000000-0005-0000-0000-000080040000}"/>
    <cellStyle name="20% - Accent1 59 5 2" xfId="17957" xr:uid="{00000000-0005-0000-0000-000081040000}"/>
    <cellStyle name="20% - Accent1 59 6" xfId="4675" xr:uid="{00000000-0005-0000-0000-000082040000}"/>
    <cellStyle name="20% - Accent1 59 6 2" xfId="15963" xr:uid="{00000000-0005-0000-0000-000083040000}"/>
    <cellStyle name="20% - Accent1 59 7" xfId="13969" xr:uid="{00000000-0005-0000-0000-000084040000}"/>
    <cellStyle name="20% - Accent1 59 8" xfId="12655" xr:uid="{00000000-0005-0000-0000-000085040000}"/>
    <cellStyle name="20% - Accent1 6" xfId="720" xr:uid="{00000000-0005-0000-0000-000086040000}"/>
    <cellStyle name="20% - Accent1 6 10" xfId="24563" xr:uid="{00000000-0005-0000-0000-000087040000}"/>
    <cellStyle name="20% - Accent1 6 11" xfId="24953" xr:uid="{00000000-0005-0000-0000-000088040000}"/>
    <cellStyle name="20% - Accent1 6 2" xfId="3676" xr:uid="{00000000-0005-0000-0000-000089040000}"/>
    <cellStyle name="20% - Accent1 6 2 2" xfId="11655" xr:uid="{00000000-0005-0000-0000-00008A040000}"/>
    <cellStyle name="20% - Accent1 6 2 2 2" xfId="22943" xr:uid="{00000000-0005-0000-0000-00008B040000}"/>
    <cellStyle name="20% - Accent1 6 2 3" xfId="9661" xr:uid="{00000000-0005-0000-0000-00008C040000}"/>
    <cellStyle name="20% - Accent1 6 2 3 2" xfId="20949" xr:uid="{00000000-0005-0000-0000-00008D040000}"/>
    <cellStyle name="20% - Accent1 6 2 4" xfId="7667" xr:uid="{00000000-0005-0000-0000-00008E040000}"/>
    <cellStyle name="20% - Accent1 6 2 4 2" xfId="18955" xr:uid="{00000000-0005-0000-0000-00008F040000}"/>
    <cellStyle name="20% - Accent1 6 2 5" xfId="5673" xr:uid="{00000000-0005-0000-0000-000090040000}"/>
    <cellStyle name="20% - Accent1 6 2 5 2" xfId="16961" xr:uid="{00000000-0005-0000-0000-000091040000}"/>
    <cellStyle name="20% - Accent1 6 2 6" xfId="14967" xr:uid="{00000000-0005-0000-0000-000092040000}"/>
    <cellStyle name="20% - Accent1 6 2 7" xfId="24324" xr:uid="{00000000-0005-0000-0000-000093040000}"/>
    <cellStyle name="20% - Accent1 6 2 8" xfId="24788" xr:uid="{00000000-0005-0000-0000-000094040000}"/>
    <cellStyle name="20% - Accent1 6 2 9" xfId="25155" xr:uid="{00000000-0005-0000-0000-000095040000}"/>
    <cellStyle name="20% - Accent1 6 3" xfId="10658" xr:uid="{00000000-0005-0000-0000-000096040000}"/>
    <cellStyle name="20% - Accent1 6 3 2" xfId="21946" xr:uid="{00000000-0005-0000-0000-000097040000}"/>
    <cellStyle name="20% - Accent1 6 4" xfId="8664" xr:uid="{00000000-0005-0000-0000-000098040000}"/>
    <cellStyle name="20% - Accent1 6 4 2" xfId="19952" xr:uid="{00000000-0005-0000-0000-000099040000}"/>
    <cellStyle name="20% - Accent1 6 5" xfId="6670" xr:uid="{00000000-0005-0000-0000-00009A040000}"/>
    <cellStyle name="20% - Accent1 6 5 2" xfId="17958" xr:uid="{00000000-0005-0000-0000-00009B040000}"/>
    <cellStyle name="20% - Accent1 6 6" xfId="4676" xr:uid="{00000000-0005-0000-0000-00009C040000}"/>
    <cellStyle name="20% - Accent1 6 6 2" xfId="15964" xr:uid="{00000000-0005-0000-0000-00009D040000}"/>
    <cellStyle name="20% - Accent1 6 7" xfId="13970" xr:uid="{00000000-0005-0000-0000-00009E040000}"/>
    <cellStyle name="20% - Accent1 6 8" xfId="12656" xr:uid="{00000000-0005-0000-0000-00009F040000}"/>
    <cellStyle name="20% - Accent1 6 9" xfId="23936" xr:uid="{00000000-0005-0000-0000-0000A0040000}"/>
    <cellStyle name="20% - Accent1 60" xfId="721" xr:uid="{00000000-0005-0000-0000-0000A1040000}"/>
    <cellStyle name="20% - Accent1 60 2" xfId="3677" xr:uid="{00000000-0005-0000-0000-0000A2040000}"/>
    <cellStyle name="20% - Accent1 60 2 2" xfId="11656" xr:uid="{00000000-0005-0000-0000-0000A3040000}"/>
    <cellStyle name="20% - Accent1 60 2 2 2" xfId="22944" xr:uid="{00000000-0005-0000-0000-0000A4040000}"/>
    <cellStyle name="20% - Accent1 60 2 3" xfId="9662" xr:uid="{00000000-0005-0000-0000-0000A5040000}"/>
    <cellStyle name="20% - Accent1 60 2 3 2" xfId="20950" xr:uid="{00000000-0005-0000-0000-0000A6040000}"/>
    <cellStyle name="20% - Accent1 60 2 4" xfId="7668" xr:uid="{00000000-0005-0000-0000-0000A7040000}"/>
    <cellStyle name="20% - Accent1 60 2 4 2" xfId="18956" xr:uid="{00000000-0005-0000-0000-0000A8040000}"/>
    <cellStyle name="20% - Accent1 60 2 5" xfId="5674" xr:uid="{00000000-0005-0000-0000-0000A9040000}"/>
    <cellStyle name="20% - Accent1 60 2 5 2" xfId="16962" xr:uid="{00000000-0005-0000-0000-0000AA040000}"/>
    <cellStyle name="20% - Accent1 60 2 6" xfId="14968" xr:uid="{00000000-0005-0000-0000-0000AB040000}"/>
    <cellStyle name="20% - Accent1 60 3" xfId="10659" xr:uid="{00000000-0005-0000-0000-0000AC040000}"/>
    <cellStyle name="20% - Accent1 60 3 2" xfId="21947" xr:uid="{00000000-0005-0000-0000-0000AD040000}"/>
    <cellStyle name="20% - Accent1 60 4" xfId="8665" xr:uid="{00000000-0005-0000-0000-0000AE040000}"/>
    <cellStyle name="20% - Accent1 60 4 2" xfId="19953" xr:uid="{00000000-0005-0000-0000-0000AF040000}"/>
    <cellStyle name="20% - Accent1 60 5" xfId="6671" xr:uid="{00000000-0005-0000-0000-0000B0040000}"/>
    <cellStyle name="20% - Accent1 60 5 2" xfId="17959" xr:uid="{00000000-0005-0000-0000-0000B1040000}"/>
    <cellStyle name="20% - Accent1 60 6" xfId="4677" xr:uid="{00000000-0005-0000-0000-0000B2040000}"/>
    <cellStyle name="20% - Accent1 60 6 2" xfId="15965" xr:uid="{00000000-0005-0000-0000-0000B3040000}"/>
    <cellStyle name="20% - Accent1 60 7" xfId="13971" xr:uid="{00000000-0005-0000-0000-0000B4040000}"/>
    <cellStyle name="20% - Accent1 60 8" xfId="12657" xr:uid="{00000000-0005-0000-0000-0000B5040000}"/>
    <cellStyle name="20% - Accent1 61" xfId="722" xr:uid="{00000000-0005-0000-0000-0000B6040000}"/>
    <cellStyle name="20% - Accent1 61 2" xfId="3678" xr:uid="{00000000-0005-0000-0000-0000B7040000}"/>
    <cellStyle name="20% - Accent1 61 2 2" xfId="11657" xr:uid="{00000000-0005-0000-0000-0000B8040000}"/>
    <cellStyle name="20% - Accent1 61 2 2 2" xfId="22945" xr:uid="{00000000-0005-0000-0000-0000B9040000}"/>
    <cellStyle name="20% - Accent1 61 2 3" xfId="9663" xr:uid="{00000000-0005-0000-0000-0000BA040000}"/>
    <cellStyle name="20% - Accent1 61 2 3 2" xfId="20951" xr:uid="{00000000-0005-0000-0000-0000BB040000}"/>
    <cellStyle name="20% - Accent1 61 2 4" xfId="7669" xr:uid="{00000000-0005-0000-0000-0000BC040000}"/>
    <cellStyle name="20% - Accent1 61 2 4 2" xfId="18957" xr:uid="{00000000-0005-0000-0000-0000BD040000}"/>
    <cellStyle name="20% - Accent1 61 2 5" xfId="5675" xr:uid="{00000000-0005-0000-0000-0000BE040000}"/>
    <cellStyle name="20% - Accent1 61 2 5 2" xfId="16963" xr:uid="{00000000-0005-0000-0000-0000BF040000}"/>
    <cellStyle name="20% - Accent1 61 2 6" xfId="14969" xr:uid="{00000000-0005-0000-0000-0000C0040000}"/>
    <cellStyle name="20% - Accent1 61 3" xfId="10660" xr:uid="{00000000-0005-0000-0000-0000C1040000}"/>
    <cellStyle name="20% - Accent1 61 3 2" xfId="21948" xr:uid="{00000000-0005-0000-0000-0000C2040000}"/>
    <cellStyle name="20% - Accent1 61 4" xfId="8666" xr:uid="{00000000-0005-0000-0000-0000C3040000}"/>
    <cellStyle name="20% - Accent1 61 4 2" xfId="19954" xr:uid="{00000000-0005-0000-0000-0000C4040000}"/>
    <cellStyle name="20% - Accent1 61 5" xfId="6672" xr:uid="{00000000-0005-0000-0000-0000C5040000}"/>
    <cellStyle name="20% - Accent1 61 5 2" xfId="17960" xr:uid="{00000000-0005-0000-0000-0000C6040000}"/>
    <cellStyle name="20% - Accent1 61 6" xfId="4678" xr:uid="{00000000-0005-0000-0000-0000C7040000}"/>
    <cellStyle name="20% - Accent1 61 6 2" xfId="15966" xr:uid="{00000000-0005-0000-0000-0000C8040000}"/>
    <cellStyle name="20% - Accent1 61 7" xfId="13972" xr:uid="{00000000-0005-0000-0000-0000C9040000}"/>
    <cellStyle name="20% - Accent1 61 8" xfId="12658" xr:uid="{00000000-0005-0000-0000-0000CA040000}"/>
    <cellStyle name="20% - Accent1 62" xfId="723" xr:uid="{00000000-0005-0000-0000-0000CB040000}"/>
    <cellStyle name="20% - Accent1 62 2" xfId="3679" xr:uid="{00000000-0005-0000-0000-0000CC040000}"/>
    <cellStyle name="20% - Accent1 62 2 2" xfId="11658" xr:uid="{00000000-0005-0000-0000-0000CD040000}"/>
    <cellStyle name="20% - Accent1 62 2 2 2" xfId="22946" xr:uid="{00000000-0005-0000-0000-0000CE040000}"/>
    <cellStyle name="20% - Accent1 62 2 3" xfId="9664" xr:uid="{00000000-0005-0000-0000-0000CF040000}"/>
    <cellStyle name="20% - Accent1 62 2 3 2" xfId="20952" xr:uid="{00000000-0005-0000-0000-0000D0040000}"/>
    <cellStyle name="20% - Accent1 62 2 4" xfId="7670" xr:uid="{00000000-0005-0000-0000-0000D1040000}"/>
    <cellStyle name="20% - Accent1 62 2 4 2" xfId="18958" xr:uid="{00000000-0005-0000-0000-0000D2040000}"/>
    <cellStyle name="20% - Accent1 62 2 5" xfId="5676" xr:uid="{00000000-0005-0000-0000-0000D3040000}"/>
    <cellStyle name="20% - Accent1 62 2 5 2" xfId="16964" xr:uid="{00000000-0005-0000-0000-0000D4040000}"/>
    <cellStyle name="20% - Accent1 62 2 6" xfId="14970" xr:uid="{00000000-0005-0000-0000-0000D5040000}"/>
    <cellStyle name="20% - Accent1 62 3" xfId="10661" xr:uid="{00000000-0005-0000-0000-0000D6040000}"/>
    <cellStyle name="20% - Accent1 62 3 2" xfId="21949" xr:uid="{00000000-0005-0000-0000-0000D7040000}"/>
    <cellStyle name="20% - Accent1 62 4" xfId="8667" xr:uid="{00000000-0005-0000-0000-0000D8040000}"/>
    <cellStyle name="20% - Accent1 62 4 2" xfId="19955" xr:uid="{00000000-0005-0000-0000-0000D9040000}"/>
    <cellStyle name="20% - Accent1 62 5" xfId="6673" xr:uid="{00000000-0005-0000-0000-0000DA040000}"/>
    <cellStyle name="20% - Accent1 62 5 2" xfId="17961" xr:uid="{00000000-0005-0000-0000-0000DB040000}"/>
    <cellStyle name="20% - Accent1 62 6" xfId="4679" xr:uid="{00000000-0005-0000-0000-0000DC040000}"/>
    <cellStyle name="20% - Accent1 62 6 2" xfId="15967" xr:uid="{00000000-0005-0000-0000-0000DD040000}"/>
    <cellStyle name="20% - Accent1 62 7" xfId="13973" xr:uid="{00000000-0005-0000-0000-0000DE040000}"/>
    <cellStyle name="20% - Accent1 62 8" xfId="12659" xr:uid="{00000000-0005-0000-0000-0000DF040000}"/>
    <cellStyle name="20% - Accent1 63" xfId="724" xr:uid="{00000000-0005-0000-0000-0000E0040000}"/>
    <cellStyle name="20% - Accent1 63 2" xfId="3680" xr:uid="{00000000-0005-0000-0000-0000E1040000}"/>
    <cellStyle name="20% - Accent1 63 2 2" xfId="11659" xr:uid="{00000000-0005-0000-0000-0000E2040000}"/>
    <cellStyle name="20% - Accent1 63 2 2 2" xfId="22947" xr:uid="{00000000-0005-0000-0000-0000E3040000}"/>
    <cellStyle name="20% - Accent1 63 2 3" xfId="9665" xr:uid="{00000000-0005-0000-0000-0000E4040000}"/>
    <cellStyle name="20% - Accent1 63 2 3 2" xfId="20953" xr:uid="{00000000-0005-0000-0000-0000E5040000}"/>
    <cellStyle name="20% - Accent1 63 2 4" xfId="7671" xr:uid="{00000000-0005-0000-0000-0000E6040000}"/>
    <cellStyle name="20% - Accent1 63 2 4 2" xfId="18959" xr:uid="{00000000-0005-0000-0000-0000E7040000}"/>
    <cellStyle name="20% - Accent1 63 2 5" xfId="5677" xr:uid="{00000000-0005-0000-0000-0000E8040000}"/>
    <cellStyle name="20% - Accent1 63 2 5 2" xfId="16965" xr:uid="{00000000-0005-0000-0000-0000E9040000}"/>
    <cellStyle name="20% - Accent1 63 2 6" xfId="14971" xr:uid="{00000000-0005-0000-0000-0000EA040000}"/>
    <cellStyle name="20% - Accent1 63 3" xfId="10662" xr:uid="{00000000-0005-0000-0000-0000EB040000}"/>
    <cellStyle name="20% - Accent1 63 3 2" xfId="21950" xr:uid="{00000000-0005-0000-0000-0000EC040000}"/>
    <cellStyle name="20% - Accent1 63 4" xfId="8668" xr:uid="{00000000-0005-0000-0000-0000ED040000}"/>
    <cellStyle name="20% - Accent1 63 4 2" xfId="19956" xr:uid="{00000000-0005-0000-0000-0000EE040000}"/>
    <cellStyle name="20% - Accent1 63 5" xfId="6674" xr:uid="{00000000-0005-0000-0000-0000EF040000}"/>
    <cellStyle name="20% - Accent1 63 5 2" xfId="17962" xr:uid="{00000000-0005-0000-0000-0000F0040000}"/>
    <cellStyle name="20% - Accent1 63 6" xfId="4680" xr:uid="{00000000-0005-0000-0000-0000F1040000}"/>
    <cellStyle name="20% - Accent1 63 6 2" xfId="15968" xr:uid="{00000000-0005-0000-0000-0000F2040000}"/>
    <cellStyle name="20% - Accent1 63 7" xfId="13974" xr:uid="{00000000-0005-0000-0000-0000F3040000}"/>
    <cellStyle name="20% - Accent1 63 8" xfId="12660" xr:uid="{00000000-0005-0000-0000-0000F4040000}"/>
    <cellStyle name="20% - Accent1 64" xfId="725" xr:uid="{00000000-0005-0000-0000-0000F5040000}"/>
    <cellStyle name="20% - Accent1 64 2" xfId="3681" xr:uid="{00000000-0005-0000-0000-0000F6040000}"/>
    <cellStyle name="20% - Accent1 64 2 2" xfId="11660" xr:uid="{00000000-0005-0000-0000-0000F7040000}"/>
    <cellStyle name="20% - Accent1 64 2 2 2" xfId="22948" xr:uid="{00000000-0005-0000-0000-0000F8040000}"/>
    <cellStyle name="20% - Accent1 64 2 3" xfId="9666" xr:uid="{00000000-0005-0000-0000-0000F9040000}"/>
    <cellStyle name="20% - Accent1 64 2 3 2" xfId="20954" xr:uid="{00000000-0005-0000-0000-0000FA040000}"/>
    <cellStyle name="20% - Accent1 64 2 4" xfId="7672" xr:uid="{00000000-0005-0000-0000-0000FB040000}"/>
    <cellStyle name="20% - Accent1 64 2 4 2" xfId="18960" xr:uid="{00000000-0005-0000-0000-0000FC040000}"/>
    <cellStyle name="20% - Accent1 64 2 5" xfId="5678" xr:uid="{00000000-0005-0000-0000-0000FD040000}"/>
    <cellStyle name="20% - Accent1 64 2 5 2" xfId="16966" xr:uid="{00000000-0005-0000-0000-0000FE040000}"/>
    <cellStyle name="20% - Accent1 64 2 6" xfId="14972" xr:uid="{00000000-0005-0000-0000-0000FF040000}"/>
    <cellStyle name="20% - Accent1 64 3" xfId="10663" xr:uid="{00000000-0005-0000-0000-000000050000}"/>
    <cellStyle name="20% - Accent1 64 3 2" xfId="21951" xr:uid="{00000000-0005-0000-0000-000001050000}"/>
    <cellStyle name="20% - Accent1 64 4" xfId="8669" xr:uid="{00000000-0005-0000-0000-000002050000}"/>
    <cellStyle name="20% - Accent1 64 4 2" xfId="19957" xr:uid="{00000000-0005-0000-0000-000003050000}"/>
    <cellStyle name="20% - Accent1 64 5" xfId="6675" xr:uid="{00000000-0005-0000-0000-000004050000}"/>
    <cellStyle name="20% - Accent1 64 5 2" xfId="17963" xr:uid="{00000000-0005-0000-0000-000005050000}"/>
    <cellStyle name="20% - Accent1 64 6" xfId="4681" xr:uid="{00000000-0005-0000-0000-000006050000}"/>
    <cellStyle name="20% - Accent1 64 6 2" xfId="15969" xr:uid="{00000000-0005-0000-0000-000007050000}"/>
    <cellStyle name="20% - Accent1 64 7" xfId="13975" xr:uid="{00000000-0005-0000-0000-000008050000}"/>
    <cellStyle name="20% - Accent1 64 8" xfId="12661" xr:uid="{00000000-0005-0000-0000-000009050000}"/>
    <cellStyle name="20% - Accent1 65" xfId="726" xr:uid="{00000000-0005-0000-0000-00000A050000}"/>
    <cellStyle name="20% - Accent1 65 2" xfId="3682" xr:uid="{00000000-0005-0000-0000-00000B050000}"/>
    <cellStyle name="20% - Accent1 65 2 2" xfId="11661" xr:uid="{00000000-0005-0000-0000-00000C050000}"/>
    <cellStyle name="20% - Accent1 65 2 2 2" xfId="22949" xr:uid="{00000000-0005-0000-0000-00000D050000}"/>
    <cellStyle name="20% - Accent1 65 2 3" xfId="9667" xr:uid="{00000000-0005-0000-0000-00000E050000}"/>
    <cellStyle name="20% - Accent1 65 2 3 2" xfId="20955" xr:uid="{00000000-0005-0000-0000-00000F050000}"/>
    <cellStyle name="20% - Accent1 65 2 4" xfId="7673" xr:uid="{00000000-0005-0000-0000-000010050000}"/>
    <cellStyle name="20% - Accent1 65 2 4 2" xfId="18961" xr:uid="{00000000-0005-0000-0000-000011050000}"/>
    <cellStyle name="20% - Accent1 65 2 5" xfId="5679" xr:uid="{00000000-0005-0000-0000-000012050000}"/>
    <cellStyle name="20% - Accent1 65 2 5 2" xfId="16967" xr:uid="{00000000-0005-0000-0000-000013050000}"/>
    <cellStyle name="20% - Accent1 65 2 6" xfId="14973" xr:uid="{00000000-0005-0000-0000-000014050000}"/>
    <cellStyle name="20% - Accent1 65 3" xfId="10664" xr:uid="{00000000-0005-0000-0000-000015050000}"/>
    <cellStyle name="20% - Accent1 65 3 2" xfId="21952" xr:uid="{00000000-0005-0000-0000-000016050000}"/>
    <cellStyle name="20% - Accent1 65 4" xfId="8670" xr:uid="{00000000-0005-0000-0000-000017050000}"/>
    <cellStyle name="20% - Accent1 65 4 2" xfId="19958" xr:uid="{00000000-0005-0000-0000-000018050000}"/>
    <cellStyle name="20% - Accent1 65 5" xfId="6676" xr:uid="{00000000-0005-0000-0000-000019050000}"/>
    <cellStyle name="20% - Accent1 65 5 2" xfId="17964" xr:uid="{00000000-0005-0000-0000-00001A050000}"/>
    <cellStyle name="20% - Accent1 65 6" xfId="4682" xr:uid="{00000000-0005-0000-0000-00001B050000}"/>
    <cellStyle name="20% - Accent1 65 6 2" xfId="15970" xr:uid="{00000000-0005-0000-0000-00001C050000}"/>
    <cellStyle name="20% - Accent1 65 7" xfId="13976" xr:uid="{00000000-0005-0000-0000-00001D050000}"/>
    <cellStyle name="20% - Accent1 65 8" xfId="12662" xr:uid="{00000000-0005-0000-0000-00001E050000}"/>
    <cellStyle name="20% - Accent1 66" xfId="727" xr:uid="{00000000-0005-0000-0000-00001F050000}"/>
    <cellStyle name="20% - Accent1 66 2" xfId="3683" xr:uid="{00000000-0005-0000-0000-000020050000}"/>
    <cellStyle name="20% - Accent1 66 2 2" xfId="11662" xr:uid="{00000000-0005-0000-0000-000021050000}"/>
    <cellStyle name="20% - Accent1 66 2 2 2" xfId="22950" xr:uid="{00000000-0005-0000-0000-000022050000}"/>
    <cellStyle name="20% - Accent1 66 2 3" xfId="9668" xr:uid="{00000000-0005-0000-0000-000023050000}"/>
    <cellStyle name="20% - Accent1 66 2 3 2" xfId="20956" xr:uid="{00000000-0005-0000-0000-000024050000}"/>
    <cellStyle name="20% - Accent1 66 2 4" xfId="7674" xr:uid="{00000000-0005-0000-0000-000025050000}"/>
    <cellStyle name="20% - Accent1 66 2 4 2" xfId="18962" xr:uid="{00000000-0005-0000-0000-000026050000}"/>
    <cellStyle name="20% - Accent1 66 2 5" xfId="5680" xr:uid="{00000000-0005-0000-0000-000027050000}"/>
    <cellStyle name="20% - Accent1 66 2 5 2" xfId="16968" xr:uid="{00000000-0005-0000-0000-000028050000}"/>
    <cellStyle name="20% - Accent1 66 2 6" xfId="14974" xr:uid="{00000000-0005-0000-0000-000029050000}"/>
    <cellStyle name="20% - Accent1 66 3" xfId="10665" xr:uid="{00000000-0005-0000-0000-00002A050000}"/>
    <cellStyle name="20% - Accent1 66 3 2" xfId="21953" xr:uid="{00000000-0005-0000-0000-00002B050000}"/>
    <cellStyle name="20% - Accent1 66 4" xfId="8671" xr:uid="{00000000-0005-0000-0000-00002C050000}"/>
    <cellStyle name="20% - Accent1 66 4 2" xfId="19959" xr:uid="{00000000-0005-0000-0000-00002D050000}"/>
    <cellStyle name="20% - Accent1 66 5" xfId="6677" xr:uid="{00000000-0005-0000-0000-00002E050000}"/>
    <cellStyle name="20% - Accent1 66 5 2" xfId="17965" xr:uid="{00000000-0005-0000-0000-00002F050000}"/>
    <cellStyle name="20% - Accent1 66 6" xfId="4683" xr:uid="{00000000-0005-0000-0000-000030050000}"/>
    <cellStyle name="20% - Accent1 66 6 2" xfId="15971" xr:uid="{00000000-0005-0000-0000-000031050000}"/>
    <cellStyle name="20% - Accent1 66 7" xfId="13977" xr:uid="{00000000-0005-0000-0000-000032050000}"/>
    <cellStyle name="20% - Accent1 66 8" xfId="12663" xr:uid="{00000000-0005-0000-0000-000033050000}"/>
    <cellStyle name="20% - Accent1 67" xfId="728" xr:uid="{00000000-0005-0000-0000-000034050000}"/>
    <cellStyle name="20% - Accent1 67 2" xfId="3684" xr:uid="{00000000-0005-0000-0000-000035050000}"/>
    <cellStyle name="20% - Accent1 67 2 2" xfId="11663" xr:uid="{00000000-0005-0000-0000-000036050000}"/>
    <cellStyle name="20% - Accent1 67 2 2 2" xfId="22951" xr:uid="{00000000-0005-0000-0000-000037050000}"/>
    <cellStyle name="20% - Accent1 67 2 3" xfId="9669" xr:uid="{00000000-0005-0000-0000-000038050000}"/>
    <cellStyle name="20% - Accent1 67 2 3 2" xfId="20957" xr:uid="{00000000-0005-0000-0000-000039050000}"/>
    <cellStyle name="20% - Accent1 67 2 4" xfId="7675" xr:uid="{00000000-0005-0000-0000-00003A050000}"/>
    <cellStyle name="20% - Accent1 67 2 4 2" xfId="18963" xr:uid="{00000000-0005-0000-0000-00003B050000}"/>
    <cellStyle name="20% - Accent1 67 2 5" xfId="5681" xr:uid="{00000000-0005-0000-0000-00003C050000}"/>
    <cellStyle name="20% - Accent1 67 2 5 2" xfId="16969" xr:uid="{00000000-0005-0000-0000-00003D050000}"/>
    <cellStyle name="20% - Accent1 67 2 6" xfId="14975" xr:uid="{00000000-0005-0000-0000-00003E050000}"/>
    <cellStyle name="20% - Accent1 67 3" xfId="10666" xr:uid="{00000000-0005-0000-0000-00003F050000}"/>
    <cellStyle name="20% - Accent1 67 3 2" xfId="21954" xr:uid="{00000000-0005-0000-0000-000040050000}"/>
    <cellStyle name="20% - Accent1 67 4" xfId="8672" xr:uid="{00000000-0005-0000-0000-000041050000}"/>
    <cellStyle name="20% - Accent1 67 4 2" xfId="19960" xr:uid="{00000000-0005-0000-0000-000042050000}"/>
    <cellStyle name="20% - Accent1 67 5" xfId="6678" xr:uid="{00000000-0005-0000-0000-000043050000}"/>
    <cellStyle name="20% - Accent1 67 5 2" xfId="17966" xr:uid="{00000000-0005-0000-0000-000044050000}"/>
    <cellStyle name="20% - Accent1 67 6" xfId="4684" xr:uid="{00000000-0005-0000-0000-000045050000}"/>
    <cellStyle name="20% - Accent1 67 6 2" xfId="15972" xr:uid="{00000000-0005-0000-0000-000046050000}"/>
    <cellStyle name="20% - Accent1 67 7" xfId="13978" xr:uid="{00000000-0005-0000-0000-000047050000}"/>
    <cellStyle name="20% - Accent1 67 8" xfId="12664" xr:uid="{00000000-0005-0000-0000-000048050000}"/>
    <cellStyle name="20% - Accent1 68" xfId="729" xr:uid="{00000000-0005-0000-0000-000049050000}"/>
    <cellStyle name="20% - Accent1 68 2" xfId="3685" xr:uid="{00000000-0005-0000-0000-00004A050000}"/>
    <cellStyle name="20% - Accent1 68 2 2" xfId="11664" xr:uid="{00000000-0005-0000-0000-00004B050000}"/>
    <cellStyle name="20% - Accent1 68 2 2 2" xfId="22952" xr:uid="{00000000-0005-0000-0000-00004C050000}"/>
    <cellStyle name="20% - Accent1 68 2 3" xfId="9670" xr:uid="{00000000-0005-0000-0000-00004D050000}"/>
    <cellStyle name="20% - Accent1 68 2 3 2" xfId="20958" xr:uid="{00000000-0005-0000-0000-00004E050000}"/>
    <cellStyle name="20% - Accent1 68 2 4" xfId="7676" xr:uid="{00000000-0005-0000-0000-00004F050000}"/>
    <cellStyle name="20% - Accent1 68 2 4 2" xfId="18964" xr:uid="{00000000-0005-0000-0000-000050050000}"/>
    <cellStyle name="20% - Accent1 68 2 5" xfId="5682" xr:uid="{00000000-0005-0000-0000-000051050000}"/>
    <cellStyle name="20% - Accent1 68 2 5 2" xfId="16970" xr:uid="{00000000-0005-0000-0000-000052050000}"/>
    <cellStyle name="20% - Accent1 68 2 6" xfId="14976" xr:uid="{00000000-0005-0000-0000-000053050000}"/>
    <cellStyle name="20% - Accent1 68 3" xfId="10667" xr:uid="{00000000-0005-0000-0000-000054050000}"/>
    <cellStyle name="20% - Accent1 68 3 2" xfId="21955" xr:uid="{00000000-0005-0000-0000-000055050000}"/>
    <cellStyle name="20% - Accent1 68 4" xfId="8673" xr:uid="{00000000-0005-0000-0000-000056050000}"/>
    <cellStyle name="20% - Accent1 68 4 2" xfId="19961" xr:uid="{00000000-0005-0000-0000-000057050000}"/>
    <cellStyle name="20% - Accent1 68 5" xfId="6679" xr:uid="{00000000-0005-0000-0000-000058050000}"/>
    <cellStyle name="20% - Accent1 68 5 2" xfId="17967" xr:uid="{00000000-0005-0000-0000-000059050000}"/>
    <cellStyle name="20% - Accent1 68 6" xfId="4685" xr:uid="{00000000-0005-0000-0000-00005A050000}"/>
    <cellStyle name="20% - Accent1 68 6 2" xfId="15973" xr:uid="{00000000-0005-0000-0000-00005B050000}"/>
    <cellStyle name="20% - Accent1 68 7" xfId="13979" xr:uid="{00000000-0005-0000-0000-00005C050000}"/>
    <cellStyle name="20% - Accent1 68 8" xfId="12665" xr:uid="{00000000-0005-0000-0000-00005D050000}"/>
    <cellStyle name="20% - Accent1 69" xfId="730" xr:uid="{00000000-0005-0000-0000-00005E050000}"/>
    <cellStyle name="20% - Accent1 69 2" xfId="3686" xr:uid="{00000000-0005-0000-0000-00005F050000}"/>
    <cellStyle name="20% - Accent1 69 2 2" xfId="11665" xr:uid="{00000000-0005-0000-0000-000060050000}"/>
    <cellStyle name="20% - Accent1 69 2 2 2" xfId="22953" xr:uid="{00000000-0005-0000-0000-000061050000}"/>
    <cellStyle name="20% - Accent1 69 2 3" xfId="9671" xr:uid="{00000000-0005-0000-0000-000062050000}"/>
    <cellStyle name="20% - Accent1 69 2 3 2" xfId="20959" xr:uid="{00000000-0005-0000-0000-000063050000}"/>
    <cellStyle name="20% - Accent1 69 2 4" xfId="7677" xr:uid="{00000000-0005-0000-0000-000064050000}"/>
    <cellStyle name="20% - Accent1 69 2 4 2" xfId="18965" xr:uid="{00000000-0005-0000-0000-000065050000}"/>
    <cellStyle name="20% - Accent1 69 2 5" xfId="5683" xr:uid="{00000000-0005-0000-0000-000066050000}"/>
    <cellStyle name="20% - Accent1 69 2 5 2" xfId="16971" xr:uid="{00000000-0005-0000-0000-000067050000}"/>
    <cellStyle name="20% - Accent1 69 2 6" xfId="14977" xr:uid="{00000000-0005-0000-0000-000068050000}"/>
    <cellStyle name="20% - Accent1 69 3" xfId="10668" xr:uid="{00000000-0005-0000-0000-000069050000}"/>
    <cellStyle name="20% - Accent1 69 3 2" xfId="21956" xr:uid="{00000000-0005-0000-0000-00006A050000}"/>
    <cellStyle name="20% - Accent1 69 4" xfId="8674" xr:uid="{00000000-0005-0000-0000-00006B050000}"/>
    <cellStyle name="20% - Accent1 69 4 2" xfId="19962" xr:uid="{00000000-0005-0000-0000-00006C050000}"/>
    <cellStyle name="20% - Accent1 69 5" xfId="6680" xr:uid="{00000000-0005-0000-0000-00006D050000}"/>
    <cellStyle name="20% - Accent1 69 5 2" xfId="17968" xr:uid="{00000000-0005-0000-0000-00006E050000}"/>
    <cellStyle name="20% - Accent1 69 6" xfId="4686" xr:uid="{00000000-0005-0000-0000-00006F050000}"/>
    <cellStyle name="20% - Accent1 69 6 2" xfId="15974" xr:uid="{00000000-0005-0000-0000-000070050000}"/>
    <cellStyle name="20% - Accent1 69 7" xfId="13980" xr:uid="{00000000-0005-0000-0000-000071050000}"/>
    <cellStyle name="20% - Accent1 69 8" xfId="12666" xr:uid="{00000000-0005-0000-0000-000072050000}"/>
    <cellStyle name="20% - Accent1 7" xfId="731" xr:uid="{00000000-0005-0000-0000-000073050000}"/>
    <cellStyle name="20% - Accent1 7 10" xfId="24564" xr:uid="{00000000-0005-0000-0000-000074050000}"/>
    <cellStyle name="20% - Accent1 7 11" xfId="24954" xr:uid="{00000000-0005-0000-0000-000075050000}"/>
    <cellStyle name="20% - Accent1 7 2" xfId="3687" xr:uid="{00000000-0005-0000-0000-000076050000}"/>
    <cellStyle name="20% - Accent1 7 2 2" xfId="11666" xr:uid="{00000000-0005-0000-0000-000077050000}"/>
    <cellStyle name="20% - Accent1 7 2 2 2" xfId="22954" xr:uid="{00000000-0005-0000-0000-000078050000}"/>
    <cellStyle name="20% - Accent1 7 2 3" xfId="9672" xr:uid="{00000000-0005-0000-0000-000079050000}"/>
    <cellStyle name="20% - Accent1 7 2 3 2" xfId="20960" xr:uid="{00000000-0005-0000-0000-00007A050000}"/>
    <cellStyle name="20% - Accent1 7 2 4" xfId="7678" xr:uid="{00000000-0005-0000-0000-00007B050000}"/>
    <cellStyle name="20% - Accent1 7 2 4 2" xfId="18966" xr:uid="{00000000-0005-0000-0000-00007C050000}"/>
    <cellStyle name="20% - Accent1 7 2 5" xfId="5684" xr:uid="{00000000-0005-0000-0000-00007D050000}"/>
    <cellStyle name="20% - Accent1 7 2 5 2" xfId="16972" xr:uid="{00000000-0005-0000-0000-00007E050000}"/>
    <cellStyle name="20% - Accent1 7 2 6" xfId="14978" xr:uid="{00000000-0005-0000-0000-00007F050000}"/>
    <cellStyle name="20% - Accent1 7 2 7" xfId="24325" xr:uid="{00000000-0005-0000-0000-000080050000}"/>
    <cellStyle name="20% - Accent1 7 2 8" xfId="24789" xr:uid="{00000000-0005-0000-0000-000081050000}"/>
    <cellStyle name="20% - Accent1 7 2 9" xfId="25156" xr:uid="{00000000-0005-0000-0000-000082050000}"/>
    <cellStyle name="20% - Accent1 7 3" xfId="10669" xr:uid="{00000000-0005-0000-0000-000083050000}"/>
    <cellStyle name="20% - Accent1 7 3 2" xfId="21957" xr:uid="{00000000-0005-0000-0000-000084050000}"/>
    <cellStyle name="20% - Accent1 7 4" xfId="8675" xr:uid="{00000000-0005-0000-0000-000085050000}"/>
    <cellStyle name="20% - Accent1 7 4 2" xfId="19963" xr:uid="{00000000-0005-0000-0000-000086050000}"/>
    <cellStyle name="20% - Accent1 7 5" xfId="6681" xr:uid="{00000000-0005-0000-0000-000087050000}"/>
    <cellStyle name="20% - Accent1 7 5 2" xfId="17969" xr:uid="{00000000-0005-0000-0000-000088050000}"/>
    <cellStyle name="20% - Accent1 7 6" xfId="4687" xr:uid="{00000000-0005-0000-0000-000089050000}"/>
    <cellStyle name="20% - Accent1 7 6 2" xfId="15975" xr:uid="{00000000-0005-0000-0000-00008A050000}"/>
    <cellStyle name="20% - Accent1 7 7" xfId="13981" xr:uid="{00000000-0005-0000-0000-00008B050000}"/>
    <cellStyle name="20% - Accent1 7 8" xfId="12667" xr:uid="{00000000-0005-0000-0000-00008C050000}"/>
    <cellStyle name="20% - Accent1 7 9" xfId="23937" xr:uid="{00000000-0005-0000-0000-00008D050000}"/>
    <cellStyle name="20% - Accent1 70" xfId="732" xr:uid="{00000000-0005-0000-0000-00008E050000}"/>
    <cellStyle name="20% - Accent1 70 2" xfId="3688" xr:uid="{00000000-0005-0000-0000-00008F050000}"/>
    <cellStyle name="20% - Accent1 70 2 2" xfId="11667" xr:uid="{00000000-0005-0000-0000-000090050000}"/>
    <cellStyle name="20% - Accent1 70 2 2 2" xfId="22955" xr:uid="{00000000-0005-0000-0000-000091050000}"/>
    <cellStyle name="20% - Accent1 70 2 3" xfId="9673" xr:uid="{00000000-0005-0000-0000-000092050000}"/>
    <cellStyle name="20% - Accent1 70 2 3 2" xfId="20961" xr:uid="{00000000-0005-0000-0000-000093050000}"/>
    <cellStyle name="20% - Accent1 70 2 4" xfId="7679" xr:uid="{00000000-0005-0000-0000-000094050000}"/>
    <cellStyle name="20% - Accent1 70 2 4 2" xfId="18967" xr:uid="{00000000-0005-0000-0000-000095050000}"/>
    <cellStyle name="20% - Accent1 70 2 5" xfId="5685" xr:uid="{00000000-0005-0000-0000-000096050000}"/>
    <cellStyle name="20% - Accent1 70 2 5 2" xfId="16973" xr:uid="{00000000-0005-0000-0000-000097050000}"/>
    <cellStyle name="20% - Accent1 70 2 6" xfId="14979" xr:uid="{00000000-0005-0000-0000-000098050000}"/>
    <cellStyle name="20% - Accent1 70 3" xfId="10670" xr:uid="{00000000-0005-0000-0000-000099050000}"/>
    <cellStyle name="20% - Accent1 70 3 2" xfId="21958" xr:uid="{00000000-0005-0000-0000-00009A050000}"/>
    <cellStyle name="20% - Accent1 70 4" xfId="8676" xr:uid="{00000000-0005-0000-0000-00009B050000}"/>
    <cellStyle name="20% - Accent1 70 4 2" xfId="19964" xr:uid="{00000000-0005-0000-0000-00009C050000}"/>
    <cellStyle name="20% - Accent1 70 5" xfId="6682" xr:uid="{00000000-0005-0000-0000-00009D050000}"/>
    <cellStyle name="20% - Accent1 70 5 2" xfId="17970" xr:uid="{00000000-0005-0000-0000-00009E050000}"/>
    <cellStyle name="20% - Accent1 70 6" xfId="4688" xr:uid="{00000000-0005-0000-0000-00009F050000}"/>
    <cellStyle name="20% - Accent1 70 6 2" xfId="15976" xr:uid="{00000000-0005-0000-0000-0000A0050000}"/>
    <cellStyle name="20% - Accent1 70 7" xfId="13982" xr:uid="{00000000-0005-0000-0000-0000A1050000}"/>
    <cellStyle name="20% - Accent1 70 8" xfId="12668" xr:uid="{00000000-0005-0000-0000-0000A2050000}"/>
    <cellStyle name="20% - Accent1 71" xfId="733" xr:uid="{00000000-0005-0000-0000-0000A3050000}"/>
    <cellStyle name="20% - Accent1 71 2" xfId="3689" xr:uid="{00000000-0005-0000-0000-0000A4050000}"/>
    <cellStyle name="20% - Accent1 71 2 2" xfId="11668" xr:uid="{00000000-0005-0000-0000-0000A5050000}"/>
    <cellStyle name="20% - Accent1 71 2 2 2" xfId="22956" xr:uid="{00000000-0005-0000-0000-0000A6050000}"/>
    <cellStyle name="20% - Accent1 71 2 3" xfId="9674" xr:uid="{00000000-0005-0000-0000-0000A7050000}"/>
    <cellStyle name="20% - Accent1 71 2 3 2" xfId="20962" xr:uid="{00000000-0005-0000-0000-0000A8050000}"/>
    <cellStyle name="20% - Accent1 71 2 4" xfId="7680" xr:uid="{00000000-0005-0000-0000-0000A9050000}"/>
    <cellStyle name="20% - Accent1 71 2 4 2" xfId="18968" xr:uid="{00000000-0005-0000-0000-0000AA050000}"/>
    <cellStyle name="20% - Accent1 71 2 5" xfId="5686" xr:uid="{00000000-0005-0000-0000-0000AB050000}"/>
    <cellStyle name="20% - Accent1 71 2 5 2" xfId="16974" xr:uid="{00000000-0005-0000-0000-0000AC050000}"/>
    <cellStyle name="20% - Accent1 71 2 6" xfId="14980" xr:uid="{00000000-0005-0000-0000-0000AD050000}"/>
    <cellStyle name="20% - Accent1 71 3" xfId="10671" xr:uid="{00000000-0005-0000-0000-0000AE050000}"/>
    <cellStyle name="20% - Accent1 71 3 2" xfId="21959" xr:uid="{00000000-0005-0000-0000-0000AF050000}"/>
    <cellStyle name="20% - Accent1 71 4" xfId="8677" xr:uid="{00000000-0005-0000-0000-0000B0050000}"/>
    <cellStyle name="20% - Accent1 71 4 2" xfId="19965" xr:uid="{00000000-0005-0000-0000-0000B1050000}"/>
    <cellStyle name="20% - Accent1 71 5" xfId="6683" xr:uid="{00000000-0005-0000-0000-0000B2050000}"/>
    <cellStyle name="20% - Accent1 71 5 2" xfId="17971" xr:uid="{00000000-0005-0000-0000-0000B3050000}"/>
    <cellStyle name="20% - Accent1 71 6" xfId="4689" xr:uid="{00000000-0005-0000-0000-0000B4050000}"/>
    <cellStyle name="20% - Accent1 71 6 2" xfId="15977" xr:uid="{00000000-0005-0000-0000-0000B5050000}"/>
    <cellStyle name="20% - Accent1 71 7" xfId="13983" xr:uid="{00000000-0005-0000-0000-0000B6050000}"/>
    <cellStyle name="20% - Accent1 71 8" xfId="12669" xr:uid="{00000000-0005-0000-0000-0000B7050000}"/>
    <cellStyle name="20% - Accent1 72" xfId="734" xr:uid="{00000000-0005-0000-0000-0000B8050000}"/>
    <cellStyle name="20% - Accent1 72 2" xfId="3690" xr:uid="{00000000-0005-0000-0000-0000B9050000}"/>
    <cellStyle name="20% - Accent1 72 2 2" xfId="11669" xr:uid="{00000000-0005-0000-0000-0000BA050000}"/>
    <cellStyle name="20% - Accent1 72 2 2 2" xfId="22957" xr:uid="{00000000-0005-0000-0000-0000BB050000}"/>
    <cellStyle name="20% - Accent1 72 2 3" xfId="9675" xr:uid="{00000000-0005-0000-0000-0000BC050000}"/>
    <cellStyle name="20% - Accent1 72 2 3 2" xfId="20963" xr:uid="{00000000-0005-0000-0000-0000BD050000}"/>
    <cellStyle name="20% - Accent1 72 2 4" xfId="7681" xr:uid="{00000000-0005-0000-0000-0000BE050000}"/>
    <cellStyle name="20% - Accent1 72 2 4 2" xfId="18969" xr:uid="{00000000-0005-0000-0000-0000BF050000}"/>
    <cellStyle name="20% - Accent1 72 2 5" xfId="5687" xr:uid="{00000000-0005-0000-0000-0000C0050000}"/>
    <cellStyle name="20% - Accent1 72 2 5 2" xfId="16975" xr:uid="{00000000-0005-0000-0000-0000C1050000}"/>
    <cellStyle name="20% - Accent1 72 2 6" xfId="14981" xr:uid="{00000000-0005-0000-0000-0000C2050000}"/>
    <cellStyle name="20% - Accent1 72 3" xfId="10672" xr:uid="{00000000-0005-0000-0000-0000C3050000}"/>
    <cellStyle name="20% - Accent1 72 3 2" xfId="21960" xr:uid="{00000000-0005-0000-0000-0000C4050000}"/>
    <cellStyle name="20% - Accent1 72 4" xfId="8678" xr:uid="{00000000-0005-0000-0000-0000C5050000}"/>
    <cellStyle name="20% - Accent1 72 4 2" xfId="19966" xr:uid="{00000000-0005-0000-0000-0000C6050000}"/>
    <cellStyle name="20% - Accent1 72 5" xfId="6684" xr:uid="{00000000-0005-0000-0000-0000C7050000}"/>
    <cellStyle name="20% - Accent1 72 5 2" xfId="17972" xr:uid="{00000000-0005-0000-0000-0000C8050000}"/>
    <cellStyle name="20% - Accent1 72 6" xfId="4690" xr:uid="{00000000-0005-0000-0000-0000C9050000}"/>
    <cellStyle name="20% - Accent1 72 6 2" xfId="15978" xr:uid="{00000000-0005-0000-0000-0000CA050000}"/>
    <cellStyle name="20% - Accent1 72 7" xfId="13984" xr:uid="{00000000-0005-0000-0000-0000CB050000}"/>
    <cellStyle name="20% - Accent1 72 8" xfId="12670" xr:uid="{00000000-0005-0000-0000-0000CC050000}"/>
    <cellStyle name="20% - Accent1 8" xfId="735" xr:uid="{00000000-0005-0000-0000-0000CD050000}"/>
    <cellStyle name="20% - Accent1 8 2" xfId="3691" xr:uid="{00000000-0005-0000-0000-0000CE050000}"/>
    <cellStyle name="20% - Accent1 8 2 2" xfId="11670" xr:uid="{00000000-0005-0000-0000-0000CF050000}"/>
    <cellStyle name="20% - Accent1 8 2 2 2" xfId="22958" xr:uid="{00000000-0005-0000-0000-0000D0050000}"/>
    <cellStyle name="20% - Accent1 8 2 3" xfId="9676" xr:uid="{00000000-0005-0000-0000-0000D1050000}"/>
    <cellStyle name="20% - Accent1 8 2 3 2" xfId="20964" xr:uid="{00000000-0005-0000-0000-0000D2050000}"/>
    <cellStyle name="20% - Accent1 8 2 4" xfId="7682" xr:uid="{00000000-0005-0000-0000-0000D3050000}"/>
    <cellStyle name="20% - Accent1 8 2 4 2" xfId="18970" xr:uid="{00000000-0005-0000-0000-0000D4050000}"/>
    <cellStyle name="20% - Accent1 8 2 5" xfId="5688" xr:uid="{00000000-0005-0000-0000-0000D5050000}"/>
    <cellStyle name="20% - Accent1 8 2 5 2" xfId="16976" xr:uid="{00000000-0005-0000-0000-0000D6050000}"/>
    <cellStyle name="20% - Accent1 8 2 6" xfId="14982" xr:uid="{00000000-0005-0000-0000-0000D7050000}"/>
    <cellStyle name="20% - Accent1 8 3" xfId="10673" xr:uid="{00000000-0005-0000-0000-0000D8050000}"/>
    <cellStyle name="20% - Accent1 8 3 2" xfId="21961" xr:uid="{00000000-0005-0000-0000-0000D9050000}"/>
    <cellStyle name="20% - Accent1 8 4" xfId="8679" xr:uid="{00000000-0005-0000-0000-0000DA050000}"/>
    <cellStyle name="20% - Accent1 8 4 2" xfId="19967" xr:uid="{00000000-0005-0000-0000-0000DB050000}"/>
    <cellStyle name="20% - Accent1 8 5" xfId="6685" xr:uid="{00000000-0005-0000-0000-0000DC050000}"/>
    <cellStyle name="20% - Accent1 8 5 2" xfId="17973" xr:uid="{00000000-0005-0000-0000-0000DD050000}"/>
    <cellStyle name="20% - Accent1 8 6" xfId="4691" xr:uid="{00000000-0005-0000-0000-0000DE050000}"/>
    <cellStyle name="20% - Accent1 8 6 2" xfId="15979" xr:uid="{00000000-0005-0000-0000-0000DF050000}"/>
    <cellStyle name="20% - Accent1 8 7" xfId="13985" xr:uid="{00000000-0005-0000-0000-0000E0050000}"/>
    <cellStyle name="20% - Accent1 8 8" xfId="12671" xr:uid="{00000000-0005-0000-0000-0000E1050000}"/>
    <cellStyle name="20% - Accent1 9" xfId="736" xr:uid="{00000000-0005-0000-0000-0000E2050000}"/>
    <cellStyle name="20% - Accent1 9 2" xfId="3692" xr:uid="{00000000-0005-0000-0000-0000E3050000}"/>
    <cellStyle name="20% - Accent1 9 2 2" xfId="11671" xr:uid="{00000000-0005-0000-0000-0000E4050000}"/>
    <cellStyle name="20% - Accent1 9 2 2 2" xfId="22959" xr:uid="{00000000-0005-0000-0000-0000E5050000}"/>
    <cellStyle name="20% - Accent1 9 2 3" xfId="9677" xr:uid="{00000000-0005-0000-0000-0000E6050000}"/>
    <cellStyle name="20% - Accent1 9 2 3 2" xfId="20965" xr:uid="{00000000-0005-0000-0000-0000E7050000}"/>
    <cellStyle name="20% - Accent1 9 2 4" xfId="7683" xr:uid="{00000000-0005-0000-0000-0000E8050000}"/>
    <cellStyle name="20% - Accent1 9 2 4 2" xfId="18971" xr:uid="{00000000-0005-0000-0000-0000E9050000}"/>
    <cellStyle name="20% - Accent1 9 2 5" xfId="5689" xr:uid="{00000000-0005-0000-0000-0000EA050000}"/>
    <cellStyle name="20% - Accent1 9 2 5 2" xfId="16977" xr:uid="{00000000-0005-0000-0000-0000EB050000}"/>
    <cellStyle name="20% - Accent1 9 2 6" xfId="14983" xr:uid="{00000000-0005-0000-0000-0000EC050000}"/>
    <cellStyle name="20% - Accent1 9 3" xfId="10674" xr:uid="{00000000-0005-0000-0000-0000ED050000}"/>
    <cellStyle name="20% - Accent1 9 3 2" xfId="21962" xr:uid="{00000000-0005-0000-0000-0000EE050000}"/>
    <cellStyle name="20% - Accent1 9 4" xfId="8680" xr:uid="{00000000-0005-0000-0000-0000EF050000}"/>
    <cellStyle name="20% - Accent1 9 4 2" xfId="19968" xr:uid="{00000000-0005-0000-0000-0000F0050000}"/>
    <cellStyle name="20% - Accent1 9 5" xfId="6686" xr:uid="{00000000-0005-0000-0000-0000F1050000}"/>
    <cellStyle name="20% - Accent1 9 5 2" xfId="17974" xr:uid="{00000000-0005-0000-0000-0000F2050000}"/>
    <cellStyle name="20% - Accent1 9 6" xfId="4692" xr:uid="{00000000-0005-0000-0000-0000F3050000}"/>
    <cellStyle name="20% - Accent1 9 6 2" xfId="15980" xr:uid="{00000000-0005-0000-0000-0000F4050000}"/>
    <cellStyle name="20% - Accent1 9 7" xfId="13986" xr:uid="{00000000-0005-0000-0000-0000F5050000}"/>
    <cellStyle name="20% - Accent1 9 8" xfId="12672" xr:uid="{00000000-0005-0000-0000-0000F6050000}"/>
    <cellStyle name="20% - Accent2 10" xfId="737" xr:uid="{00000000-0005-0000-0000-0000F7050000}"/>
    <cellStyle name="20% - Accent2 10 2" xfId="3693" xr:uid="{00000000-0005-0000-0000-0000F8050000}"/>
    <cellStyle name="20% - Accent2 10 2 2" xfId="11672" xr:uid="{00000000-0005-0000-0000-0000F9050000}"/>
    <cellStyle name="20% - Accent2 10 2 2 2" xfId="22960" xr:uid="{00000000-0005-0000-0000-0000FA050000}"/>
    <cellStyle name="20% - Accent2 10 2 3" xfId="9678" xr:uid="{00000000-0005-0000-0000-0000FB050000}"/>
    <cellStyle name="20% - Accent2 10 2 3 2" xfId="20966" xr:uid="{00000000-0005-0000-0000-0000FC050000}"/>
    <cellStyle name="20% - Accent2 10 2 4" xfId="7684" xr:uid="{00000000-0005-0000-0000-0000FD050000}"/>
    <cellStyle name="20% - Accent2 10 2 4 2" xfId="18972" xr:uid="{00000000-0005-0000-0000-0000FE050000}"/>
    <cellStyle name="20% - Accent2 10 2 5" xfId="5690" xr:uid="{00000000-0005-0000-0000-0000FF050000}"/>
    <cellStyle name="20% - Accent2 10 2 5 2" xfId="16978" xr:uid="{00000000-0005-0000-0000-000000060000}"/>
    <cellStyle name="20% - Accent2 10 2 6" xfId="14984" xr:uid="{00000000-0005-0000-0000-000001060000}"/>
    <cellStyle name="20% - Accent2 10 3" xfId="10675" xr:uid="{00000000-0005-0000-0000-000002060000}"/>
    <cellStyle name="20% - Accent2 10 3 2" xfId="21963" xr:uid="{00000000-0005-0000-0000-000003060000}"/>
    <cellStyle name="20% - Accent2 10 4" xfId="8681" xr:uid="{00000000-0005-0000-0000-000004060000}"/>
    <cellStyle name="20% - Accent2 10 4 2" xfId="19969" xr:uid="{00000000-0005-0000-0000-000005060000}"/>
    <cellStyle name="20% - Accent2 10 5" xfId="6687" xr:uid="{00000000-0005-0000-0000-000006060000}"/>
    <cellStyle name="20% - Accent2 10 5 2" xfId="17975" xr:uid="{00000000-0005-0000-0000-000007060000}"/>
    <cellStyle name="20% - Accent2 10 6" xfId="4693" xr:uid="{00000000-0005-0000-0000-000008060000}"/>
    <cellStyle name="20% - Accent2 10 6 2" xfId="15981" xr:uid="{00000000-0005-0000-0000-000009060000}"/>
    <cellStyle name="20% - Accent2 10 7" xfId="13987" xr:uid="{00000000-0005-0000-0000-00000A060000}"/>
    <cellStyle name="20% - Accent2 10 8" xfId="12673" xr:uid="{00000000-0005-0000-0000-00000B060000}"/>
    <cellStyle name="20% - Accent2 11" xfId="738" xr:uid="{00000000-0005-0000-0000-00000C060000}"/>
    <cellStyle name="20% - Accent2 11 2" xfId="3694" xr:uid="{00000000-0005-0000-0000-00000D060000}"/>
    <cellStyle name="20% - Accent2 11 2 2" xfId="11673" xr:uid="{00000000-0005-0000-0000-00000E060000}"/>
    <cellStyle name="20% - Accent2 11 2 2 2" xfId="22961" xr:uid="{00000000-0005-0000-0000-00000F060000}"/>
    <cellStyle name="20% - Accent2 11 2 3" xfId="9679" xr:uid="{00000000-0005-0000-0000-000010060000}"/>
    <cellStyle name="20% - Accent2 11 2 3 2" xfId="20967" xr:uid="{00000000-0005-0000-0000-000011060000}"/>
    <cellStyle name="20% - Accent2 11 2 4" xfId="7685" xr:uid="{00000000-0005-0000-0000-000012060000}"/>
    <cellStyle name="20% - Accent2 11 2 4 2" xfId="18973" xr:uid="{00000000-0005-0000-0000-000013060000}"/>
    <cellStyle name="20% - Accent2 11 2 5" xfId="5691" xr:uid="{00000000-0005-0000-0000-000014060000}"/>
    <cellStyle name="20% - Accent2 11 2 5 2" xfId="16979" xr:uid="{00000000-0005-0000-0000-000015060000}"/>
    <cellStyle name="20% - Accent2 11 2 6" xfId="14985" xr:uid="{00000000-0005-0000-0000-000016060000}"/>
    <cellStyle name="20% - Accent2 11 3" xfId="10676" xr:uid="{00000000-0005-0000-0000-000017060000}"/>
    <cellStyle name="20% - Accent2 11 3 2" xfId="21964" xr:uid="{00000000-0005-0000-0000-000018060000}"/>
    <cellStyle name="20% - Accent2 11 4" xfId="8682" xr:uid="{00000000-0005-0000-0000-000019060000}"/>
    <cellStyle name="20% - Accent2 11 4 2" xfId="19970" xr:uid="{00000000-0005-0000-0000-00001A060000}"/>
    <cellStyle name="20% - Accent2 11 5" xfId="6688" xr:uid="{00000000-0005-0000-0000-00001B060000}"/>
    <cellStyle name="20% - Accent2 11 5 2" xfId="17976" xr:uid="{00000000-0005-0000-0000-00001C060000}"/>
    <cellStyle name="20% - Accent2 11 6" xfId="4694" xr:uid="{00000000-0005-0000-0000-00001D060000}"/>
    <cellStyle name="20% - Accent2 11 6 2" xfId="15982" xr:uid="{00000000-0005-0000-0000-00001E060000}"/>
    <cellStyle name="20% - Accent2 11 7" xfId="13988" xr:uid="{00000000-0005-0000-0000-00001F060000}"/>
    <cellStyle name="20% - Accent2 11 8" xfId="12674" xr:uid="{00000000-0005-0000-0000-000020060000}"/>
    <cellStyle name="20% - Accent2 12" xfId="739" xr:uid="{00000000-0005-0000-0000-000021060000}"/>
    <cellStyle name="20% - Accent2 12 2" xfId="3695" xr:uid="{00000000-0005-0000-0000-000022060000}"/>
    <cellStyle name="20% - Accent2 12 2 2" xfId="11674" xr:uid="{00000000-0005-0000-0000-000023060000}"/>
    <cellStyle name="20% - Accent2 12 2 2 2" xfId="22962" xr:uid="{00000000-0005-0000-0000-000024060000}"/>
    <cellStyle name="20% - Accent2 12 2 3" xfId="9680" xr:uid="{00000000-0005-0000-0000-000025060000}"/>
    <cellStyle name="20% - Accent2 12 2 3 2" xfId="20968" xr:uid="{00000000-0005-0000-0000-000026060000}"/>
    <cellStyle name="20% - Accent2 12 2 4" xfId="7686" xr:uid="{00000000-0005-0000-0000-000027060000}"/>
    <cellStyle name="20% - Accent2 12 2 4 2" xfId="18974" xr:uid="{00000000-0005-0000-0000-000028060000}"/>
    <cellStyle name="20% - Accent2 12 2 5" xfId="5692" xr:uid="{00000000-0005-0000-0000-000029060000}"/>
    <cellStyle name="20% - Accent2 12 2 5 2" xfId="16980" xr:uid="{00000000-0005-0000-0000-00002A060000}"/>
    <cellStyle name="20% - Accent2 12 2 6" xfId="14986" xr:uid="{00000000-0005-0000-0000-00002B060000}"/>
    <cellStyle name="20% - Accent2 12 3" xfId="10677" xr:uid="{00000000-0005-0000-0000-00002C060000}"/>
    <cellStyle name="20% - Accent2 12 3 2" xfId="21965" xr:uid="{00000000-0005-0000-0000-00002D060000}"/>
    <cellStyle name="20% - Accent2 12 4" xfId="8683" xr:uid="{00000000-0005-0000-0000-00002E060000}"/>
    <cellStyle name="20% - Accent2 12 4 2" xfId="19971" xr:uid="{00000000-0005-0000-0000-00002F060000}"/>
    <cellStyle name="20% - Accent2 12 5" xfId="6689" xr:uid="{00000000-0005-0000-0000-000030060000}"/>
    <cellStyle name="20% - Accent2 12 5 2" xfId="17977" xr:uid="{00000000-0005-0000-0000-000031060000}"/>
    <cellStyle name="20% - Accent2 12 6" xfId="4695" xr:uid="{00000000-0005-0000-0000-000032060000}"/>
    <cellStyle name="20% - Accent2 12 6 2" xfId="15983" xr:uid="{00000000-0005-0000-0000-000033060000}"/>
    <cellStyle name="20% - Accent2 12 7" xfId="13989" xr:uid="{00000000-0005-0000-0000-000034060000}"/>
    <cellStyle name="20% - Accent2 12 8" xfId="12675" xr:uid="{00000000-0005-0000-0000-000035060000}"/>
    <cellStyle name="20% - Accent2 13" xfId="740" xr:uid="{00000000-0005-0000-0000-000036060000}"/>
    <cellStyle name="20% - Accent2 13 2" xfId="3696" xr:uid="{00000000-0005-0000-0000-000037060000}"/>
    <cellStyle name="20% - Accent2 13 2 2" xfId="11675" xr:uid="{00000000-0005-0000-0000-000038060000}"/>
    <cellStyle name="20% - Accent2 13 2 2 2" xfId="22963" xr:uid="{00000000-0005-0000-0000-000039060000}"/>
    <cellStyle name="20% - Accent2 13 2 3" xfId="9681" xr:uid="{00000000-0005-0000-0000-00003A060000}"/>
    <cellStyle name="20% - Accent2 13 2 3 2" xfId="20969" xr:uid="{00000000-0005-0000-0000-00003B060000}"/>
    <cellStyle name="20% - Accent2 13 2 4" xfId="7687" xr:uid="{00000000-0005-0000-0000-00003C060000}"/>
    <cellStyle name="20% - Accent2 13 2 4 2" xfId="18975" xr:uid="{00000000-0005-0000-0000-00003D060000}"/>
    <cellStyle name="20% - Accent2 13 2 5" xfId="5693" xr:uid="{00000000-0005-0000-0000-00003E060000}"/>
    <cellStyle name="20% - Accent2 13 2 5 2" xfId="16981" xr:uid="{00000000-0005-0000-0000-00003F060000}"/>
    <cellStyle name="20% - Accent2 13 2 6" xfId="14987" xr:uid="{00000000-0005-0000-0000-000040060000}"/>
    <cellStyle name="20% - Accent2 13 3" xfId="10678" xr:uid="{00000000-0005-0000-0000-000041060000}"/>
    <cellStyle name="20% - Accent2 13 3 2" xfId="21966" xr:uid="{00000000-0005-0000-0000-000042060000}"/>
    <cellStyle name="20% - Accent2 13 4" xfId="8684" xr:uid="{00000000-0005-0000-0000-000043060000}"/>
    <cellStyle name="20% - Accent2 13 4 2" xfId="19972" xr:uid="{00000000-0005-0000-0000-000044060000}"/>
    <cellStyle name="20% - Accent2 13 5" xfId="6690" xr:uid="{00000000-0005-0000-0000-000045060000}"/>
    <cellStyle name="20% - Accent2 13 5 2" xfId="17978" xr:uid="{00000000-0005-0000-0000-000046060000}"/>
    <cellStyle name="20% - Accent2 13 6" xfId="4696" xr:uid="{00000000-0005-0000-0000-000047060000}"/>
    <cellStyle name="20% - Accent2 13 6 2" xfId="15984" xr:uid="{00000000-0005-0000-0000-000048060000}"/>
    <cellStyle name="20% - Accent2 13 7" xfId="13990" xr:uid="{00000000-0005-0000-0000-000049060000}"/>
    <cellStyle name="20% - Accent2 13 8" xfId="12676" xr:uid="{00000000-0005-0000-0000-00004A060000}"/>
    <cellStyle name="20% - Accent2 14" xfId="741" xr:uid="{00000000-0005-0000-0000-00004B060000}"/>
    <cellStyle name="20% - Accent2 14 2" xfId="3697" xr:uid="{00000000-0005-0000-0000-00004C060000}"/>
    <cellStyle name="20% - Accent2 14 2 2" xfId="11676" xr:uid="{00000000-0005-0000-0000-00004D060000}"/>
    <cellStyle name="20% - Accent2 14 2 2 2" xfId="22964" xr:uid="{00000000-0005-0000-0000-00004E060000}"/>
    <cellStyle name="20% - Accent2 14 2 3" xfId="9682" xr:uid="{00000000-0005-0000-0000-00004F060000}"/>
    <cellStyle name="20% - Accent2 14 2 3 2" xfId="20970" xr:uid="{00000000-0005-0000-0000-000050060000}"/>
    <cellStyle name="20% - Accent2 14 2 4" xfId="7688" xr:uid="{00000000-0005-0000-0000-000051060000}"/>
    <cellStyle name="20% - Accent2 14 2 4 2" xfId="18976" xr:uid="{00000000-0005-0000-0000-000052060000}"/>
    <cellStyle name="20% - Accent2 14 2 5" xfId="5694" xr:uid="{00000000-0005-0000-0000-000053060000}"/>
    <cellStyle name="20% - Accent2 14 2 5 2" xfId="16982" xr:uid="{00000000-0005-0000-0000-000054060000}"/>
    <cellStyle name="20% - Accent2 14 2 6" xfId="14988" xr:uid="{00000000-0005-0000-0000-000055060000}"/>
    <cellStyle name="20% - Accent2 14 3" xfId="10679" xr:uid="{00000000-0005-0000-0000-000056060000}"/>
    <cellStyle name="20% - Accent2 14 3 2" xfId="21967" xr:uid="{00000000-0005-0000-0000-000057060000}"/>
    <cellStyle name="20% - Accent2 14 4" xfId="8685" xr:uid="{00000000-0005-0000-0000-000058060000}"/>
    <cellStyle name="20% - Accent2 14 4 2" xfId="19973" xr:uid="{00000000-0005-0000-0000-000059060000}"/>
    <cellStyle name="20% - Accent2 14 5" xfId="6691" xr:uid="{00000000-0005-0000-0000-00005A060000}"/>
    <cellStyle name="20% - Accent2 14 5 2" xfId="17979" xr:uid="{00000000-0005-0000-0000-00005B060000}"/>
    <cellStyle name="20% - Accent2 14 6" xfId="4697" xr:uid="{00000000-0005-0000-0000-00005C060000}"/>
    <cellStyle name="20% - Accent2 14 6 2" xfId="15985" xr:uid="{00000000-0005-0000-0000-00005D060000}"/>
    <cellStyle name="20% - Accent2 14 7" xfId="13991" xr:uid="{00000000-0005-0000-0000-00005E060000}"/>
    <cellStyle name="20% - Accent2 14 8" xfId="12677" xr:uid="{00000000-0005-0000-0000-00005F060000}"/>
    <cellStyle name="20% - Accent2 15" xfId="742" xr:uid="{00000000-0005-0000-0000-000060060000}"/>
    <cellStyle name="20% - Accent2 15 2" xfId="3698" xr:uid="{00000000-0005-0000-0000-000061060000}"/>
    <cellStyle name="20% - Accent2 15 2 2" xfId="11677" xr:uid="{00000000-0005-0000-0000-000062060000}"/>
    <cellStyle name="20% - Accent2 15 2 2 2" xfId="22965" xr:uid="{00000000-0005-0000-0000-000063060000}"/>
    <cellStyle name="20% - Accent2 15 2 3" xfId="9683" xr:uid="{00000000-0005-0000-0000-000064060000}"/>
    <cellStyle name="20% - Accent2 15 2 3 2" xfId="20971" xr:uid="{00000000-0005-0000-0000-000065060000}"/>
    <cellStyle name="20% - Accent2 15 2 4" xfId="7689" xr:uid="{00000000-0005-0000-0000-000066060000}"/>
    <cellStyle name="20% - Accent2 15 2 4 2" xfId="18977" xr:uid="{00000000-0005-0000-0000-000067060000}"/>
    <cellStyle name="20% - Accent2 15 2 5" xfId="5695" xr:uid="{00000000-0005-0000-0000-000068060000}"/>
    <cellStyle name="20% - Accent2 15 2 5 2" xfId="16983" xr:uid="{00000000-0005-0000-0000-000069060000}"/>
    <cellStyle name="20% - Accent2 15 2 6" xfId="14989" xr:uid="{00000000-0005-0000-0000-00006A060000}"/>
    <cellStyle name="20% - Accent2 15 3" xfId="10680" xr:uid="{00000000-0005-0000-0000-00006B060000}"/>
    <cellStyle name="20% - Accent2 15 3 2" xfId="21968" xr:uid="{00000000-0005-0000-0000-00006C060000}"/>
    <cellStyle name="20% - Accent2 15 4" xfId="8686" xr:uid="{00000000-0005-0000-0000-00006D060000}"/>
    <cellStyle name="20% - Accent2 15 4 2" xfId="19974" xr:uid="{00000000-0005-0000-0000-00006E060000}"/>
    <cellStyle name="20% - Accent2 15 5" xfId="6692" xr:uid="{00000000-0005-0000-0000-00006F060000}"/>
    <cellStyle name="20% - Accent2 15 5 2" xfId="17980" xr:uid="{00000000-0005-0000-0000-000070060000}"/>
    <cellStyle name="20% - Accent2 15 6" xfId="4698" xr:uid="{00000000-0005-0000-0000-000071060000}"/>
    <cellStyle name="20% - Accent2 15 6 2" xfId="15986" xr:uid="{00000000-0005-0000-0000-000072060000}"/>
    <cellStyle name="20% - Accent2 15 7" xfId="13992" xr:uid="{00000000-0005-0000-0000-000073060000}"/>
    <cellStyle name="20% - Accent2 15 8" xfId="12678" xr:uid="{00000000-0005-0000-0000-000074060000}"/>
    <cellStyle name="20% - Accent2 16" xfId="743" xr:uid="{00000000-0005-0000-0000-000075060000}"/>
    <cellStyle name="20% - Accent2 16 2" xfId="3699" xr:uid="{00000000-0005-0000-0000-000076060000}"/>
    <cellStyle name="20% - Accent2 16 2 2" xfId="11678" xr:uid="{00000000-0005-0000-0000-000077060000}"/>
    <cellStyle name="20% - Accent2 16 2 2 2" xfId="22966" xr:uid="{00000000-0005-0000-0000-000078060000}"/>
    <cellStyle name="20% - Accent2 16 2 3" xfId="9684" xr:uid="{00000000-0005-0000-0000-000079060000}"/>
    <cellStyle name="20% - Accent2 16 2 3 2" xfId="20972" xr:uid="{00000000-0005-0000-0000-00007A060000}"/>
    <cellStyle name="20% - Accent2 16 2 4" xfId="7690" xr:uid="{00000000-0005-0000-0000-00007B060000}"/>
    <cellStyle name="20% - Accent2 16 2 4 2" xfId="18978" xr:uid="{00000000-0005-0000-0000-00007C060000}"/>
    <cellStyle name="20% - Accent2 16 2 5" xfId="5696" xr:uid="{00000000-0005-0000-0000-00007D060000}"/>
    <cellStyle name="20% - Accent2 16 2 5 2" xfId="16984" xr:uid="{00000000-0005-0000-0000-00007E060000}"/>
    <cellStyle name="20% - Accent2 16 2 6" xfId="14990" xr:uid="{00000000-0005-0000-0000-00007F060000}"/>
    <cellStyle name="20% - Accent2 16 3" xfId="10681" xr:uid="{00000000-0005-0000-0000-000080060000}"/>
    <cellStyle name="20% - Accent2 16 3 2" xfId="21969" xr:uid="{00000000-0005-0000-0000-000081060000}"/>
    <cellStyle name="20% - Accent2 16 4" xfId="8687" xr:uid="{00000000-0005-0000-0000-000082060000}"/>
    <cellStyle name="20% - Accent2 16 4 2" xfId="19975" xr:uid="{00000000-0005-0000-0000-000083060000}"/>
    <cellStyle name="20% - Accent2 16 5" xfId="6693" xr:uid="{00000000-0005-0000-0000-000084060000}"/>
    <cellStyle name="20% - Accent2 16 5 2" xfId="17981" xr:uid="{00000000-0005-0000-0000-000085060000}"/>
    <cellStyle name="20% - Accent2 16 6" xfId="4699" xr:uid="{00000000-0005-0000-0000-000086060000}"/>
    <cellStyle name="20% - Accent2 16 6 2" xfId="15987" xr:uid="{00000000-0005-0000-0000-000087060000}"/>
    <cellStyle name="20% - Accent2 16 7" xfId="13993" xr:uid="{00000000-0005-0000-0000-000088060000}"/>
    <cellStyle name="20% - Accent2 16 8" xfId="12679" xr:uid="{00000000-0005-0000-0000-000089060000}"/>
    <cellStyle name="20% - Accent2 17" xfId="744" xr:uid="{00000000-0005-0000-0000-00008A060000}"/>
    <cellStyle name="20% - Accent2 17 2" xfId="3700" xr:uid="{00000000-0005-0000-0000-00008B060000}"/>
    <cellStyle name="20% - Accent2 17 2 2" xfId="11679" xr:uid="{00000000-0005-0000-0000-00008C060000}"/>
    <cellStyle name="20% - Accent2 17 2 2 2" xfId="22967" xr:uid="{00000000-0005-0000-0000-00008D060000}"/>
    <cellStyle name="20% - Accent2 17 2 3" xfId="9685" xr:uid="{00000000-0005-0000-0000-00008E060000}"/>
    <cellStyle name="20% - Accent2 17 2 3 2" xfId="20973" xr:uid="{00000000-0005-0000-0000-00008F060000}"/>
    <cellStyle name="20% - Accent2 17 2 4" xfId="7691" xr:uid="{00000000-0005-0000-0000-000090060000}"/>
    <cellStyle name="20% - Accent2 17 2 4 2" xfId="18979" xr:uid="{00000000-0005-0000-0000-000091060000}"/>
    <cellStyle name="20% - Accent2 17 2 5" xfId="5697" xr:uid="{00000000-0005-0000-0000-000092060000}"/>
    <cellStyle name="20% - Accent2 17 2 5 2" xfId="16985" xr:uid="{00000000-0005-0000-0000-000093060000}"/>
    <cellStyle name="20% - Accent2 17 2 6" xfId="14991" xr:uid="{00000000-0005-0000-0000-000094060000}"/>
    <cellStyle name="20% - Accent2 17 3" xfId="10682" xr:uid="{00000000-0005-0000-0000-000095060000}"/>
    <cellStyle name="20% - Accent2 17 3 2" xfId="21970" xr:uid="{00000000-0005-0000-0000-000096060000}"/>
    <cellStyle name="20% - Accent2 17 4" xfId="8688" xr:uid="{00000000-0005-0000-0000-000097060000}"/>
    <cellStyle name="20% - Accent2 17 4 2" xfId="19976" xr:uid="{00000000-0005-0000-0000-000098060000}"/>
    <cellStyle name="20% - Accent2 17 5" xfId="6694" xr:uid="{00000000-0005-0000-0000-000099060000}"/>
    <cellStyle name="20% - Accent2 17 5 2" xfId="17982" xr:uid="{00000000-0005-0000-0000-00009A060000}"/>
    <cellStyle name="20% - Accent2 17 6" xfId="4700" xr:uid="{00000000-0005-0000-0000-00009B060000}"/>
    <cellStyle name="20% - Accent2 17 6 2" xfId="15988" xr:uid="{00000000-0005-0000-0000-00009C060000}"/>
    <cellStyle name="20% - Accent2 17 7" xfId="13994" xr:uid="{00000000-0005-0000-0000-00009D060000}"/>
    <cellStyle name="20% - Accent2 17 8" xfId="12680" xr:uid="{00000000-0005-0000-0000-00009E060000}"/>
    <cellStyle name="20% - Accent2 18" xfId="745" xr:uid="{00000000-0005-0000-0000-00009F060000}"/>
    <cellStyle name="20% - Accent2 18 2" xfId="3701" xr:uid="{00000000-0005-0000-0000-0000A0060000}"/>
    <cellStyle name="20% - Accent2 18 2 2" xfId="11680" xr:uid="{00000000-0005-0000-0000-0000A1060000}"/>
    <cellStyle name="20% - Accent2 18 2 2 2" xfId="22968" xr:uid="{00000000-0005-0000-0000-0000A2060000}"/>
    <cellStyle name="20% - Accent2 18 2 3" xfId="9686" xr:uid="{00000000-0005-0000-0000-0000A3060000}"/>
    <cellStyle name="20% - Accent2 18 2 3 2" xfId="20974" xr:uid="{00000000-0005-0000-0000-0000A4060000}"/>
    <cellStyle name="20% - Accent2 18 2 4" xfId="7692" xr:uid="{00000000-0005-0000-0000-0000A5060000}"/>
    <cellStyle name="20% - Accent2 18 2 4 2" xfId="18980" xr:uid="{00000000-0005-0000-0000-0000A6060000}"/>
    <cellStyle name="20% - Accent2 18 2 5" xfId="5698" xr:uid="{00000000-0005-0000-0000-0000A7060000}"/>
    <cellStyle name="20% - Accent2 18 2 5 2" xfId="16986" xr:uid="{00000000-0005-0000-0000-0000A8060000}"/>
    <cellStyle name="20% - Accent2 18 2 6" xfId="14992" xr:uid="{00000000-0005-0000-0000-0000A9060000}"/>
    <cellStyle name="20% - Accent2 18 3" xfId="10683" xr:uid="{00000000-0005-0000-0000-0000AA060000}"/>
    <cellStyle name="20% - Accent2 18 3 2" xfId="21971" xr:uid="{00000000-0005-0000-0000-0000AB060000}"/>
    <cellStyle name="20% - Accent2 18 4" xfId="8689" xr:uid="{00000000-0005-0000-0000-0000AC060000}"/>
    <cellStyle name="20% - Accent2 18 4 2" xfId="19977" xr:uid="{00000000-0005-0000-0000-0000AD060000}"/>
    <cellStyle name="20% - Accent2 18 5" xfId="6695" xr:uid="{00000000-0005-0000-0000-0000AE060000}"/>
    <cellStyle name="20% - Accent2 18 5 2" xfId="17983" xr:uid="{00000000-0005-0000-0000-0000AF060000}"/>
    <cellStyle name="20% - Accent2 18 6" xfId="4701" xr:uid="{00000000-0005-0000-0000-0000B0060000}"/>
    <cellStyle name="20% - Accent2 18 6 2" xfId="15989" xr:uid="{00000000-0005-0000-0000-0000B1060000}"/>
    <cellStyle name="20% - Accent2 18 7" xfId="13995" xr:uid="{00000000-0005-0000-0000-0000B2060000}"/>
    <cellStyle name="20% - Accent2 18 8" xfId="12681" xr:uid="{00000000-0005-0000-0000-0000B3060000}"/>
    <cellStyle name="20% - Accent2 19" xfId="746" xr:uid="{00000000-0005-0000-0000-0000B4060000}"/>
    <cellStyle name="20% - Accent2 19 2" xfId="3702" xr:uid="{00000000-0005-0000-0000-0000B5060000}"/>
    <cellStyle name="20% - Accent2 19 2 2" xfId="11681" xr:uid="{00000000-0005-0000-0000-0000B6060000}"/>
    <cellStyle name="20% - Accent2 19 2 2 2" xfId="22969" xr:uid="{00000000-0005-0000-0000-0000B7060000}"/>
    <cellStyle name="20% - Accent2 19 2 3" xfId="9687" xr:uid="{00000000-0005-0000-0000-0000B8060000}"/>
    <cellStyle name="20% - Accent2 19 2 3 2" xfId="20975" xr:uid="{00000000-0005-0000-0000-0000B9060000}"/>
    <cellStyle name="20% - Accent2 19 2 4" xfId="7693" xr:uid="{00000000-0005-0000-0000-0000BA060000}"/>
    <cellStyle name="20% - Accent2 19 2 4 2" xfId="18981" xr:uid="{00000000-0005-0000-0000-0000BB060000}"/>
    <cellStyle name="20% - Accent2 19 2 5" xfId="5699" xr:uid="{00000000-0005-0000-0000-0000BC060000}"/>
    <cellStyle name="20% - Accent2 19 2 5 2" xfId="16987" xr:uid="{00000000-0005-0000-0000-0000BD060000}"/>
    <cellStyle name="20% - Accent2 19 2 6" xfId="14993" xr:uid="{00000000-0005-0000-0000-0000BE060000}"/>
    <cellStyle name="20% - Accent2 19 3" xfId="10684" xr:uid="{00000000-0005-0000-0000-0000BF060000}"/>
    <cellStyle name="20% - Accent2 19 3 2" xfId="21972" xr:uid="{00000000-0005-0000-0000-0000C0060000}"/>
    <cellStyle name="20% - Accent2 19 4" xfId="8690" xr:uid="{00000000-0005-0000-0000-0000C1060000}"/>
    <cellStyle name="20% - Accent2 19 4 2" xfId="19978" xr:uid="{00000000-0005-0000-0000-0000C2060000}"/>
    <cellStyle name="20% - Accent2 19 5" xfId="6696" xr:uid="{00000000-0005-0000-0000-0000C3060000}"/>
    <cellStyle name="20% - Accent2 19 5 2" xfId="17984" xr:uid="{00000000-0005-0000-0000-0000C4060000}"/>
    <cellStyle name="20% - Accent2 19 6" xfId="4702" xr:uid="{00000000-0005-0000-0000-0000C5060000}"/>
    <cellStyle name="20% - Accent2 19 6 2" xfId="15990" xr:uid="{00000000-0005-0000-0000-0000C6060000}"/>
    <cellStyle name="20% - Accent2 19 7" xfId="13996" xr:uid="{00000000-0005-0000-0000-0000C7060000}"/>
    <cellStyle name="20% - Accent2 19 8" xfId="12682" xr:uid="{00000000-0005-0000-0000-0000C8060000}"/>
    <cellStyle name="20% - Accent2 2" xfId="747" xr:uid="{00000000-0005-0000-0000-0000C9060000}"/>
    <cellStyle name="20% - Accent2 2 10" xfId="24565" xr:uid="{00000000-0005-0000-0000-0000CA060000}"/>
    <cellStyle name="20% - Accent2 2 11" xfId="24955" xr:uid="{00000000-0005-0000-0000-0000CB060000}"/>
    <cellStyle name="20% - Accent2 2 2" xfId="3703" xr:uid="{00000000-0005-0000-0000-0000CC060000}"/>
    <cellStyle name="20% - Accent2 2 2 2" xfId="11682" xr:uid="{00000000-0005-0000-0000-0000CD060000}"/>
    <cellStyle name="20% - Accent2 2 2 2 2" xfId="22970" xr:uid="{00000000-0005-0000-0000-0000CE060000}"/>
    <cellStyle name="20% - Accent2 2 2 3" xfId="9688" xr:uid="{00000000-0005-0000-0000-0000CF060000}"/>
    <cellStyle name="20% - Accent2 2 2 3 2" xfId="20976" xr:uid="{00000000-0005-0000-0000-0000D0060000}"/>
    <cellStyle name="20% - Accent2 2 2 4" xfId="7694" xr:uid="{00000000-0005-0000-0000-0000D1060000}"/>
    <cellStyle name="20% - Accent2 2 2 4 2" xfId="18982" xr:uid="{00000000-0005-0000-0000-0000D2060000}"/>
    <cellStyle name="20% - Accent2 2 2 5" xfId="5700" xr:uid="{00000000-0005-0000-0000-0000D3060000}"/>
    <cellStyle name="20% - Accent2 2 2 5 2" xfId="16988" xr:uid="{00000000-0005-0000-0000-0000D4060000}"/>
    <cellStyle name="20% - Accent2 2 2 6" xfId="14994" xr:uid="{00000000-0005-0000-0000-0000D5060000}"/>
    <cellStyle name="20% - Accent2 2 2 7" xfId="24326" xr:uid="{00000000-0005-0000-0000-0000D6060000}"/>
    <cellStyle name="20% - Accent2 2 2 8" xfId="24790" xr:uid="{00000000-0005-0000-0000-0000D7060000}"/>
    <cellStyle name="20% - Accent2 2 2 9" xfId="25157" xr:uid="{00000000-0005-0000-0000-0000D8060000}"/>
    <cellStyle name="20% - Accent2 2 3" xfId="10685" xr:uid="{00000000-0005-0000-0000-0000D9060000}"/>
    <cellStyle name="20% - Accent2 2 3 2" xfId="21973" xr:uid="{00000000-0005-0000-0000-0000DA060000}"/>
    <cellStyle name="20% - Accent2 2 4" xfId="8691" xr:uid="{00000000-0005-0000-0000-0000DB060000}"/>
    <cellStyle name="20% - Accent2 2 4 2" xfId="19979" xr:uid="{00000000-0005-0000-0000-0000DC060000}"/>
    <cellStyle name="20% - Accent2 2 5" xfId="6697" xr:uid="{00000000-0005-0000-0000-0000DD060000}"/>
    <cellStyle name="20% - Accent2 2 5 2" xfId="17985" xr:uid="{00000000-0005-0000-0000-0000DE060000}"/>
    <cellStyle name="20% - Accent2 2 6" xfId="4703" xr:uid="{00000000-0005-0000-0000-0000DF060000}"/>
    <cellStyle name="20% - Accent2 2 6 2" xfId="15991" xr:uid="{00000000-0005-0000-0000-0000E0060000}"/>
    <cellStyle name="20% - Accent2 2 7" xfId="13997" xr:uid="{00000000-0005-0000-0000-0000E1060000}"/>
    <cellStyle name="20% - Accent2 2 8" xfId="12683" xr:uid="{00000000-0005-0000-0000-0000E2060000}"/>
    <cellStyle name="20% - Accent2 2 9" xfId="23938" xr:uid="{00000000-0005-0000-0000-0000E3060000}"/>
    <cellStyle name="20% - Accent2 20" xfId="748" xr:uid="{00000000-0005-0000-0000-0000E4060000}"/>
    <cellStyle name="20% - Accent2 20 2" xfId="3704" xr:uid="{00000000-0005-0000-0000-0000E5060000}"/>
    <cellStyle name="20% - Accent2 20 2 2" xfId="11683" xr:uid="{00000000-0005-0000-0000-0000E6060000}"/>
    <cellStyle name="20% - Accent2 20 2 2 2" xfId="22971" xr:uid="{00000000-0005-0000-0000-0000E7060000}"/>
    <cellStyle name="20% - Accent2 20 2 3" xfId="9689" xr:uid="{00000000-0005-0000-0000-0000E8060000}"/>
    <cellStyle name="20% - Accent2 20 2 3 2" xfId="20977" xr:uid="{00000000-0005-0000-0000-0000E9060000}"/>
    <cellStyle name="20% - Accent2 20 2 4" xfId="7695" xr:uid="{00000000-0005-0000-0000-0000EA060000}"/>
    <cellStyle name="20% - Accent2 20 2 4 2" xfId="18983" xr:uid="{00000000-0005-0000-0000-0000EB060000}"/>
    <cellStyle name="20% - Accent2 20 2 5" xfId="5701" xr:uid="{00000000-0005-0000-0000-0000EC060000}"/>
    <cellStyle name="20% - Accent2 20 2 5 2" xfId="16989" xr:uid="{00000000-0005-0000-0000-0000ED060000}"/>
    <cellStyle name="20% - Accent2 20 2 6" xfId="14995" xr:uid="{00000000-0005-0000-0000-0000EE060000}"/>
    <cellStyle name="20% - Accent2 20 3" xfId="10686" xr:uid="{00000000-0005-0000-0000-0000EF060000}"/>
    <cellStyle name="20% - Accent2 20 3 2" xfId="21974" xr:uid="{00000000-0005-0000-0000-0000F0060000}"/>
    <cellStyle name="20% - Accent2 20 4" xfId="8692" xr:uid="{00000000-0005-0000-0000-0000F1060000}"/>
    <cellStyle name="20% - Accent2 20 4 2" xfId="19980" xr:uid="{00000000-0005-0000-0000-0000F2060000}"/>
    <cellStyle name="20% - Accent2 20 5" xfId="6698" xr:uid="{00000000-0005-0000-0000-0000F3060000}"/>
    <cellStyle name="20% - Accent2 20 5 2" xfId="17986" xr:uid="{00000000-0005-0000-0000-0000F4060000}"/>
    <cellStyle name="20% - Accent2 20 6" xfId="4704" xr:uid="{00000000-0005-0000-0000-0000F5060000}"/>
    <cellStyle name="20% - Accent2 20 6 2" xfId="15992" xr:uid="{00000000-0005-0000-0000-0000F6060000}"/>
    <cellStyle name="20% - Accent2 20 7" xfId="13998" xr:uid="{00000000-0005-0000-0000-0000F7060000}"/>
    <cellStyle name="20% - Accent2 20 8" xfId="12684" xr:uid="{00000000-0005-0000-0000-0000F8060000}"/>
    <cellStyle name="20% - Accent2 21" xfId="749" xr:uid="{00000000-0005-0000-0000-0000F9060000}"/>
    <cellStyle name="20% - Accent2 21 2" xfId="3705" xr:uid="{00000000-0005-0000-0000-0000FA060000}"/>
    <cellStyle name="20% - Accent2 21 2 2" xfId="11684" xr:uid="{00000000-0005-0000-0000-0000FB060000}"/>
    <cellStyle name="20% - Accent2 21 2 2 2" xfId="22972" xr:uid="{00000000-0005-0000-0000-0000FC060000}"/>
    <cellStyle name="20% - Accent2 21 2 3" xfId="9690" xr:uid="{00000000-0005-0000-0000-0000FD060000}"/>
    <cellStyle name="20% - Accent2 21 2 3 2" xfId="20978" xr:uid="{00000000-0005-0000-0000-0000FE060000}"/>
    <cellStyle name="20% - Accent2 21 2 4" xfId="7696" xr:uid="{00000000-0005-0000-0000-0000FF060000}"/>
    <cellStyle name="20% - Accent2 21 2 4 2" xfId="18984" xr:uid="{00000000-0005-0000-0000-000000070000}"/>
    <cellStyle name="20% - Accent2 21 2 5" xfId="5702" xr:uid="{00000000-0005-0000-0000-000001070000}"/>
    <cellStyle name="20% - Accent2 21 2 5 2" xfId="16990" xr:uid="{00000000-0005-0000-0000-000002070000}"/>
    <cellStyle name="20% - Accent2 21 2 6" xfId="14996" xr:uid="{00000000-0005-0000-0000-000003070000}"/>
    <cellStyle name="20% - Accent2 21 3" xfId="10687" xr:uid="{00000000-0005-0000-0000-000004070000}"/>
    <cellStyle name="20% - Accent2 21 3 2" xfId="21975" xr:uid="{00000000-0005-0000-0000-000005070000}"/>
    <cellStyle name="20% - Accent2 21 4" xfId="8693" xr:uid="{00000000-0005-0000-0000-000006070000}"/>
    <cellStyle name="20% - Accent2 21 4 2" xfId="19981" xr:uid="{00000000-0005-0000-0000-000007070000}"/>
    <cellStyle name="20% - Accent2 21 5" xfId="6699" xr:uid="{00000000-0005-0000-0000-000008070000}"/>
    <cellStyle name="20% - Accent2 21 5 2" xfId="17987" xr:uid="{00000000-0005-0000-0000-000009070000}"/>
    <cellStyle name="20% - Accent2 21 6" xfId="4705" xr:uid="{00000000-0005-0000-0000-00000A070000}"/>
    <cellStyle name="20% - Accent2 21 6 2" xfId="15993" xr:uid="{00000000-0005-0000-0000-00000B070000}"/>
    <cellStyle name="20% - Accent2 21 7" xfId="13999" xr:uid="{00000000-0005-0000-0000-00000C070000}"/>
    <cellStyle name="20% - Accent2 21 8" xfId="12685" xr:uid="{00000000-0005-0000-0000-00000D070000}"/>
    <cellStyle name="20% - Accent2 22" xfId="750" xr:uid="{00000000-0005-0000-0000-00000E070000}"/>
    <cellStyle name="20% - Accent2 22 2" xfId="3706" xr:uid="{00000000-0005-0000-0000-00000F070000}"/>
    <cellStyle name="20% - Accent2 22 2 2" xfId="11685" xr:uid="{00000000-0005-0000-0000-000010070000}"/>
    <cellStyle name="20% - Accent2 22 2 2 2" xfId="22973" xr:uid="{00000000-0005-0000-0000-000011070000}"/>
    <cellStyle name="20% - Accent2 22 2 3" xfId="9691" xr:uid="{00000000-0005-0000-0000-000012070000}"/>
    <cellStyle name="20% - Accent2 22 2 3 2" xfId="20979" xr:uid="{00000000-0005-0000-0000-000013070000}"/>
    <cellStyle name="20% - Accent2 22 2 4" xfId="7697" xr:uid="{00000000-0005-0000-0000-000014070000}"/>
    <cellStyle name="20% - Accent2 22 2 4 2" xfId="18985" xr:uid="{00000000-0005-0000-0000-000015070000}"/>
    <cellStyle name="20% - Accent2 22 2 5" xfId="5703" xr:uid="{00000000-0005-0000-0000-000016070000}"/>
    <cellStyle name="20% - Accent2 22 2 5 2" xfId="16991" xr:uid="{00000000-0005-0000-0000-000017070000}"/>
    <cellStyle name="20% - Accent2 22 2 6" xfId="14997" xr:uid="{00000000-0005-0000-0000-000018070000}"/>
    <cellStyle name="20% - Accent2 22 3" xfId="10688" xr:uid="{00000000-0005-0000-0000-000019070000}"/>
    <cellStyle name="20% - Accent2 22 3 2" xfId="21976" xr:uid="{00000000-0005-0000-0000-00001A070000}"/>
    <cellStyle name="20% - Accent2 22 4" xfId="8694" xr:uid="{00000000-0005-0000-0000-00001B070000}"/>
    <cellStyle name="20% - Accent2 22 4 2" xfId="19982" xr:uid="{00000000-0005-0000-0000-00001C070000}"/>
    <cellStyle name="20% - Accent2 22 5" xfId="6700" xr:uid="{00000000-0005-0000-0000-00001D070000}"/>
    <cellStyle name="20% - Accent2 22 5 2" xfId="17988" xr:uid="{00000000-0005-0000-0000-00001E070000}"/>
    <cellStyle name="20% - Accent2 22 6" xfId="4706" xr:uid="{00000000-0005-0000-0000-00001F070000}"/>
    <cellStyle name="20% - Accent2 22 6 2" xfId="15994" xr:uid="{00000000-0005-0000-0000-000020070000}"/>
    <cellStyle name="20% - Accent2 22 7" xfId="14000" xr:uid="{00000000-0005-0000-0000-000021070000}"/>
    <cellStyle name="20% - Accent2 22 8" xfId="12686" xr:uid="{00000000-0005-0000-0000-000022070000}"/>
    <cellStyle name="20% - Accent2 23" xfId="751" xr:uid="{00000000-0005-0000-0000-000023070000}"/>
    <cellStyle name="20% - Accent2 23 2" xfId="3707" xr:uid="{00000000-0005-0000-0000-000024070000}"/>
    <cellStyle name="20% - Accent2 23 2 2" xfId="11686" xr:uid="{00000000-0005-0000-0000-000025070000}"/>
    <cellStyle name="20% - Accent2 23 2 2 2" xfId="22974" xr:uid="{00000000-0005-0000-0000-000026070000}"/>
    <cellStyle name="20% - Accent2 23 2 3" xfId="9692" xr:uid="{00000000-0005-0000-0000-000027070000}"/>
    <cellStyle name="20% - Accent2 23 2 3 2" xfId="20980" xr:uid="{00000000-0005-0000-0000-000028070000}"/>
    <cellStyle name="20% - Accent2 23 2 4" xfId="7698" xr:uid="{00000000-0005-0000-0000-000029070000}"/>
    <cellStyle name="20% - Accent2 23 2 4 2" xfId="18986" xr:uid="{00000000-0005-0000-0000-00002A070000}"/>
    <cellStyle name="20% - Accent2 23 2 5" xfId="5704" xr:uid="{00000000-0005-0000-0000-00002B070000}"/>
    <cellStyle name="20% - Accent2 23 2 5 2" xfId="16992" xr:uid="{00000000-0005-0000-0000-00002C070000}"/>
    <cellStyle name="20% - Accent2 23 2 6" xfId="14998" xr:uid="{00000000-0005-0000-0000-00002D070000}"/>
    <cellStyle name="20% - Accent2 23 3" xfId="10689" xr:uid="{00000000-0005-0000-0000-00002E070000}"/>
    <cellStyle name="20% - Accent2 23 3 2" xfId="21977" xr:uid="{00000000-0005-0000-0000-00002F070000}"/>
    <cellStyle name="20% - Accent2 23 4" xfId="8695" xr:uid="{00000000-0005-0000-0000-000030070000}"/>
    <cellStyle name="20% - Accent2 23 4 2" xfId="19983" xr:uid="{00000000-0005-0000-0000-000031070000}"/>
    <cellStyle name="20% - Accent2 23 5" xfId="6701" xr:uid="{00000000-0005-0000-0000-000032070000}"/>
    <cellStyle name="20% - Accent2 23 5 2" xfId="17989" xr:uid="{00000000-0005-0000-0000-000033070000}"/>
    <cellStyle name="20% - Accent2 23 6" xfId="4707" xr:uid="{00000000-0005-0000-0000-000034070000}"/>
    <cellStyle name="20% - Accent2 23 6 2" xfId="15995" xr:uid="{00000000-0005-0000-0000-000035070000}"/>
    <cellStyle name="20% - Accent2 23 7" xfId="14001" xr:uid="{00000000-0005-0000-0000-000036070000}"/>
    <cellStyle name="20% - Accent2 23 8" xfId="12687" xr:uid="{00000000-0005-0000-0000-000037070000}"/>
    <cellStyle name="20% - Accent2 24" xfId="752" xr:uid="{00000000-0005-0000-0000-000038070000}"/>
    <cellStyle name="20% - Accent2 24 2" xfId="3708" xr:uid="{00000000-0005-0000-0000-000039070000}"/>
    <cellStyle name="20% - Accent2 24 2 2" xfId="11687" xr:uid="{00000000-0005-0000-0000-00003A070000}"/>
    <cellStyle name="20% - Accent2 24 2 2 2" xfId="22975" xr:uid="{00000000-0005-0000-0000-00003B070000}"/>
    <cellStyle name="20% - Accent2 24 2 3" xfId="9693" xr:uid="{00000000-0005-0000-0000-00003C070000}"/>
    <cellStyle name="20% - Accent2 24 2 3 2" xfId="20981" xr:uid="{00000000-0005-0000-0000-00003D070000}"/>
    <cellStyle name="20% - Accent2 24 2 4" xfId="7699" xr:uid="{00000000-0005-0000-0000-00003E070000}"/>
    <cellStyle name="20% - Accent2 24 2 4 2" xfId="18987" xr:uid="{00000000-0005-0000-0000-00003F070000}"/>
    <cellStyle name="20% - Accent2 24 2 5" xfId="5705" xr:uid="{00000000-0005-0000-0000-000040070000}"/>
    <cellStyle name="20% - Accent2 24 2 5 2" xfId="16993" xr:uid="{00000000-0005-0000-0000-000041070000}"/>
    <cellStyle name="20% - Accent2 24 2 6" xfId="14999" xr:uid="{00000000-0005-0000-0000-000042070000}"/>
    <cellStyle name="20% - Accent2 24 3" xfId="10690" xr:uid="{00000000-0005-0000-0000-000043070000}"/>
    <cellStyle name="20% - Accent2 24 3 2" xfId="21978" xr:uid="{00000000-0005-0000-0000-000044070000}"/>
    <cellStyle name="20% - Accent2 24 4" xfId="8696" xr:uid="{00000000-0005-0000-0000-000045070000}"/>
    <cellStyle name="20% - Accent2 24 4 2" xfId="19984" xr:uid="{00000000-0005-0000-0000-000046070000}"/>
    <cellStyle name="20% - Accent2 24 5" xfId="6702" xr:uid="{00000000-0005-0000-0000-000047070000}"/>
    <cellStyle name="20% - Accent2 24 5 2" xfId="17990" xr:uid="{00000000-0005-0000-0000-000048070000}"/>
    <cellStyle name="20% - Accent2 24 6" xfId="4708" xr:uid="{00000000-0005-0000-0000-000049070000}"/>
    <cellStyle name="20% - Accent2 24 6 2" xfId="15996" xr:uid="{00000000-0005-0000-0000-00004A070000}"/>
    <cellStyle name="20% - Accent2 24 7" xfId="14002" xr:uid="{00000000-0005-0000-0000-00004B070000}"/>
    <cellStyle name="20% - Accent2 24 8" xfId="12688" xr:uid="{00000000-0005-0000-0000-00004C070000}"/>
    <cellStyle name="20% - Accent2 25" xfId="753" xr:uid="{00000000-0005-0000-0000-00004D070000}"/>
    <cellStyle name="20% - Accent2 25 2" xfId="3709" xr:uid="{00000000-0005-0000-0000-00004E070000}"/>
    <cellStyle name="20% - Accent2 25 2 2" xfId="11688" xr:uid="{00000000-0005-0000-0000-00004F070000}"/>
    <cellStyle name="20% - Accent2 25 2 2 2" xfId="22976" xr:uid="{00000000-0005-0000-0000-000050070000}"/>
    <cellStyle name="20% - Accent2 25 2 3" xfId="9694" xr:uid="{00000000-0005-0000-0000-000051070000}"/>
    <cellStyle name="20% - Accent2 25 2 3 2" xfId="20982" xr:uid="{00000000-0005-0000-0000-000052070000}"/>
    <cellStyle name="20% - Accent2 25 2 4" xfId="7700" xr:uid="{00000000-0005-0000-0000-000053070000}"/>
    <cellStyle name="20% - Accent2 25 2 4 2" xfId="18988" xr:uid="{00000000-0005-0000-0000-000054070000}"/>
    <cellStyle name="20% - Accent2 25 2 5" xfId="5706" xr:uid="{00000000-0005-0000-0000-000055070000}"/>
    <cellStyle name="20% - Accent2 25 2 5 2" xfId="16994" xr:uid="{00000000-0005-0000-0000-000056070000}"/>
    <cellStyle name="20% - Accent2 25 2 6" xfId="15000" xr:uid="{00000000-0005-0000-0000-000057070000}"/>
    <cellStyle name="20% - Accent2 25 3" xfId="10691" xr:uid="{00000000-0005-0000-0000-000058070000}"/>
    <cellStyle name="20% - Accent2 25 3 2" xfId="21979" xr:uid="{00000000-0005-0000-0000-000059070000}"/>
    <cellStyle name="20% - Accent2 25 4" xfId="8697" xr:uid="{00000000-0005-0000-0000-00005A070000}"/>
    <cellStyle name="20% - Accent2 25 4 2" xfId="19985" xr:uid="{00000000-0005-0000-0000-00005B070000}"/>
    <cellStyle name="20% - Accent2 25 5" xfId="6703" xr:uid="{00000000-0005-0000-0000-00005C070000}"/>
    <cellStyle name="20% - Accent2 25 5 2" xfId="17991" xr:uid="{00000000-0005-0000-0000-00005D070000}"/>
    <cellStyle name="20% - Accent2 25 6" xfId="4709" xr:uid="{00000000-0005-0000-0000-00005E070000}"/>
    <cellStyle name="20% - Accent2 25 6 2" xfId="15997" xr:uid="{00000000-0005-0000-0000-00005F070000}"/>
    <cellStyle name="20% - Accent2 25 7" xfId="14003" xr:uid="{00000000-0005-0000-0000-000060070000}"/>
    <cellStyle name="20% - Accent2 25 8" xfId="12689" xr:uid="{00000000-0005-0000-0000-000061070000}"/>
    <cellStyle name="20% - Accent2 26" xfId="754" xr:uid="{00000000-0005-0000-0000-000062070000}"/>
    <cellStyle name="20% - Accent2 26 2" xfId="3710" xr:uid="{00000000-0005-0000-0000-000063070000}"/>
    <cellStyle name="20% - Accent2 26 2 2" xfId="11689" xr:uid="{00000000-0005-0000-0000-000064070000}"/>
    <cellStyle name="20% - Accent2 26 2 2 2" xfId="22977" xr:uid="{00000000-0005-0000-0000-000065070000}"/>
    <cellStyle name="20% - Accent2 26 2 3" xfId="9695" xr:uid="{00000000-0005-0000-0000-000066070000}"/>
    <cellStyle name="20% - Accent2 26 2 3 2" xfId="20983" xr:uid="{00000000-0005-0000-0000-000067070000}"/>
    <cellStyle name="20% - Accent2 26 2 4" xfId="7701" xr:uid="{00000000-0005-0000-0000-000068070000}"/>
    <cellStyle name="20% - Accent2 26 2 4 2" xfId="18989" xr:uid="{00000000-0005-0000-0000-000069070000}"/>
    <cellStyle name="20% - Accent2 26 2 5" xfId="5707" xr:uid="{00000000-0005-0000-0000-00006A070000}"/>
    <cellStyle name="20% - Accent2 26 2 5 2" xfId="16995" xr:uid="{00000000-0005-0000-0000-00006B070000}"/>
    <cellStyle name="20% - Accent2 26 2 6" xfId="15001" xr:uid="{00000000-0005-0000-0000-00006C070000}"/>
    <cellStyle name="20% - Accent2 26 3" xfId="10692" xr:uid="{00000000-0005-0000-0000-00006D070000}"/>
    <cellStyle name="20% - Accent2 26 3 2" xfId="21980" xr:uid="{00000000-0005-0000-0000-00006E070000}"/>
    <cellStyle name="20% - Accent2 26 4" xfId="8698" xr:uid="{00000000-0005-0000-0000-00006F070000}"/>
    <cellStyle name="20% - Accent2 26 4 2" xfId="19986" xr:uid="{00000000-0005-0000-0000-000070070000}"/>
    <cellStyle name="20% - Accent2 26 5" xfId="6704" xr:uid="{00000000-0005-0000-0000-000071070000}"/>
    <cellStyle name="20% - Accent2 26 5 2" xfId="17992" xr:uid="{00000000-0005-0000-0000-000072070000}"/>
    <cellStyle name="20% - Accent2 26 6" xfId="4710" xr:uid="{00000000-0005-0000-0000-000073070000}"/>
    <cellStyle name="20% - Accent2 26 6 2" xfId="15998" xr:uid="{00000000-0005-0000-0000-000074070000}"/>
    <cellStyle name="20% - Accent2 26 7" xfId="14004" xr:uid="{00000000-0005-0000-0000-000075070000}"/>
    <cellStyle name="20% - Accent2 26 8" xfId="12690" xr:uid="{00000000-0005-0000-0000-000076070000}"/>
    <cellStyle name="20% - Accent2 27" xfId="755" xr:uid="{00000000-0005-0000-0000-000077070000}"/>
    <cellStyle name="20% - Accent2 27 2" xfId="3711" xr:uid="{00000000-0005-0000-0000-000078070000}"/>
    <cellStyle name="20% - Accent2 27 2 2" xfId="11690" xr:uid="{00000000-0005-0000-0000-000079070000}"/>
    <cellStyle name="20% - Accent2 27 2 2 2" xfId="22978" xr:uid="{00000000-0005-0000-0000-00007A070000}"/>
    <cellStyle name="20% - Accent2 27 2 3" xfId="9696" xr:uid="{00000000-0005-0000-0000-00007B070000}"/>
    <cellStyle name="20% - Accent2 27 2 3 2" xfId="20984" xr:uid="{00000000-0005-0000-0000-00007C070000}"/>
    <cellStyle name="20% - Accent2 27 2 4" xfId="7702" xr:uid="{00000000-0005-0000-0000-00007D070000}"/>
    <cellStyle name="20% - Accent2 27 2 4 2" xfId="18990" xr:uid="{00000000-0005-0000-0000-00007E070000}"/>
    <cellStyle name="20% - Accent2 27 2 5" xfId="5708" xr:uid="{00000000-0005-0000-0000-00007F070000}"/>
    <cellStyle name="20% - Accent2 27 2 5 2" xfId="16996" xr:uid="{00000000-0005-0000-0000-000080070000}"/>
    <cellStyle name="20% - Accent2 27 2 6" xfId="15002" xr:uid="{00000000-0005-0000-0000-000081070000}"/>
    <cellStyle name="20% - Accent2 27 3" xfId="10693" xr:uid="{00000000-0005-0000-0000-000082070000}"/>
    <cellStyle name="20% - Accent2 27 3 2" xfId="21981" xr:uid="{00000000-0005-0000-0000-000083070000}"/>
    <cellStyle name="20% - Accent2 27 4" xfId="8699" xr:uid="{00000000-0005-0000-0000-000084070000}"/>
    <cellStyle name="20% - Accent2 27 4 2" xfId="19987" xr:uid="{00000000-0005-0000-0000-000085070000}"/>
    <cellStyle name="20% - Accent2 27 5" xfId="6705" xr:uid="{00000000-0005-0000-0000-000086070000}"/>
    <cellStyle name="20% - Accent2 27 5 2" xfId="17993" xr:uid="{00000000-0005-0000-0000-000087070000}"/>
    <cellStyle name="20% - Accent2 27 6" xfId="4711" xr:uid="{00000000-0005-0000-0000-000088070000}"/>
    <cellStyle name="20% - Accent2 27 6 2" xfId="15999" xr:uid="{00000000-0005-0000-0000-000089070000}"/>
    <cellStyle name="20% - Accent2 27 7" xfId="14005" xr:uid="{00000000-0005-0000-0000-00008A070000}"/>
    <cellStyle name="20% - Accent2 27 8" xfId="12691" xr:uid="{00000000-0005-0000-0000-00008B070000}"/>
    <cellStyle name="20% - Accent2 28" xfId="756" xr:uid="{00000000-0005-0000-0000-00008C070000}"/>
    <cellStyle name="20% - Accent2 28 2" xfId="3712" xr:uid="{00000000-0005-0000-0000-00008D070000}"/>
    <cellStyle name="20% - Accent2 28 2 2" xfId="11691" xr:uid="{00000000-0005-0000-0000-00008E070000}"/>
    <cellStyle name="20% - Accent2 28 2 2 2" xfId="22979" xr:uid="{00000000-0005-0000-0000-00008F070000}"/>
    <cellStyle name="20% - Accent2 28 2 3" xfId="9697" xr:uid="{00000000-0005-0000-0000-000090070000}"/>
    <cellStyle name="20% - Accent2 28 2 3 2" xfId="20985" xr:uid="{00000000-0005-0000-0000-000091070000}"/>
    <cellStyle name="20% - Accent2 28 2 4" xfId="7703" xr:uid="{00000000-0005-0000-0000-000092070000}"/>
    <cellStyle name="20% - Accent2 28 2 4 2" xfId="18991" xr:uid="{00000000-0005-0000-0000-000093070000}"/>
    <cellStyle name="20% - Accent2 28 2 5" xfId="5709" xr:uid="{00000000-0005-0000-0000-000094070000}"/>
    <cellStyle name="20% - Accent2 28 2 5 2" xfId="16997" xr:uid="{00000000-0005-0000-0000-000095070000}"/>
    <cellStyle name="20% - Accent2 28 2 6" xfId="15003" xr:uid="{00000000-0005-0000-0000-000096070000}"/>
    <cellStyle name="20% - Accent2 28 3" xfId="10694" xr:uid="{00000000-0005-0000-0000-000097070000}"/>
    <cellStyle name="20% - Accent2 28 3 2" xfId="21982" xr:uid="{00000000-0005-0000-0000-000098070000}"/>
    <cellStyle name="20% - Accent2 28 4" xfId="8700" xr:uid="{00000000-0005-0000-0000-000099070000}"/>
    <cellStyle name="20% - Accent2 28 4 2" xfId="19988" xr:uid="{00000000-0005-0000-0000-00009A070000}"/>
    <cellStyle name="20% - Accent2 28 5" xfId="6706" xr:uid="{00000000-0005-0000-0000-00009B070000}"/>
    <cellStyle name="20% - Accent2 28 5 2" xfId="17994" xr:uid="{00000000-0005-0000-0000-00009C070000}"/>
    <cellStyle name="20% - Accent2 28 6" xfId="4712" xr:uid="{00000000-0005-0000-0000-00009D070000}"/>
    <cellStyle name="20% - Accent2 28 6 2" xfId="16000" xr:uid="{00000000-0005-0000-0000-00009E070000}"/>
    <cellStyle name="20% - Accent2 28 7" xfId="14006" xr:uid="{00000000-0005-0000-0000-00009F070000}"/>
    <cellStyle name="20% - Accent2 28 8" xfId="12692" xr:uid="{00000000-0005-0000-0000-0000A0070000}"/>
    <cellStyle name="20% - Accent2 29" xfId="757" xr:uid="{00000000-0005-0000-0000-0000A1070000}"/>
    <cellStyle name="20% - Accent2 29 2" xfId="3713" xr:uid="{00000000-0005-0000-0000-0000A2070000}"/>
    <cellStyle name="20% - Accent2 29 2 2" xfId="11692" xr:uid="{00000000-0005-0000-0000-0000A3070000}"/>
    <cellStyle name="20% - Accent2 29 2 2 2" xfId="22980" xr:uid="{00000000-0005-0000-0000-0000A4070000}"/>
    <cellStyle name="20% - Accent2 29 2 3" xfId="9698" xr:uid="{00000000-0005-0000-0000-0000A5070000}"/>
    <cellStyle name="20% - Accent2 29 2 3 2" xfId="20986" xr:uid="{00000000-0005-0000-0000-0000A6070000}"/>
    <cellStyle name="20% - Accent2 29 2 4" xfId="7704" xr:uid="{00000000-0005-0000-0000-0000A7070000}"/>
    <cellStyle name="20% - Accent2 29 2 4 2" xfId="18992" xr:uid="{00000000-0005-0000-0000-0000A8070000}"/>
    <cellStyle name="20% - Accent2 29 2 5" xfId="5710" xr:uid="{00000000-0005-0000-0000-0000A9070000}"/>
    <cellStyle name="20% - Accent2 29 2 5 2" xfId="16998" xr:uid="{00000000-0005-0000-0000-0000AA070000}"/>
    <cellStyle name="20% - Accent2 29 2 6" xfId="15004" xr:uid="{00000000-0005-0000-0000-0000AB070000}"/>
    <cellStyle name="20% - Accent2 29 3" xfId="10695" xr:uid="{00000000-0005-0000-0000-0000AC070000}"/>
    <cellStyle name="20% - Accent2 29 3 2" xfId="21983" xr:uid="{00000000-0005-0000-0000-0000AD070000}"/>
    <cellStyle name="20% - Accent2 29 4" xfId="8701" xr:uid="{00000000-0005-0000-0000-0000AE070000}"/>
    <cellStyle name="20% - Accent2 29 4 2" xfId="19989" xr:uid="{00000000-0005-0000-0000-0000AF070000}"/>
    <cellStyle name="20% - Accent2 29 5" xfId="6707" xr:uid="{00000000-0005-0000-0000-0000B0070000}"/>
    <cellStyle name="20% - Accent2 29 5 2" xfId="17995" xr:uid="{00000000-0005-0000-0000-0000B1070000}"/>
    <cellStyle name="20% - Accent2 29 6" xfId="4713" xr:uid="{00000000-0005-0000-0000-0000B2070000}"/>
    <cellStyle name="20% - Accent2 29 6 2" xfId="16001" xr:uid="{00000000-0005-0000-0000-0000B3070000}"/>
    <cellStyle name="20% - Accent2 29 7" xfId="14007" xr:uid="{00000000-0005-0000-0000-0000B4070000}"/>
    <cellStyle name="20% - Accent2 29 8" xfId="12693" xr:uid="{00000000-0005-0000-0000-0000B5070000}"/>
    <cellStyle name="20% - Accent2 3" xfId="758" xr:uid="{00000000-0005-0000-0000-0000B6070000}"/>
    <cellStyle name="20% - Accent2 3 10" xfId="24566" xr:uid="{00000000-0005-0000-0000-0000B7070000}"/>
    <cellStyle name="20% - Accent2 3 11" xfId="24956" xr:uid="{00000000-0005-0000-0000-0000B8070000}"/>
    <cellStyle name="20% - Accent2 3 2" xfId="3714" xr:uid="{00000000-0005-0000-0000-0000B9070000}"/>
    <cellStyle name="20% - Accent2 3 2 2" xfId="11693" xr:uid="{00000000-0005-0000-0000-0000BA070000}"/>
    <cellStyle name="20% - Accent2 3 2 2 2" xfId="22981" xr:uid="{00000000-0005-0000-0000-0000BB070000}"/>
    <cellStyle name="20% - Accent2 3 2 3" xfId="9699" xr:uid="{00000000-0005-0000-0000-0000BC070000}"/>
    <cellStyle name="20% - Accent2 3 2 3 2" xfId="20987" xr:uid="{00000000-0005-0000-0000-0000BD070000}"/>
    <cellStyle name="20% - Accent2 3 2 4" xfId="7705" xr:uid="{00000000-0005-0000-0000-0000BE070000}"/>
    <cellStyle name="20% - Accent2 3 2 4 2" xfId="18993" xr:uid="{00000000-0005-0000-0000-0000BF070000}"/>
    <cellStyle name="20% - Accent2 3 2 5" xfId="5711" xr:uid="{00000000-0005-0000-0000-0000C0070000}"/>
    <cellStyle name="20% - Accent2 3 2 5 2" xfId="16999" xr:uid="{00000000-0005-0000-0000-0000C1070000}"/>
    <cellStyle name="20% - Accent2 3 2 6" xfId="15005" xr:uid="{00000000-0005-0000-0000-0000C2070000}"/>
    <cellStyle name="20% - Accent2 3 2 7" xfId="24327" xr:uid="{00000000-0005-0000-0000-0000C3070000}"/>
    <cellStyle name="20% - Accent2 3 2 8" xfId="24791" xr:uid="{00000000-0005-0000-0000-0000C4070000}"/>
    <cellStyle name="20% - Accent2 3 2 9" xfId="25158" xr:uid="{00000000-0005-0000-0000-0000C5070000}"/>
    <cellStyle name="20% - Accent2 3 3" xfId="10696" xr:uid="{00000000-0005-0000-0000-0000C6070000}"/>
    <cellStyle name="20% - Accent2 3 3 2" xfId="21984" xr:uid="{00000000-0005-0000-0000-0000C7070000}"/>
    <cellStyle name="20% - Accent2 3 4" xfId="8702" xr:uid="{00000000-0005-0000-0000-0000C8070000}"/>
    <cellStyle name="20% - Accent2 3 4 2" xfId="19990" xr:uid="{00000000-0005-0000-0000-0000C9070000}"/>
    <cellStyle name="20% - Accent2 3 5" xfId="6708" xr:uid="{00000000-0005-0000-0000-0000CA070000}"/>
    <cellStyle name="20% - Accent2 3 5 2" xfId="17996" xr:uid="{00000000-0005-0000-0000-0000CB070000}"/>
    <cellStyle name="20% - Accent2 3 6" xfId="4714" xr:uid="{00000000-0005-0000-0000-0000CC070000}"/>
    <cellStyle name="20% - Accent2 3 6 2" xfId="16002" xr:uid="{00000000-0005-0000-0000-0000CD070000}"/>
    <cellStyle name="20% - Accent2 3 7" xfId="14008" xr:uid="{00000000-0005-0000-0000-0000CE070000}"/>
    <cellStyle name="20% - Accent2 3 8" xfId="12694" xr:uid="{00000000-0005-0000-0000-0000CF070000}"/>
    <cellStyle name="20% - Accent2 3 9" xfId="23939" xr:uid="{00000000-0005-0000-0000-0000D0070000}"/>
    <cellStyle name="20% - Accent2 30" xfId="759" xr:uid="{00000000-0005-0000-0000-0000D1070000}"/>
    <cellStyle name="20% - Accent2 30 2" xfId="3715" xr:uid="{00000000-0005-0000-0000-0000D2070000}"/>
    <cellStyle name="20% - Accent2 30 2 2" xfId="11694" xr:uid="{00000000-0005-0000-0000-0000D3070000}"/>
    <cellStyle name="20% - Accent2 30 2 2 2" xfId="22982" xr:uid="{00000000-0005-0000-0000-0000D4070000}"/>
    <cellStyle name="20% - Accent2 30 2 3" xfId="9700" xr:uid="{00000000-0005-0000-0000-0000D5070000}"/>
    <cellStyle name="20% - Accent2 30 2 3 2" xfId="20988" xr:uid="{00000000-0005-0000-0000-0000D6070000}"/>
    <cellStyle name="20% - Accent2 30 2 4" xfId="7706" xr:uid="{00000000-0005-0000-0000-0000D7070000}"/>
    <cellStyle name="20% - Accent2 30 2 4 2" xfId="18994" xr:uid="{00000000-0005-0000-0000-0000D8070000}"/>
    <cellStyle name="20% - Accent2 30 2 5" xfId="5712" xr:uid="{00000000-0005-0000-0000-0000D9070000}"/>
    <cellStyle name="20% - Accent2 30 2 5 2" xfId="17000" xr:uid="{00000000-0005-0000-0000-0000DA070000}"/>
    <cellStyle name="20% - Accent2 30 2 6" xfId="15006" xr:uid="{00000000-0005-0000-0000-0000DB070000}"/>
    <cellStyle name="20% - Accent2 30 3" xfId="10697" xr:uid="{00000000-0005-0000-0000-0000DC070000}"/>
    <cellStyle name="20% - Accent2 30 3 2" xfId="21985" xr:uid="{00000000-0005-0000-0000-0000DD070000}"/>
    <cellStyle name="20% - Accent2 30 4" xfId="8703" xr:uid="{00000000-0005-0000-0000-0000DE070000}"/>
    <cellStyle name="20% - Accent2 30 4 2" xfId="19991" xr:uid="{00000000-0005-0000-0000-0000DF070000}"/>
    <cellStyle name="20% - Accent2 30 5" xfId="6709" xr:uid="{00000000-0005-0000-0000-0000E0070000}"/>
    <cellStyle name="20% - Accent2 30 5 2" xfId="17997" xr:uid="{00000000-0005-0000-0000-0000E1070000}"/>
    <cellStyle name="20% - Accent2 30 6" xfId="4715" xr:uid="{00000000-0005-0000-0000-0000E2070000}"/>
    <cellStyle name="20% - Accent2 30 6 2" xfId="16003" xr:uid="{00000000-0005-0000-0000-0000E3070000}"/>
    <cellStyle name="20% - Accent2 30 7" xfId="14009" xr:uid="{00000000-0005-0000-0000-0000E4070000}"/>
    <cellStyle name="20% - Accent2 30 8" xfId="12695" xr:uid="{00000000-0005-0000-0000-0000E5070000}"/>
    <cellStyle name="20% - Accent2 31" xfId="760" xr:uid="{00000000-0005-0000-0000-0000E6070000}"/>
    <cellStyle name="20% - Accent2 31 2" xfId="3716" xr:uid="{00000000-0005-0000-0000-0000E7070000}"/>
    <cellStyle name="20% - Accent2 31 2 2" xfId="11695" xr:uid="{00000000-0005-0000-0000-0000E8070000}"/>
    <cellStyle name="20% - Accent2 31 2 2 2" xfId="22983" xr:uid="{00000000-0005-0000-0000-0000E9070000}"/>
    <cellStyle name="20% - Accent2 31 2 3" xfId="9701" xr:uid="{00000000-0005-0000-0000-0000EA070000}"/>
    <cellStyle name="20% - Accent2 31 2 3 2" xfId="20989" xr:uid="{00000000-0005-0000-0000-0000EB070000}"/>
    <cellStyle name="20% - Accent2 31 2 4" xfId="7707" xr:uid="{00000000-0005-0000-0000-0000EC070000}"/>
    <cellStyle name="20% - Accent2 31 2 4 2" xfId="18995" xr:uid="{00000000-0005-0000-0000-0000ED070000}"/>
    <cellStyle name="20% - Accent2 31 2 5" xfId="5713" xr:uid="{00000000-0005-0000-0000-0000EE070000}"/>
    <cellStyle name="20% - Accent2 31 2 5 2" xfId="17001" xr:uid="{00000000-0005-0000-0000-0000EF070000}"/>
    <cellStyle name="20% - Accent2 31 2 6" xfId="15007" xr:uid="{00000000-0005-0000-0000-0000F0070000}"/>
    <cellStyle name="20% - Accent2 31 3" xfId="10698" xr:uid="{00000000-0005-0000-0000-0000F1070000}"/>
    <cellStyle name="20% - Accent2 31 3 2" xfId="21986" xr:uid="{00000000-0005-0000-0000-0000F2070000}"/>
    <cellStyle name="20% - Accent2 31 4" xfId="8704" xr:uid="{00000000-0005-0000-0000-0000F3070000}"/>
    <cellStyle name="20% - Accent2 31 4 2" xfId="19992" xr:uid="{00000000-0005-0000-0000-0000F4070000}"/>
    <cellStyle name="20% - Accent2 31 5" xfId="6710" xr:uid="{00000000-0005-0000-0000-0000F5070000}"/>
    <cellStyle name="20% - Accent2 31 5 2" xfId="17998" xr:uid="{00000000-0005-0000-0000-0000F6070000}"/>
    <cellStyle name="20% - Accent2 31 6" xfId="4716" xr:uid="{00000000-0005-0000-0000-0000F7070000}"/>
    <cellStyle name="20% - Accent2 31 6 2" xfId="16004" xr:uid="{00000000-0005-0000-0000-0000F8070000}"/>
    <cellStyle name="20% - Accent2 31 7" xfId="14010" xr:uid="{00000000-0005-0000-0000-0000F9070000}"/>
    <cellStyle name="20% - Accent2 31 8" xfId="12696" xr:uid="{00000000-0005-0000-0000-0000FA070000}"/>
    <cellStyle name="20% - Accent2 32" xfId="761" xr:uid="{00000000-0005-0000-0000-0000FB070000}"/>
    <cellStyle name="20% - Accent2 32 2" xfId="3717" xr:uid="{00000000-0005-0000-0000-0000FC070000}"/>
    <cellStyle name="20% - Accent2 32 2 2" xfId="11696" xr:uid="{00000000-0005-0000-0000-0000FD070000}"/>
    <cellStyle name="20% - Accent2 32 2 2 2" xfId="22984" xr:uid="{00000000-0005-0000-0000-0000FE070000}"/>
    <cellStyle name="20% - Accent2 32 2 3" xfId="9702" xr:uid="{00000000-0005-0000-0000-0000FF070000}"/>
    <cellStyle name="20% - Accent2 32 2 3 2" xfId="20990" xr:uid="{00000000-0005-0000-0000-000000080000}"/>
    <cellStyle name="20% - Accent2 32 2 4" xfId="7708" xr:uid="{00000000-0005-0000-0000-000001080000}"/>
    <cellStyle name="20% - Accent2 32 2 4 2" xfId="18996" xr:uid="{00000000-0005-0000-0000-000002080000}"/>
    <cellStyle name="20% - Accent2 32 2 5" xfId="5714" xr:uid="{00000000-0005-0000-0000-000003080000}"/>
    <cellStyle name="20% - Accent2 32 2 5 2" xfId="17002" xr:uid="{00000000-0005-0000-0000-000004080000}"/>
    <cellStyle name="20% - Accent2 32 2 6" xfId="15008" xr:uid="{00000000-0005-0000-0000-000005080000}"/>
    <cellStyle name="20% - Accent2 32 3" xfId="10699" xr:uid="{00000000-0005-0000-0000-000006080000}"/>
    <cellStyle name="20% - Accent2 32 3 2" xfId="21987" xr:uid="{00000000-0005-0000-0000-000007080000}"/>
    <cellStyle name="20% - Accent2 32 4" xfId="8705" xr:uid="{00000000-0005-0000-0000-000008080000}"/>
    <cellStyle name="20% - Accent2 32 4 2" xfId="19993" xr:uid="{00000000-0005-0000-0000-000009080000}"/>
    <cellStyle name="20% - Accent2 32 5" xfId="6711" xr:uid="{00000000-0005-0000-0000-00000A080000}"/>
    <cellStyle name="20% - Accent2 32 5 2" xfId="17999" xr:uid="{00000000-0005-0000-0000-00000B080000}"/>
    <cellStyle name="20% - Accent2 32 6" xfId="4717" xr:uid="{00000000-0005-0000-0000-00000C080000}"/>
    <cellStyle name="20% - Accent2 32 6 2" xfId="16005" xr:uid="{00000000-0005-0000-0000-00000D080000}"/>
    <cellStyle name="20% - Accent2 32 7" xfId="14011" xr:uid="{00000000-0005-0000-0000-00000E080000}"/>
    <cellStyle name="20% - Accent2 32 8" xfId="12697" xr:uid="{00000000-0005-0000-0000-00000F080000}"/>
    <cellStyle name="20% - Accent2 33" xfId="762" xr:uid="{00000000-0005-0000-0000-000010080000}"/>
    <cellStyle name="20% - Accent2 33 2" xfId="3718" xr:uid="{00000000-0005-0000-0000-000011080000}"/>
    <cellStyle name="20% - Accent2 33 2 2" xfId="11697" xr:uid="{00000000-0005-0000-0000-000012080000}"/>
    <cellStyle name="20% - Accent2 33 2 2 2" xfId="22985" xr:uid="{00000000-0005-0000-0000-000013080000}"/>
    <cellStyle name="20% - Accent2 33 2 3" xfId="9703" xr:uid="{00000000-0005-0000-0000-000014080000}"/>
    <cellStyle name="20% - Accent2 33 2 3 2" xfId="20991" xr:uid="{00000000-0005-0000-0000-000015080000}"/>
    <cellStyle name="20% - Accent2 33 2 4" xfId="7709" xr:uid="{00000000-0005-0000-0000-000016080000}"/>
    <cellStyle name="20% - Accent2 33 2 4 2" xfId="18997" xr:uid="{00000000-0005-0000-0000-000017080000}"/>
    <cellStyle name="20% - Accent2 33 2 5" xfId="5715" xr:uid="{00000000-0005-0000-0000-000018080000}"/>
    <cellStyle name="20% - Accent2 33 2 5 2" xfId="17003" xr:uid="{00000000-0005-0000-0000-000019080000}"/>
    <cellStyle name="20% - Accent2 33 2 6" xfId="15009" xr:uid="{00000000-0005-0000-0000-00001A080000}"/>
    <cellStyle name="20% - Accent2 33 3" xfId="10700" xr:uid="{00000000-0005-0000-0000-00001B080000}"/>
    <cellStyle name="20% - Accent2 33 3 2" xfId="21988" xr:uid="{00000000-0005-0000-0000-00001C080000}"/>
    <cellStyle name="20% - Accent2 33 4" xfId="8706" xr:uid="{00000000-0005-0000-0000-00001D080000}"/>
    <cellStyle name="20% - Accent2 33 4 2" xfId="19994" xr:uid="{00000000-0005-0000-0000-00001E080000}"/>
    <cellStyle name="20% - Accent2 33 5" xfId="6712" xr:uid="{00000000-0005-0000-0000-00001F080000}"/>
    <cellStyle name="20% - Accent2 33 5 2" xfId="18000" xr:uid="{00000000-0005-0000-0000-000020080000}"/>
    <cellStyle name="20% - Accent2 33 6" xfId="4718" xr:uid="{00000000-0005-0000-0000-000021080000}"/>
    <cellStyle name="20% - Accent2 33 6 2" xfId="16006" xr:uid="{00000000-0005-0000-0000-000022080000}"/>
    <cellStyle name="20% - Accent2 33 7" xfId="14012" xr:uid="{00000000-0005-0000-0000-000023080000}"/>
    <cellStyle name="20% - Accent2 33 8" xfId="12698" xr:uid="{00000000-0005-0000-0000-000024080000}"/>
    <cellStyle name="20% - Accent2 34" xfId="763" xr:uid="{00000000-0005-0000-0000-000025080000}"/>
    <cellStyle name="20% - Accent2 34 2" xfId="3719" xr:uid="{00000000-0005-0000-0000-000026080000}"/>
    <cellStyle name="20% - Accent2 34 2 2" xfId="11698" xr:uid="{00000000-0005-0000-0000-000027080000}"/>
    <cellStyle name="20% - Accent2 34 2 2 2" xfId="22986" xr:uid="{00000000-0005-0000-0000-000028080000}"/>
    <cellStyle name="20% - Accent2 34 2 3" xfId="9704" xr:uid="{00000000-0005-0000-0000-000029080000}"/>
    <cellStyle name="20% - Accent2 34 2 3 2" xfId="20992" xr:uid="{00000000-0005-0000-0000-00002A080000}"/>
    <cellStyle name="20% - Accent2 34 2 4" xfId="7710" xr:uid="{00000000-0005-0000-0000-00002B080000}"/>
    <cellStyle name="20% - Accent2 34 2 4 2" xfId="18998" xr:uid="{00000000-0005-0000-0000-00002C080000}"/>
    <cellStyle name="20% - Accent2 34 2 5" xfId="5716" xr:uid="{00000000-0005-0000-0000-00002D080000}"/>
    <cellStyle name="20% - Accent2 34 2 5 2" xfId="17004" xr:uid="{00000000-0005-0000-0000-00002E080000}"/>
    <cellStyle name="20% - Accent2 34 2 6" xfId="15010" xr:uid="{00000000-0005-0000-0000-00002F080000}"/>
    <cellStyle name="20% - Accent2 34 3" xfId="10701" xr:uid="{00000000-0005-0000-0000-000030080000}"/>
    <cellStyle name="20% - Accent2 34 3 2" xfId="21989" xr:uid="{00000000-0005-0000-0000-000031080000}"/>
    <cellStyle name="20% - Accent2 34 4" xfId="8707" xr:uid="{00000000-0005-0000-0000-000032080000}"/>
    <cellStyle name="20% - Accent2 34 4 2" xfId="19995" xr:uid="{00000000-0005-0000-0000-000033080000}"/>
    <cellStyle name="20% - Accent2 34 5" xfId="6713" xr:uid="{00000000-0005-0000-0000-000034080000}"/>
    <cellStyle name="20% - Accent2 34 5 2" xfId="18001" xr:uid="{00000000-0005-0000-0000-000035080000}"/>
    <cellStyle name="20% - Accent2 34 6" xfId="4719" xr:uid="{00000000-0005-0000-0000-000036080000}"/>
    <cellStyle name="20% - Accent2 34 6 2" xfId="16007" xr:uid="{00000000-0005-0000-0000-000037080000}"/>
    <cellStyle name="20% - Accent2 34 7" xfId="14013" xr:uid="{00000000-0005-0000-0000-000038080000}"/>
    <cellStyle name="20% - Accent2 34 8" xfId="12699" xr:uid="{00000000-0005-0000-0000-000039080000}"/>
    <cellStyle name="20% - Accent2 35" xfId="764" xr:uid="{00000000-0005-0000-0000-00003A080000}"/>
    <cellStyle name="20% - Accent2 35 2" xfId="3720" xr:uid="{00000000-0005-0000-0000-00003B080000}"/>
    <cellStyle name="20% - Accent2 35 2 2" xfId="11699" xr:uid="{00000000-0005-0000-0000-00003C080000}"/>
    <cellStyle name="20% - Accent2 35 2 2 2" xfId="22987" xr:uid="{00000000-0005-0000-0000-00003D080000}"/>
    <cellStyle name="20% - Accent2 35 2 3" xfId="9705" xr:uid="{00000000-0005-0000-0000-00003E080000}"/>
    <cellStyle name="20% - Accent2 35 2 3 2" xfId="20993" xr:uid="{00000000-0005-0000-0000-00003F080000}"/>
    <cellStyle name="20% - Accent2 35 2 4" xfId="7711" xr:uid="{00000000-0005-0000-0000-000040080000}"/>
    <cellStyle name="20% - Accent2 35 2 4 2" xfId="18999" xr:uid="{00000000-0005-0000-0000-000041080000}"/>
    <cellStyle name="20% - Accent2 35 2 5" xfId="5717" xr:uid="{00000000-0005-0000-0000-000042080000}"/>
    <cellStyle name="20% - Accent2 35 2 5 2" xfId="17005" xr:uid="{00000000-0005-0000-0000-000043080000}"/>
    <cellStyle name="20% - Accent2 35 2 6" xfId="15011" xr:uid="{00000000-0005-0000-0000-000044080000}"/>
    <cellStyle name="20% - Accent2 35 3" xfId="10702" xr:uid="{00000000-0005-0000-0000-000045080000}"/>
    <cellStyle name="20% - Accent2 35 3 2" xfId="21990" xr:uid="{00000000-0005-0000-0000-000046080000}"/>
    <cellStyle name="20% - Accent2 35 4" xfId="8708" xr:uid="{00000000-0005-0000-0000-000047080000}"/>
    <cellStyle name="20% - Accent2 35 4 2" xfId="19996" xr:uid="{00000000-0005-0000-0000-000048080000}"/>
    <cellStyle name="20% - Accent2 35 5" xfId="6714" xr:uid="{00000000-0005-0000-0000-000049080000}"/>
    <cellStyle name="20% - Accent2 35 5 2" xfId="18002" xr:uid="{00000000-0005-0000-0000-00004A080000}"/>
    <cellStyle name="20% - Accent2 35 6" xfId="4720" xr:uid="{00000000-0005-0000-0000-00004B080000}"/>
    <cellStyle name="20% - Accent2 35 6 2" xfId="16008" xr:uid="{00000000-0005-0000-0000-00004C080000}"/>
    <cellStyle name="20% - Accent2 35 7" xfId="14014" xr:uid="{00000000-0005-0000-0000-00004D080000}"/>
    <cellStyle name="20% - Accent2 35 8" xfId="12700" xr:uid="{00000000-0005-0000-0000-00004E080000}"/>
    <cellStyle name="20% - Accent2 36" xfId="765" xr:uid="{00000000-0005-0000-0000-00004F080000}"/>
    <cellStyle name="20% - Accent2 36 2" xfId="3721" xr:uid="{00000000-0005-0000-0000-000050080000}"/>
    <cellStyle name="20% - Accent2 36 2 2" xfId="11700" xr:uid="{00000000-0005-0000-0000-000051080000}"/>
    <cellStyle name="20% - Accent2 36 2 2 2" xfId="22988" xr:uid="{00000000-0005-0000-0000-000052080000}"/>
    <cellStyle name="20% - Accent2 36 2 3" xfId="9706" xr:uid="{00000000-0005-0000-0000-000053080000}"/>
    <cellStyle name="20% - Accent2 36 2 3 2" xfId="20994" xr:uid="{00000000-0005-0000-0000-000054080000}"/>
    <cellStyle name="20% - Accent2 36 2 4" xfId="7712" xr:uid="{00000000-0005-0000-0000-000055080000}"/>
    <cellStyle name="20% - Accent2 36 2 4 2" xfId="19000" xr:uid="{00000000-0005-0000-0000-000056080000}"/>
    <cellStyle name="20% - Accent2 36 2 5" xfId="5718" xr:uid="{00000000-0005-0000-0000-000057080000}"/>
    <cellStyle name="20% - Accent2 36 2 5 2" xfId="17006" xr:uid="{00000000-0005-0000-0000-000058080000}"/>
    <cellStyle name="20% - Accent2 36 2 6" xfId="15012" xr:uid="{00000000-0005-0000-0000-000059080000}"/>
    <cellStyle name="20% - Accent2 36 3" xfId="10703" xr:uid="{00000000-0005-0000-0000-00005A080000}"/>
    <cellStyle name="20% - Accent2 36 3 2" xfId="21991" xr:uid="{00000000-0005-0000-0000-00005B080000}"/>
    <cellStyle name="20% - Accent2 36 4" xfId="8709" xr:uid="{00000000-0005-0000-0000-00005C080000}"/>
    <cellStyle name="20% - Accent2 36 4 2" xfId="19997" xr:uid="{00000000-0005-0000-0000-00005D080000}"/>
    <cellStyle name="20% - Accent2 36 5" xfId="6715" xr:uid="{00000000-0005-0000-0000-00005E080000}"/>
    <cellStyle name="20% - Accent2 36 5 2" xfId="18003" xr:uid="{00000000-0005-0000-0000-00005F080000}"/>
    <cellStyle name="20% - Accent2 36 6" xfId="4721" xr:uid="{00000000-0005-0000-0000-000060080000}"/>
    <cellStyle name="20% - Accent2 36 6 2" xfId="16009" xr:uid="{00000000-0005-0000-0000-000061080000}"/>
    <cellStyle name="20% - Accent2 36 7" xfId="14015" xr:uid="{00000000-0005-0000-0000-000062080000}"/>
    <cellStyle name="20% - Accent2 36 8" xfId="12701" xr:uid="{00000000-0005-0000-0000-000063080000}"/>
    <cellStyle name="20% - Accent2 37" xfId="766" xr:uid="{00000000-0005-0000-0000-000064080000}"/>
    <cellStyle name="20% - Accent2 37 2" xfId="3722" xr:uid="{00000000-0005-0000-0000-000065080000}"/>
    <cellStyle name="20% - Accent2 37 2 2" xfId="11701" xr:uid="{00000000-0005-0000-0000-000066080000}"/>
    <cellStyle name="20% - Accent2 37 2 2 2" xfId="22989" xr:uid="{00000000-0005-0000-0000-000067080000}"/>
    <cellStyle name="20% - Accent2 37 2 3" xfId="9707" xr:uid="{00000000-0005-0000-0000-000068080000}"/>
    <cellStyle name="20% - Accent2 37 2 3 2" xfId="20995" xr:uid="{00000000-0005-0000-0000-000069080000}"/>
    <cellStyle name="20% - Accent2 37 2 4" xfId="7713" xr:uid="{00000000-0005-0000-0000-00006A080000}"/>
    <cellStyle name="20% - Accent2 37 2 4 2" xfId="19001" xr:uid="{00000000-0005-0000-0000-00006B080000}"/>
    <cellStyle name="20% - Accent2 37 2 5" xfId="5719" xr:uid="{00000000-0005-0000-0000-00006C080000}"/>
    <cellStyle name="20% - Accent2 37 2 5 2" xfId="17007" xr:uid="{00000000-0005-0000-0000-00006D080000}"/>
    <cellStyle name="20% - Accent2 37 2 6" xfId="15013" xr:uid="{00000000-0005-0000-0000-00006E080000}"/>
    <cellStyle name="20% - Accent2 37 3" xfId="10704" xr:uid="{00000000-0005-0000-0000-00006F080000}"/>
    <cellStyle name="20% - Accent2 37 3 2" xfId="21992" xr:uid="{00000000-0005-0000-0000-000070080000}"/>
    <cellStyle name="20% - Accent2 37 4" xfId="8710" xr:uid="{00000000-0005-0000-0000-000071080000}"/>
    <cellStyle name="20% - Accent2 37 4 2" xfId="19998" xr:uid="{00000000-0005-0000-0000-000072080000}"/>
    <cellStyle name="20% - Accent2 37 5" xfId="6716" xr:uid="{00000000-0005-0000-0000-000073080000}"/>
    <cellStyle name="20% - Accent2 37 5 2" xfId="18004" xr:uid="{00000000-0005-0000-0000-000074080000}"/>
    <cellStyle name="20% - Accent2 37 6" xfId="4722" xr:uid="{00000000-0005-0000-0000-000075080000}"/>
    <cellStyle name="20% - Accent2 37 6 2" xfId="16010" xr:uid="{00000000-0005-0000-0000-000076080000}"/>
    <cellStyle name="20% - Accent2 37 7" xfId="14016" xr:uid="{00000000-0005-0000-0000-000077080000}"/>
    <cellStyle name="20% - Accent2 37 8" xfId="12702" xr:uid="{00000000-0005-0000-0000-000078080000}"/>
    <cellStyle name="20% - Accent2 38" xfId="767" xr:uid="{00000000-0005-0000-0000-000079080000}"/>
    <cellStyle name="20% - Accent2 38 2" xfId="3723" xr:uid="{00000000-0005-0000-0000-00007A080000}"/>
    <cellStyle name="20% - Accent2 38 2 2" xfId="11702" xr:uid="{00000000-0005-0000-0000-00007B080000}"/>
    <cellStyle name="20% - Accent2 38 2 2 2" xfId="22990" xr:uid="{00000000-0005-0000-0000-00007C080000}"/>
    <cellStyle name="20% - Accent2 38 2 3" xfId="9708" xr:uid="{00000000-0005-0000-0000-00007D080000}"/>
    <cellStyle name="20% - Accent2 38 2 3 2" xfId="20996" xr:uid="{00000000-0005-0000-0000-00007E080000}"/>
    <cellStyle name="20% - Accent2 38 2 4" xfId="7714" xr:uid="{00000000-0005-0000-0000-00007F080000}"/>
    <cellStyle name="20% - Accent2 38 2 4 2" xfId="19002" xr:uid="{00000000-0005-0000-0000-000080080000}"/>
    <cellStyle name="20% - Accent2 38 2 5" xfId="5720" xr:uid="{00000000-0005-0000-0000-000081080000}"/>
    <cellStyle name="20% - Accent2 38 2 5 2" xfId="17008" xr:uid="{00000000-0005-0000-0000-000082080000}"/>
    <cellStyle name="20% - Accent2 38 2 6" xfId="15014" xr:uid="{00000000-0005-0000-0000-000083080000}"/>
    <cellStyle name="20% - Accent2 38 3" xfId="10705" xr:uid="{00000000-0005-0000-0000-000084080000}"/>
    <cellStyle name="20% - Accent2 38 3 2" xfId="21993" xr:uid="{00000000-0005-0000-0000-000085080000}"/>
    <cellStyle name="20% - Accent2 38 4" xfId="8711" xr:uid="{00000000-0005-0000-0000-000086080000}"/>
    <cellStyle name="20% - Accent2 38 4 2" xfId="19999" xr:uid="{00000000-0005-0000-0000-000087080000}"/>
    <cellStyle name="20% - Accent2 38 5" xfId="6717" xr:uid="{00000000-0005-0000-0000-000088080000}"/>
    <cellStyle name="20% - Accent2 38 5 2" xfId="18005" xr:uid="{00000000-0005-0000-0000-000089080000}"/>
    <cellStyle name="20% - Accent2 38 6" xfId="4723" xr:uid="{00000000-0005-0000-0000-00008A080000}"/>
    <cellStyle name="20% - Accent2 38 6 2" xfId="16011" xr:uid="{00000000-0005-0000-0000-00008B080000}"/>
    <cellStyle name="20% - Accent2 38 7" xfId="14017" xr:uid="{00000000-0005-0000-0000-00008C080000}"/>
    <cellStyle name="20% - Accent2 38 8" xfId="12703" xr:uid="{00000000-0005-0000-0000-00008D080000}"/>
    <cellStyle name="20% - Accent2 39" xfId="768" xr:uid="{00000000-0005-0000-0000-00008E080000}"/>
    <cellStyle name="20% - Accent2 39 2" xfId="3724" xr:uid="{00000000-0005-0000-0000-00008F080000}"/>
    <cellStyle name="20% - Accent2 39 2 2" xfId="11703" xr:uid="{00000000-0005-0000-0000-000090080000}"/>
    <cellStyle name="20% - Accent2 39 2 2 2" xfId="22991" xr:uid="{00000000-0005-0000-0000-000091080000}"/>
    <cellStyle name="20% - Accent2 39 2 3" xfId="9709" xr:uid="{00000000-0005-0000-0000-000092080000}"/>
    <cellStyle name="20% - Accent2 39 2 3 2" xfId="20997" xr:uid="{00000000-0005-0000-0000-000093080000}"/>
    <cellStyle name="20% - Accent2 39 2 4" xfId="7715" xr:uid="{00000000-0005-0000-0000-000094080000}"/>
    <cellStyle name="20% - Accent2 39 2 4 2" xfId="19003" xr:uid="{00000000-0005-0000-0000-000095080000}"/>
    <cellStyle name="20% - Accent2 39 2 5" xfId="5721" xr:uid="{00000000-0005-0000-0000-000096080000}"/>
    <cellStyle name="20% - Accent2 39 2 5 2" xfId="17009" xr:uid="{00000000-0005-0000-0000-000097080000}"/>
    <cellStyle name="20% - Accent2 39 2 6" xfId="15015" xr:uid="{00000000-0005-0000-0000-000098080000}"/>
    <cellStyle name="20% - Accent2 39 3" xfId="10706" xr:uid="{00000000-0005-0000-0000-000099080000}"/>
    <cellStyle name="20% - Accent2 39 3 2" xfId="21994" xr:uid="{00000000-0005-0000-0000-00009A080000}"/>
    <cellStyle name="20% - Accent2 39 4" xfId="8712" xr:uid="{00000000-0005-0000-0000-00009B080000}"/>
    <cellStyle name="20% - Accent2 39 4 2" xfId="20000" xr:uid="{00000000-0005-0000-0000-00009C080000}"/>
    <cellStyle name="20% - Accent2 39 5" xfId="6718" xr:uid="{00000000-0005-0000-0000-00009D080000}"/>
    <cellStyle name="20% - Accent2 39 5 2" xfId="18006" xr:uid="{00000000-0005-0000-0000-00009E080000}"/>
    <cellStyle name="20% - Accent2 39 6" xfId="4724" xr:uid="{00000000-0005-0000-0000-00009F080000}"/>
    <cellStyle name="20% - Accent2 39 6 2" xfId="16012" xr:uid="{00000000-0005-0000-0000-0000A0080000}"/>
    <cellStyle name="20% - Accent2 39 7" xfId="14018" xr:uid="{00000000-0005-0000-0000-0000A1080000}"/>
    <cellStyle name="20% - Accent2 39 8" xfId="12704" xr:uid="{00000000-0005-0000-0000-0000A2080000}"/>
    <cellStyle name="20% - Accent2 4" xfId="769" xr:uid="{00000000-0005-0000-0000-0000A3080000}"/>
    <cellStyle name="20% - Accent2 4 10" xfId="24567" xr:uid="{00000000-0005-0000-0000-0000A4080000}"/>
    <cellStyle name="20% - Accent2 4 11" xfId="24957" xr:uid="{00000000-0005-0000-0000-0000A5080000}"/>
    <cellStyle name="20% - Accent2 4 2" xfId="3725" xr:uid="{00000000-0005-0000-0000-0000A6080000}"/>
    <cellStyle name="20% - Accent2 4 2 2" xfId="11704" xr:uid="{00000000-0005-0000-0000-0000A7080000}"/>
    <cellStyle name="20% - Accent2 4 2 2 2" xfId="22992" xr:uid="{00000000-0005-0000-0000-0000A8080000}"/>
    <cellStyle name="20% - Accent2 4 2 3" xfId="9710" xr:uid="{00000000-0005-0000-0000-0000A9080000}"/>
    <cellStyle name="20% - Accent2 4 2 3 2" xfId="20998" xr:uid="{00000000-0005-0000-0000-0000AA080000}"/>
    <cellStyle name="20% - Accent2 4 2 4" xfId="7716" xr:uid="{00000000-0005-0000-0000-0000AB080000}"/>
    <cellStyle name="20% - Accent2 4 2 4 2" xfId="19004" xr:uid="{00000000-0005-0000-0000-0000AC080000}"/>
    <cellStyle name="20% - Accent2 4 2 5" xfId="5722" xr:uid="{00000000-0005-0000-0000-0000AD080000}"/>
    <cellStyle name="20% - Accent2 4 2 5 2" xfId="17010" xr:uid="{00000000-0005-0000-0000-0000AE080000}"/>
    <cellStyle name="20% - Accent2 4 2 6" xfId="15016" xr:uid="{00000000-0005-0000-0000-0000AF080000}"/>
    <cellStyle name="20% - Accent2 4 2 7" xfId="24328" xr:uid="{00000000-0005-0000-0000-0000B0080000}"/>
    <cellStyle name="20% - Accent2 4 2 8" xfId="24792" xr:uid="{00000000-0005-0000-0000-0000B1080000}"/>
    <cellStyle name="20% - Accent2 4 2 9" xfId="25159" xr:uid="{00000000-0005-0000-0000-0000B2080000}"/>
    <cellStyle name="20% - Accent2 4 3" xfId="10707" xr:uid="{00000000-0005-0000-0000-0000B3080000}"/>
    <cellStyle name="20% - Accent2 4 3 2" xfId="21995" xr:uid="{00000000-0005-0000-0000-0000B4080000}"/>
    <cellStyle name="20% - Accent2 4 4" xfId="8713" xr:uid="{00000000-0005-0000-0000-0000B5080000}"/>
    <cellStyle name="20% - Accent2 4 4 2" xfId="20001" xr:uid="{00000000-0005-0000-0000-0000B6080000}"/>
    <cellStyle name="20% - Accent2 4 5" xfId="6719" xr:uid="{00000000-0005-0000-0000-0000B7080000}"/>
    <cellStyle name="20% - Accent2 4 5 2" xfId="18007" xr:uid="{00000000-0005-0000-0000-0000B8080000}"/>
    <cellStyle name="20% - Accent2 4 6" xfId="4725" xr:uid="{00000000-0005-0000-0000-0000B9080000}"/>
    <cellStyle name="20% - Accent2 4 6 2" xfId="16013" xr:uid="{00000000-0005-0000-0000-0000BA080000}"/>
    <cellStyle name="20% - Accent2 4 7" xfId="14019" xr:uid="{00000000-0005-0000-0000-0000BB080000}"/>
    <cellStyle name="20% - Accent2 4 8" xfId="12705" xr:uid="{00000000-0005-0000-0000-0000BC080000}"/>
    <cellStyle name="20% - Accent2 4 9" xfId="23940" xr:uid="{00000000-0005-0000-0000-0000BD080000}"/>
    <cellStyle name="20% - Accent2 40" xfId="770" xr:uid="{00000000-0005-0000-0000-0000BE080000}"/>
    <cellStyle name="20% - Accent2 40 2" xfId="3726" xr:uid="{00000000-0005-0000-0000-0000BF080000}"/>
    <cellStyle name="20% - Accent2 40 2 2" xfId="11705" xr:uid="{00000000-0005-0000-0000-0000C0080000}"/>
    <cellStyle name="20% - Accent2 40 2 2 2" xfId="22993" xr:uid="{00000000-0005-0000-0000-0000C1080000}"/>
    <cellStyle name="20% - Accent2 40 2 3" xfId="9711" xr:uid="{00000000-0005-0000-0000-0000C2080000}"/>
    <cellStyle name="20% - Accent2 40 2 3 2" xfId="20999" xr:uid="{00000000-0005-0000-0000-0000C3080000}"/>
    <cellStyle name="20% - Accent2 40 2 4" xfId="7717" xr:uid="{00000000-0005-0000-0000-0000C4080000}"/>
    <cellStyle name="20% - Accent2 40 2 4 2" xfId="19005" xr:uid="{00000000-0005-0000-0000-0000C5080000}"/>
    <cellStyle name="20% - Accent2 40 2 5" xfId="5723" xr:uid="{00000000-0005-0000-0000-0000C6080000}"/>
    <cellStyle name="20% - Accent2 40 2 5 2" xfId="17011" xr:uid="{00000000-0005-0000-0000-0000C7080000}"/>
    <cellStyle name="20% - Accent2 40 2 6" xfId="15017" xr:uid="{00000000-0005-0000-0000-0000C8080000}"/>
    <cellStyle name="20% - Accent2 40 3" xfId="10708" xr:uid="{00000000-0005-0000-0000-0000C9080000}"/>
    <cellStyle name="20% - Accent2 40 3 2" xfId="21996" xr:uid="{00000000-0005-0000-0000-0000CA080000}"/>
    <cellStyle name="20% - Accent2 40 4" xfId="8714" xr:uid="{00000000-0005-0000-0000-0000CB080000}"/>
    <cellStyle name="20% - Accent2 40 4 2" xfId="20002" xr:uid="{00000000-0005-0000-0000-0000CC080000}"/>
    <cellStyle name="20% - Accent2 40 5" xfId="6720" xr:uid="{00000000-0005-0000-0000-0000CD080000}"/>
    <cellStyle name="20% - Accent2 40 5 2" xfId="18008" xr:uid="{00000000-0005-0000-0000-0000CE080000}"/>
    <cellStyle name="20% - Accent2 40 6" xfId="4726" xr:uid="{00000000-0005-0000-0000-0000CF080000}"/>
    <cellStyle name="20% - Accent2 40 6 2" xfId="16014" xr:uid="{00000000-0005-0000-0000-0000D0080000}"/>
    <cellStyle name="20% - Accent2 40 7" xfId="14020" xr:uid="{00000000-0005-0000-0000-0000D1080000}"/>
    <cellStyle name="20% - Accent2 40 8" xfId="12706" xr:uid="{00000000-0005-0000-0000-0000D2080000}"/>
    <cellStyle name="20% - Accent2 41" xfId="771" xr:uid="{00000000-0005-0000-0000-0000D3080000}"/>
    <cellStyle name="20% - Accent2 41 2" xfId="3727" xr:uid="{00000000-0005-0000-0000-0000D4080000}"/>
    <cellStyle name="20% - Accent2 41 2 2" xfId="11706" xr:uid="{00000000-0005-0000-0000-0000D5080000}"/>
    <cellStyle name="20% - Accent2 41 2 2 2" xfId="22994" xr:uid="{00000000-0005-0000-0000-0000D6080000}"/>
    <cellStyle name="20% - Accent2 41 2 3" xfId="9712" xr:uid="{00000000-0005-0000-0000-0000D7080000}"/>
    <cellStyle name="20% - Accent2 41 2 3 2" xfId="21000" xr:uid="{00000000-0005-0000-0000-0000D8080000}"/>
    <cellStyle name="20% - Accent2 41 2 4" xfId="7718" xr:uid="{00000000-0005-0000-0000-0000D9080000}"/>
    <cellStyle name="20% - Accent2 41 2 4 2" xfId="19006" xr:uid="{00000000-0005-0000-0000-0000DA080000}"/>
    <cellStyle name="20% - Accent2 41 2 5" xfId="5724" xr:uid="{00000000-0005-0000-0000-0000DB080000}"/>
    <cellStyle name="20% - Accent2 41 2 5 2" xfId="17012" xr:uid="{00000000-0005-0000-0000-0000DC080000}"/>
    <cellStyle name="20% - Accent2 41 2 6" xfId="15018" xr:uid="{00000000-0005-0000-0000-0000DD080000}"/>
    <cellStyle name="20% - Accent2 41 3" xfId="10709" xr:uid="{00000000-0005-0000-0000-0000DE080000}"/>
    <cellStyle name="20% - Accent2 41 3 2" xfId="21997" xr:uid="{00000000-0005-0000-0000-0000DF080000}"/>
    <cellStyle name="20% - Accent2 41 4" xfId="8715" xr:uid="{00000000-0005-0000-0000-0000E0080000}"/>
    <cellStyle name="20% - Accent2 41 4 2" xfId="20003" xr:uid="{00000000-0005-0000-0000-0000E1080000}"/>
    <cellStyle name="20% - Accent2 41 5" xfId="6721" xr:uid="{00000000-0005-0000-0000-0000E2080000}"/>
    <cellStyle name="20% - Accent2 41 5 2" xfId="18009" xr:uid="{00000000-0005-0000-0000-0000E3080000}"/>
    <cellStyle name="20% - Accent2 41 6" xfId="4727" xr:uid="{00000000-0005-0000-0000-0000E4080000}"/>
    <cellStyle name="20% - Accent2 41 6 2" xfId="16015" xr:uid="{00000000-0005-0000-0000-0000E5080000}"/>
    <cellStyle name="20% - Accent2 41 7" xfId="14021" xr:uid="{00000000-0005-0000-0000-0000E6080000}"/>
    <cellStyle name="20% - Accent2 41 8" xfId="12707" xr:uid="{00000000-0005-0000-0000-0000E7080000}"/>
    <cellStyle name="20% - Accent2 42" xfId="772" xr:uid="{00000000-0005-0000-0000-0000E8080000}"/>
    <cellStyle name="20% - Accent2 42 2" xfId="3728" xr:uid="{00000000-0005-0000-0000-0000E9080000}"/>
    <cellStyle name="20% - Accent2 42 2 2" xfId="11707" xr:uid="{00000000-0005-0000-0000-0000EA080000}"/>
    <cellStyle name="20% - Accent2 42 2 2 2" xfId="22995" xr:uid="{00000000-0005-0000-0000-0000EB080000}"/>
    <cellStyle name="20% - Accent2 42 2 3" xfId="9713" xr:uid="{00000000-0005-0000-0000-0000EC080000}"/>
    <cellStyle name="20% - Accent2 42 2 3 2" xfId="21001" xr:uid="{00000000-0005-0000-0000-0000ED080000}"/>
    <cellStyle name="20% - Accent2 42 2 4" xfId="7719" xr:uid="{00000000-0005-0000-0000-0000EE080000}"/>
    <cellStyle name="20% - Accent2 42 2 4 2" xfId="19007" xr:uid="{00000000-0005-0000-0000-0000EF080000}"/>
    <cellStyle name="20% - Accent2 42 2 5" xfId="5725" xr:uid="{00000000-0005-0000-0000-0000F0080000}"/>
    <cellStyle name="20% - Accent2 42 2 5 2" xfId="17013" xr:uid="{00000000-0005-0000-0000-0000F1080000}"/>
    <cellStyle name="20% - Accent2 42 2 6" xfId="15019" xr:uid="{00000000-0005-0000-0000-0000F2080000}"/>
    <cellStyle name="20% - Accent2 42 3" xfId="10710" xr:uid="{00000000-0005-0000-0000-0000F3080000}"/>
    <cellStyle name="20% - Accent2 42 3 2" xfId="21998" xr:uid="{00000000-0005-0000-0000-0000F4080000}"/>
    <cellStyle name="20% - Accent2 42 4" xfId="8716" xr:uid="{00000000-0005-0000-0000-0000F5080000}"/>
    <cellStyle name="20% - Accent2 42 4 2" xfId="20004" xr:uid="{00000000-0005-0000-0000-0000F6080000}"/>
    <cellStyle name="20% - Accent2 42 5" xfId="6722" xr:uid="{00000000-0005-0000-0000-0000F7080000}"/>
    <cellStyle name="20% - Accent2 42 5 2" xfId="18010" xr:uid="{00000000-0005-0000-0000-0000F8080000}"/>
    <cellStyle name="20% - Accent2 42 6" xfId="4728" xr:uid="{00000000-0005-0000-0000-0000F9080000}"/>
    <cellStyle name="20% - Accent2 42 6 2" xfId="16016" xr:uid="{00000000-0005-0000-0000-0000FA080000}"/>
    <cellStyle name="20% - Accent2 42 7" xfId="14022" xr:uid="{00000000-0005-0000-0000-0000FB080000}"/>
    <cellStyle name="20% - Accent2 42 8" xfId="12708" xr:uid="{00000000-0005-0000-0000-0000FC080000}"/>
    <cellStyle name="20% - Accent2 43" xfId="773" xr:uid="{00000000-0005-0000-0000-0000FD080000}"/>
    <cellStyle name="20% - Accent2 43 2" xfId="3729" xr:uid="{00000000-0005-0000-0000-0000FE080000}"/>
    <cellStyle name="20% - Accent2 43 2 2" xfId="11708" xr:uid="{00000000-0005-0000-0000-0000FF080000}"/>
    <cellStyle name="20% - Accent2 43 2 2 2" xfId="22996" xr:uid="{00000000-0005-0000-0000-000000090000}"/>
    <cellStyle name="20% - Accent2 43 2 3" xfId="9714" xr:uid="{00000000-0005-0000-0000-000001090000}"/>
    <cellStyle name="20% - Accent2 43 2 3 2" xfId="21002" xr:uid="{00000000-0005-0000-0000-000002090000}"/>
    <cellStyle name="20% - Accent2 43 2 4" xfId="7720" xr:uid="{00000000-0005-0000-0000-000003090000}"/>
    <cellStyle name="20% - Accent2 43 2 4 2" xfId="19008" xr:uid="{00000000-0005-0000-0000-000004090000}"/>
    <cellStyle name="20% - Accent2 43 2 5" xfId="5726" xr:uid="{00000000-0005-0000-0000-000005090000}"/>
    <cellStyle name="20% - Accent2 43 2 5 2" xfId="17014" xr:uid="{00000000-0005-0000-0000-000006090000}"/>
    <cellStyle name="20% - Accent2 43 2 6" xfId="15020" xr:uid="{00000000-0005-0000-0000-000007090000}"/>
    <cellStyle name="20% - Accent2 43 3" xfId="10711" xr:uid="{00000000-0005-0000-0000-000008090000}"/>
    <cellStyle name="20% - Accent2 43 3 2" xfId="21999" xr:uid="{00000000-0005-0000-0000-000009090000}"/>
    <cellStyle name="20% - Accent2 43 4" xfId="8717" xr:uid="{00000000-0005-0000-0000-00000A090000}"/>
    <cellStyle name="20% - Accent2 43 4 2" xfId="20005" xr:uid="{00000000-0005-0000-0000-00000B090000}"/>
    <cellStyle name="20% - Accent2 43 5" xfId="6723" xr:uid="{00000000-0005-0000-0000-00000C090000}"/>
    <cellStyle name="20% - Accent2 43 5 2" xfId="18011" xr:uid="{00000000-0005-0000-0000-00000D090000}"/>
    <cellStyle name="20% - Accent2 43 6" xfId="4729" xr:uid="{00000000-0005-0000-0000-00000E090000}"/>
    <cellStyle name="20% - Accent2 43 6 2" xfId="16017" xr:uid="{00000000-0005-0000-0000-00000F090000}"/>
    <cellStyle name="20% - Accent2 43 7" xfId="14023" xr:uid="{00000000-0005-0000-0000-000010090000}"/>
    <cellStyle name="20% - Accent2 43 8" xfId="12709" xr:uid="{00000000-0005-0000-0000-000011090000}"/>
    <cellStyle name="20% - Accent2 44" xfId="774" xr:uid="{00000000-0005-0000-0000-000012090000}"/>
    <cellStyle name="20% - Accent2 44 2" xfId="3730" xr:uid="{00000000-0005-0000-0000-000013090000}"/>
    <cellStyle name="20% - Accent2 44 2 2" xfId="11709" xr:uid="{00000000-0005-0000-0000-000014090000}"/>
    <cellStyle name="20% - Accent2 44 2 2 2" xfId="22997" xr:uid="{00000000-0005-0000-0000-000015090000}"/>
    <cellStyle name="20% - Accent2 44 2 3" xfId="9715" xr:uid="{00000000-0005-0000-0000-000016090000}"/>
    <cellStyle name="20% - Accent2 44 2 3 2" xfId="21003" xr:uid="{00000000-0005-0000-0000-000017090000}"/>
    <cellStyle name="20% - Accent2 44 2 4" xfId="7721" xr:uid="{00000000-0005-0000-0000-000018090000}"/>
    <cellStyle name="20% - Accent2 44 2 4 2" xfId="19009" xr:uid="{00000000-0005-0000-0000-000019090000}"/>
    <cellStyle name="20% - Accent2 44 2 5" xfId="5727" xr:uid="{00000000-0005-0000-0000-00001A090000}"/>
    <cellStyle name="20% - Accent2 44 2 5 2" xfId="17015" xr:uid="{00000000-0005-0000-0000-00001B090000}"/>
    <cellStyle name="20% - Accent2 44 2 6" xfId="15021" xr:uid="{00000000-0005-0000-0000-00001C090000}"/>
    <cellStyle name="20% - Accent2 44 3" xfId="10712" xr:uid="{00000000-0005-0000-0000-00001D090000}"/>
    <cellStyle name="20% - Accent2 44 3 2" xfId="22000" xr:uid="{00000000-0005-0000-0000-00001E090000}"/>
    <cellStyle name="20% - Accent2 44 4" xfId="8718" xr:uid="{00000000-0005-0000-0000-00001F090000}"/>
    <cellStyle name="20% - Accent2 44 4 2" xfId="20006" xr:uid="{00000000-0005-0000-0000-000020090000}"/>
    <cellStyle name="20% - Accent2 44 5" xfId="6724" xr:uid="{00000000-0005-0000-0000-000021090000}"/>
    <cellStyle name="20% - Accent2 44 5 2" xfId="18012" xr:uid="{00000000-0005-0000-0000-000022090000}"/>
    <cellStyle name="20% - Accent2 44 6" xfId="4730" xr:uid="{00000000-0005-0000-0000-000023090000}"/>
    <cellStyle name="20% - Accent2 44 6 2" xfId="16018" xr:uid="{00000000-0005-0000-0000-000024090000}"/>
    <cellStyle name="20% - Accent2 44 7" xfId="14024" xr:uid="{00000000-0005-0000-0000-000025090000}"/>
    <cellStyle name="20% - Accent2 44 8" xfId="12710" xr:uid="{00000000-0005-0000-0000-000026090000}"/>
    <cellStyle name="20% - Accent2 45" xfId="775" xr:uid="{00000000-0005-0000-0000-000027090000}"/>
    <cellStyle name="20% - Accent2 45 2" xfId="3731" xr:uid="{00000000-0005-0000-0000-000028090000}"/>
    <cellStyle name="20% - Accent2 45 2 2" xfId="11710" xr:uid="{00000000-0005-0000-0000-000029090000}"/>
    <cellStyle name="20% - Accent2 45 2 2 2" xfId="22998" xr:uid="{00000000-0005-0000-0000-00002A090000}"/>
    <cellStyle name="20% - Accent2 45 2 3" xfId="9716" xr:uid="{00000000-0005-0000-0000-00002B090000}"/>
    <cellStyle name="20% - Accent2 45 2 3 2" xfId="21004" xr:uid="{00000000-0005-0000-0000-00002C090000}"/>
    <cellStyle name="20% - Accent2 45 2 4" xfId="7722" xr:uid="{00000000-0005-0000-0000-00002D090000}"/>
    <cellStyle name="20% - Accent2 45 2 4 2" xfId="19010" xr:uid="{00000000-0005-0000-0000-00002E090000}"/>
    <cellStyle name="20% - Accent2 45 2 5" xfId="5728" xr:uid="{00000000-0005-0000-0000-00002F090000}"/>
    <cellStyle name="20% - Accent2 45 2 5 2" xfId="17016" xr:uid="{00000000-0005-0000-0000-000030090000}"/>
    <cellStyle name="20% - Accent2 45 2 6" xfId="15022" xr:uid="{00000000-0005-0000-0000-000031090000}"/>
    <cellStyle name="20% - Accent2 45 3" xfId="10713" xr:uid="{00000000-0005-0000-0000-000032090000}"/>
    <cellStyle name="20% - Accent2 45 3 2" xfId="22001" xr:uid="{00000000-0005-0000-0000-000033090000}"/>
    <cellStyle name="20% - Accent2 45 4" xfId="8719" xr:uid="{00000000-0005-0000-0000-000034090000}"/>
    <cellStyle name="20% - Accent2 45 4 2" xfId="20007" xr:uid="{00000000-0005-0000-0000-000035090000}"/>
    <cellStyle name="20% - Accent2 45 5" xfId="6725" xr:uid="{00000000-0005-0000-0000-000036090000}"/>
    <cellStyle name="20% - Accent2 45 5 2" xfId="18013" xr:uid="{00000000-0005-0000-0000-000037090000}"/>
    <cellStyle name="20% - Accent2 45 6" xfId="4731" xr:uid="{00000000-0005-0000-0000-000038090000}"/>
    <cellStyle name="20% - Accent2 45 6 2" xfId="16019" xr:uid="{00000000-0005-0000-0000-000039090000}"/>
    <cellStyle name="20% - Accent2 45 7" xfId="14025" xr:uid="{00000000-0005-0000-0000-00003A090000}"/>
    <cellStyle name="20% - Accent2 45 8" xfId="12711" xr:uid="{00000000-0005-0000-0000-00003B090000}"/>
    <cellStyle name="20% - Accent2 46" xfId="776" xr:uid="{00000000-0005-0000-0000-00003C090000}"/>
    <cellStyle name="20% - Accent2 46 2" xfId="3732" xr:uid="{00000000-0005-0000-0000-00003D090000}"/>
    <cellStyle name="20% - Accent2 46 2 2" xfId="11711" xr:uid="{00000000-0005-0000-0000-00003E090000}"/>
    <cellStyle name="20% - Accent2 46 2 2 2" xfId="22999" xr:uid="{00000000-0005-0000-0000-00003F090000}"/>
    <cellStyle name="20% - Accent2 46 2 3" xfId="9717" xr:uid="{00000000-0005-0000-0000-000040090000}"/>
    <cellStyle name="20% - Accent2 46 2 3 2" xfId="21005" xr:uid="{00000000-0005-0000-0000-000041090000}"/>
    <cellStyle name="20% - Accent2 46 2 4" xfId="7723" xr:uid="{00000000-0005-0000-0000-000042090000}"/>
    <cellStyle name="20% - Accent2 46 2 4 2" xfId="19011" xr:uid="{00000000-0005-0000-0000-000043090000}"/>
    <cellStyle name="20% - Accent2 46 2 5" xfId="5729" xr:uid="{00000000-0005-0000-0000-000044090000}"/>
    <cellStyle name="20% - Accent2 46 2 5 2" xfId="17017" xr:uid="{00000000-0005-0000-0000-000045090000}"/>
    <cellStyle name="20% - Accent2 46 2 6" xfId="15023" xr:uid="{00000000-0005-0000-0000-000046090000}"/>
    <cellStyle name="20% - Accent2 46 3" xfId="10714" xr:uid="{00000000-0005-0000-0000-000047090000}"/>
    <cellStyle name="20% - Accent2 46 3 2" xfId="22002" xr:uid="{00000000-0005-0000-0000-000048090000}"/>
    <cellStyle name="20% - Accent2 46 4" xfId="8720" xr:uid="{00000000-0005-0000-0000-000049090000}"/>
    <cellStyle name="20% - Accent2 46 4 2" xfId="20008" xr:uid="{00000000-0005-0000-0000-00004A090000}"/>
    <cellStyle name="20% - Accent2 46 5" xfId="6726" xr:uid="{00000000-0005-0000-0000-00004B090000}"/>
    <cellStyle name="20% - Accent2 46 5 2" xfId="18014" xr:uid="{00000000-0005-0000-0000-00004C090000}"/>
    <cellStyle name="20% - Accent2 46 6" xfId="4732" xr:uid="{00000000-0005-0000-0000-00004D090000}"/>
    <cellStyle name="20% - Accent2 46 6 2" xfId="16020" xr:uid="{00000000-0005-0000-0000-00004E090000}"/>
    <cellStyle name="20% - Accent2 46 7" xfId="14026" xr:uid="{00000000-0005-0000-0000-00004F090000}"/>
    <cellStyle name="20% - Accent2 46 8" xfId="12712" xr:uid="{00000000-0005-0000-0000-000050090000}"/>
    <cellStyle name="20% - Accent2 47" xfId="777" xr:uid="{00000000-0005-0000-0000-000051090000}"/>
    <cellStyle name="20% - Accent2 47 2" xfId="3733" xr:uid="{00000000-0005-0000-0000-000052090000}"/>
    <cellStyle name="20% - Accent2 47 2 2" xfId="11712" xr:uid="{00000000-0005-0000-0000-000053090000}"/>
    <cellStyle name="20% - Accent2 47 2 2 2" xfId="23000" xr:uid="{00000000-0005-0000-0000-000054090000}"/>
    <cellStyle name="20% - Accent2 47 2 3" xfId="9718" xr:uid="{00000000-0005-0000-0000-000055090000}"/>
    <cellStyle name="20% - Accent2 47 2 3 2" xfId="21006" xr:uid="{00000000-0005-0000-0000-000056090000}"/>
    <cellStyle name="20% - Accent2 47 2 4" xfId="7724" xr:uid="{00000000-0005-0000-0000-000057090000}"/>
    <cellStyle name="20% - Accent2 47 2 4 2" xfId="19012" xr:uid="{00000000-0005-0000-0000-000058090000}"/>
    <cellStyle name="20% - Accent2 47 2 5" xfId="5730" xr:uid="{00000000-0005-0000-0000-000059090000}"/>
    <cellStyle name="20% - Accent2 47 2 5 2" xfId="17018" xr:uid="{00000000-0005-0000-0000-00005A090000}"/>
    <cellStyle name="20% - Accent2 47 2 6" xfId="15024" xr:uid="{00000000-0005-0000-0000-00005B090000}"/>
    <cellStyle name="20% - Accent2 47 3" xfId="10715" xr:uid="{00000000-0005-0000-0000-00005C090000}"/>
    <cellStyle name="20% - Accent2 47 3 2" xfId="22003" xr:uid="{00000000-0005-0000-0000-00005D090000}"/>
    <cellStyle name="20% - Accent2 47 4" xfId="8721" xr:uid="{00000000-0005-0000-0000-00005E090000}"/>
    <cellStyle name="20% - Accent2 47 4 2" xfId="20009" xr:uid="{00000000-0005-0000-0000-00005F090000}"/>
    <cellStyle name="20% - Accent2 47 5" xfId="6727" xr:uid="{00000000-0005-0000-0000-000060090000}"/>
    <cellStyle name="20% - Accent2 47 5 2" xfId="18015" xr:uid="{00000000-0005-0000-0000-000061090000}"/>
    <cellStyle name="20% - Accent2 47 6" xfId="4733" xr:uid="{00000000-0005-0000-0000-000062090000}"/>
    <cellStyle name="20% - Accent2 47 6 2" xfId="16021" xr:uid="{00000000-0005-0000-0000-000063090000}"/>
    <cellStyle name="20% - Accent2 47 7" xfId="14027" xr:uid="{00000000-0005-0000-0000-000064090000}"/>
    <cellStyle name="20% - Accent2 47 8" xfId="12713" xr:uid="{00000000-0005-0000-0000-000065090000}"/>
    <cellStyle name="20% - Accent2 48" xfId="778" xr:uid="{00000000-0005-0000-0000-000066090000}"/>
    <cellStyle name="20% - Accent2 48 2" xfId="3734" xr:uid="{00000000-0005-0000-0000-000067090000}"/>
    <cellStyle name="20% - Accent2 48 2 2" xfId="11713" xr:uid="{00000000-0005-0000-0000-000068090000}"/>
    <cellStyle name="20% - Accent2 48 2 2 2" xfId="23001" xr:uid="{00000000-0005-0000-0000-000069090000}"/>
    <cellStyle name="20% - Accent2 48 2 3" xfId="9719" xr:uid="{00000000-0005-0000-0000-00006A090000}"/>
    <cellStyle name="20% - Accent2 48 2 3 2" xfId="21007" xr:uid="{00000000-0005-0000-0000-00006B090000}"/>
    <cellStyle name="20% - Accent2 48 2 4" xfId="7725" xr:uid="{00000000-0005-0000-0000-00006C090000}"/>
    <cellStyle name="20% - Accent2 48 2 4 2" xfId="19013" xr:uid="{00000000-0005-0000-0000-00006D090000}"/>
    <cellStyle name="20% - Accent2 48 2 5" xfId="5731" xr:uid="{00000000-0005-0000-0000-00006E090000}"/>
    <cellStyle name="20% - Accent2 48 2 5 2" xfId="17019" xr:uid="{00000000-0005-0000-0000-00006F090000}"/>
    <cellStyle name="20% - Accent2 48 2 6" xfId="15025" xr:uid="{00000000-0005-0000-0000-000070090000}"/>
    <cellStyle name="20% - Accent2 48 3" xfId="10716" xr:uid="{00000000-0005-0000-0000-000071090000}"/>
    <cellStyle name="20% - Accent2 48 3 2" xfId="22004" xr:uid="{00000000-0005-0000-0000-000072090000}"/>
    <cellStyle name="20% - Accent2 48 4" xfId="8722" xr:uid="{00000000-0005-0000-0000-000073090000}"/>
    <cellStyle name="20% - Accent2 48 4 2" xfId="20010" xr:uid="{00000000-0005-0000-0000-000074090000}"/>
    <cellStyle name="20% - Accent2 48 5" xfId="6728" xr:uid="{00000000-0005-0000-0000-000075090000}"/>
    <cellStyle name="20% - Accent2 48 5 2" xfId="18016" xr:uid="{00000000-0005-0000-0000-000076090000}"/>
    <cellStyle name="20% - Accent2 48 6" xfId="4734" xr:uid="{00000000-0005-0000-0000-000077090000}"/>
    <cellStyle name="20% - Accent2 48 6 2" xfId="16022" xr:uid="{00000000-0005-0000-0000-000078090000}"/>
    <cellStyle name="20% - Accent2 48 7" xfId="14028" xr:uid="{00000000-0005-0000-0000-000079090000}"/>
    <cellStyle name="20% - Accent2 48 8" xfId="12714" xr:uid="{00000000-0005-0000-0000-00007A090000}"/>
    <cellStyle name="20% - Accent2 49" xfId="779" xr:uid="{00000000-0005-0000-0000-00007B090000}"/>
    <cellStyle name="20% - Accent2 49 2" xfId="3735" xr:uid="{00000000-0005-0000-0000-00007C090000}"/>
    <cellStyle name="20% - Accent2 49 2 2" xfId="11714" xr:uid="{00000000-0005-0000-0000-00007D090000}"/>
    <cellStyle name="20% - Accent2 49 2 2 2" xfId="23002" xr:uid="{00000000-0005-0000-0000-00007E090000}"/>
    <cellStyle name="20% - Accent2 49 2 3" xfId="9720" xr:uid="{00000000-0005-0000-0000-00007F090000}"/>
    <cellStyle name="20% - Accent2 49 2 3 2" xfId="21008" xr:uid="{00000000-0005-0000-0000-000080090000}"/>
    <cellStyle name="20% - Accent2 49 2 4" xfId="7726" xr:uid="{00000000-0005-0000-0000-000081090000}"/>
    <cellStyle name="20% - Accent2 49 2 4 2" xfId="19014" xr:uid="{00000000-0005-0000-0000-000082090000}"/>
    <cellStyle name="20% - Accent2 49 2 5" xfId="5732" xr:uid="{00000000-0005-0000-0000-000083090000}"/>
    <cellStyle name="20% - Accent2 49 2 5 2" xfId="17020" xr:uid="{00000000-0005-0000-0000-000084090000}"/>
    <cellStyle name="20% - Accent2 49 2 6" xfId="15026" xr:uid="{00000000-0005-0000-0000-000085090000}"/>
    <cellStyle name="20% - Accent2 49 3" xfId="10717" xr:uid="{00000000-0005-0000-0000-000086090000}"/>
    <cellStyle name="20% - Accent2 49 3 2" xfId="22005" xr:uid="{00000000-0005-0000-0000-000087090000}"/>
    <cellStyle name="20% - Accent2 49 4" xfId="8723" xr:uid="{00000000-0005-0000-0000-000088090000}"/>
    <cellStyle name="20% - Accent2 49 4 2" xfId="20011" xr:uid="{00000000-0005-0000-0000-000089090000}"/>
    <cellStyle name="20% - Accent2 49 5" xfId="6729" xr:uid="{00000000-0005-0000-0000-00008A090000}"/>
    <cellStyle name="20% - Accent2 49 5 2" xfId="18017" xr:uid="{00000000-0005-0000-0000-00008B090000}"/>
    <cellStyle name="20% - Accent2 49 6" xfId="4735" xr:uid="{00000000-0005-0000-0000-00008C090000}"/>
    <cellStyle name="20% - Accent2 49 6 2" xfId="16023" xr:uid="{00000000-0005-0000-0000-00008D090000}"/>
    <cellStyle name="20% - Accent2 49 7" xfId="14029" xr:uid="{00000000-0005-0000-0000-00008E090000}"/>
    <cellStyle name="20% - Accent2 49 8" xfId="12715" xr:uid="{00000000-0005-0000-0000-00008F090000}"/>
    <cellStyle name="20% - Accent2 5" xfId="780" xr:uid="{00000000-0005-0000-0000-000090090000}"/>
    <cellStyle name="20% - Accent2 5 10" xfId="24568" xr:uid="{00000000-0005-0000-0000-000091090000}"/>
    <cellStyle name="20% - Accent2 5 11" xfId="24958" xr:uid="{00000000-0005-0000-0000-000092090000}"/>
    <cellStyle name="20% - Accent2 5 2" xfId="3736" xr:uid="{00000000-0005-0000-0000-000093090000}"/>
    <cellStyle name="20% - Accent2 5 2 2" xfId="11715" xr:uid="{00000000-0005-0000-0000-000094090000}"/>
    <cellStyle name="20% - Accent2 5 2 2 2" xfId="23003" xr:uid="{00000000-0005-0000-0000-000095090000}"/>
    <cellStyle name="20% - Accent2 5 2 3" xfId="9721" xr:uid="{00000000-0005-0000-0000-000096090000}"/>
    <cellStyle name="20% - Accent2 5 2 3 2" xfId="21009" xr:uid="{00000000-0005-0000-0000-000097090000}"/>
    <cellStyle name="20% - Accent2 5 2 4" xfId="7727" xr:uid="{00000000-0005-0000-0000-000098090000}"/>
    <cellStyle name="20% - Accent2 5 2 4 2" xfId="19015" xr:uid="{00000000-0005-0000-0000-000099090000}"/>
    <cellStyle name="20% - Accent2 5 2 5" xfId="5733" xr:uid="{00000000-0005-0000-0000-00009A090000}"/>
    <cellStyle name="20% - Accent2 5 2 5 2" xfId="17021" xr:uid="{00000000-0005-0000-0000-00009B090000}"/>
    <cellStyle name="20% - Accent2 5 2 6" xfId="15027" xr:uid="{00000000-0005-0000-0000-00009C090000}"/>
    <cellStyle name="20% - Accent2 5 2 7" xfId="24329" xr:uid="{00000000-0005-0000-0000-00009D090000}"/>
    <cellStyle name="20% - Accent2 5 2 8" xfId="24793" xr:uid="{00000000-0005-0000-0000-00009E090000}"/>
    <cellStyle name="20% - Accent2 5 2 9" xfId="25160" xr:uid="{00000000-0005-0000-0000-00009F090000}"/>
    <cellStyle name="20% - Accent2 5 3" xfId="10718" xr:uid="{00000000-0005-0000-0000-0000A0090000}"/>
    <cellStyle name="20% - Accent2 5 3 2" xfId="22006" xr:uid="{00000000-0005-0000-0000-0000A1090000}"/>
    <cellStyle name="20% - Accent2 5 4" xfId="8724" xr:uid="{00000000-0005-0000-0000-0000A2090000}"/>
    <cellStyle name="20% - Accent2 5 4 2" xfId="20012" xr:uid="{00000000-0005-0000-0000-0000A3090000}"/>
    <cellStyle name="20% - Accent2 5 5" xfId="6730" xr:uid="{00000000-0005-0000-0000-0000A4090000}"/>
    <cellStyle name="20% - Accent2 5 5 2" xfId="18018" xr:uid="{00000000-0005-0000-0000-0000A5090000}"/>
    <cellStyle name="20% - Accent2 5 6" xfId="4736" xr:uid="{00000000-0005-0000-0000-0000A6090000}"/>
    <cellStyle name="20% - Accent2 5 6 2" xfId="16024" xr:uid="{00000000-0005-0000-0000-0000A7090000}"/>
    <cellStyle name="20% - Accent2 5 7" xfId="14030" xr:uid="{00000000-0005-0000-0000-0000A8090000}"/>
    <cellStyle name="20% - Accent2 5 8" xfId="12716" xr:uid="{00000000-0005-0000-0000-0000A9090000}"/>
    <cellStyle name="20% - Accent2 5 9" xfId="23941" xr:uid="{00000000-0005-0000-0000-0000AA090000}"/>
    <cellStyle name="20% - Accent2 50" xfId="781" xr:uid="{00000000-0005-0000-0000-0000AB090000}"/>
    <cellStyle name="20% - Accent2 50 2" xfId="3737" xr:uid="{00000000-0005-0000-0000-0000AC090000}"/>
    <cellStyle name="20% - Accent2 50 2 2" xfId="11716" xr:uid="{00000000-0005-0000-0000-0000AD090000}"/>
    <cellStyle name="20% - Accent2 50 2 2 2" xfId="23004" xr:uid="{00000000-0005-0000-0000-0000AE090000}"/>
    <cellStyle name="20% - Accent2 50 2 3" xfId="9722" xr:uid="{00000000-0005-0000-0000-0000AF090000}"/>
    <cellStyle name="20% - Accent2 50 2 3 2" xfId="21010" xr:uid="{00000000-0005-0000-0000-0000B0090000}"/>
    <cellStyle name="20% - Accent2 50 2 4" xfId="7728" xr:uid="{00000000-0005-0000-0000-0000B1090000}"/>
    <cellStyle name="20% - Accent2 50 2 4 2" xfId="19016" xr:uid="{00000000-0005-0000-0000-0000B2090000}"/>
    <cellStyle name="20% - Accent2 50 2 5" xfId="5734" xr:uid="{00000000-0005-0000-0000-0000B3090000}"/>
    <cellStyle name="20% - Accent2 50 2 5 2" xfId="17022" xr:uid="{00000000-0005-0000-0000-0000B4090000}"/>
    <cellStyle name="20% - Accent2 50 2 6" xfId="15028" xr:uid="{00000000-0005-0000-0000-0000B5090000}"/>
    <cellStyle name="20% - Accent2 50 3" xfId="10719" xr:uid="{00000000-0005-0000-0000-0000B6090000}"/>
    <cellStyle name="20% - Accent2 50 3 2" xfId="22007" xr:uid="{00000000-0005-0000-0000-0000B7090000}"/>
    <cellStyle name="20% - Accent2 50 4" xfId="8725" xr:uid="{00000000-0005-0000-0000-0000B8090000}"/>
    <cellStyle name="20% - Accent2 50 4 2" xfId="20013" xr:uid="{00000000-0005-0000-0000-0000B9090000}"/>
    <cellStyle name="20% - Accent2 50 5" xfId="6731" xr:uid="{00000000-0005-0000-0000-0000BA090000}"/>
    <cellStyle name="20% - Accent2 50 5 2" xfId="18019" xr:uid="{00000000-0005-0000-0000-0000BB090000}"/>
    <cellStyle name="20% - Accent2 50 6" xfId="4737" xr:uid="{00000000-0005-0000-0000-0000BC090000}"/>
    <cellStyle name="20% - Accent2 50 6 2" xfId="16025" xr:uid="{00000000-0005-0000-0000-0000BD090000}"/>
    <cellStyle name="20% - Accent2 50 7" xfId="14031" xr:uid="{00000000-0005-0000-0000-0000BE090000}"/>
    <cellStyle name="20% - Accent2 50 8" xfId="12717" xr:uid="{00000000-0005-0000-0000-0000BF090000}"/>
    <cellStyle name="20% - Accent2 51" xfId="782" xr:uid="{00000000-0005-0000-0000-0000C0090000}"/>
    <cellStyle name="20% - Accent2 51 2" xfId="3738" xr:uid="{00000000-0005-0000-0000-0000C1090000}"/>
    <cellStyle name="20% - Accent2 51 2 2" xfId="11717" xr:uid="{00000000-0005-0000-0000-0000C2090000}"/>
    <cellStyle name="20% - Accent2 51 2 2 2" xfId="23005" xr:uid="{00000000-0005-0000-0000-0000C3090000}"/>
    <cellStyle name="20% - Accent2 51 2 3" xfId="9723" xr:uid="{00000000-0005-0000-0000-0000C4090000}"/>
    <cellStyle name="20% - Accent2 51 2 3 2" xfId="21011" xr:uid="{00000000-0005-0000-0000-0000C5090000}"/>
    <cellStyle name="20% - Accent2 51 2 4" xfId="7729" xr:uid="{00000000-0005-0000-0000-0000C6090000}"/>
    <cellStyle name="20% - Accent2 51 2 4 2" xfId="19017" xr:uid="{00000000-0005-0000-0000-0000C7090000}"/>
    <cellStyle name="20% - Accent2 51 2 5" xfId="5735" xr:uid="{00000000-0005-0000-0000-0000C8090000}"/>
    <cellStyle name="20% - Accent2 51 2 5 2" xfId="17023" xr:uid="{00000000-0005-0000-0000-0000C9090000}"/>
    <cellStyle name="20% - Accent2 51 2 6" xfId="15029" xr:uid="{00000000-0005-0000-0000-0000CA090000}"/>
    <cellStyle name="20% - Accent2 51 3" xfId="10720" xr:uid="{00000000-0005-0000-0000-0000CB090000}"/>
    <cellStyle name="20% - Accent2 51 3 2" xfId="22008" xr:uid="{00000000-0005-0000-0000-0000CC090000}"/>
    <cellStyle name="20% - Accent2 51 4" xfId="8726" xr:uid="{00000000-0005-0000-0000-0000CD090000}"/>
    <cellStyle name="20% - Accent2 51 4 2" xfId="20014" xr:uid="{00000000-0005-0000-0000-0000CE090000}"/>
    <cellStyle name="20% - Accent2 51 5" xfId="6732" xr:uid="{00000000-0005-0000-0000-0000CF090000}"/>
    <cellStyle name="20% - Accent2 51 5 2" xfId="18020" xr:uid="{00000000-0005-0000-0000-0000D0090000}"/>
    <cellStyle name="20% - Accent2 51 6" xfId="4738" xr:uid="{00000000-0005-0000-0000-0000D1090000}"/>
    <cellStyle name="20% - Accent2 51 6 2" xfId="16026" xr:uid="{00000000-0005-0000-0000-0000D2090000}"/>
    <cellStyle name="20% - Accent2 51 7" xfId="14032" xr:uid="{00000000-0005-0000-0000-0000D3090000}"/>
    <cellStyle name="20% - Accent2 51 8" xfId="12718" xr:uid="{00000000-0005-0000-0000-0000D4090000}"/>
    <cellStyle name="20% - Accent2 52" xfId="783" xr:uid="{00000000-0005-0000-0000-0000D5090000}"/>
    <cellStyle name="20% - Accent2 52 2" xfId="3739" xr:uid="{00000000-0005-0000-0000-0000D6090000}"/>
    <cellStyle name="20% - Accent2 52 2 2" xfId="11718" xr:uid="{00000000-0005-0000-0000-0000D7090000}"/>
    <cellStyle name="20% - Accent2 52 2 2 2" xfId="23006" xr:uid="{00000000-0005-0000-0000-0000D8090000}"/>
    <cellStyle name="20% - Accent2 52 2 3" xfId="9724" xr:uid="{00000000-0005-0000-0000-0000D9090000}"/>
    <cellStyle name="20% - Accent2 52 2 3 2" xfId="21012" xr:uid="{00000000-0005-0000-0000-0000DA090000}"/>
    <cellStyle name="20% - Accent2 52 2 4" xfId="7730" xr:uid="{00000000-0005-0000-0000-0000DB090000}"/>
    <cellStyle name="20% - Accent2 52 2 4 2" xfId="19018" xr:uid="{00000000-0005-0000-0000-0000DC090000}"/>
    <cellStyle name="20% - Accent2 52 2 5" xfId="5736" xr:uid="{00000000-0005-0000-0000-0000DD090000}"/>
    <cellStyle name="20% - Accent2 52 2 5 2" xfId="17024" xr:uid="{00000000-0005-0000-0000-0000DE090000}"/>
    <cellStyle name="20% - Accent2 52 2 6" xfId="15030" xr:uid="{00000000-0005-0000-0000-0000DF090000}"/>
    <cellStyle name="20% - Accent2 52 3" xfId="10721" xr:uid="{00000000-0005-0000-0000-0000E0090000}"/>
    <cellStyle name="20% - Accent2 52 3 2" xfId="22009" xr:uid="{00000000-0005-0000-0000-0000E1090000}"/>
    <cellStyle name="20% - Accent2 52 4" xfId="8727" xr:uid="{00000000-0005-0000-0000-0000E2090000}"/>
    <cellStyle name="20% - Accent2 52 4 2" xfId="20015" xr:uid="{00000000-0005-0000-0000-0000E3090000}"/>
    <cellStyle name="20% - Accent2 52 5" xfId="6733" xr:uid="{00000000-0005-0000-0000-0000E4090000}"/>
    <cellStyle name="20% - Accent2 52 5 2" xfId="18021" xr:uid="{00000000-0005-0000-0000-0000E5090000}"/>
    <cellStyle name="20% - Accent2 52 6" xfId="4739" xr:uid="{00000000-0005-0000-0000-0000E6090000}"/>
    <cellStyle name="20% - Accent2 52 6 2" xfId="16027" xr:uid="{00000000-0005-0000-0000-0000E7090000}"/>
    <cellStyle name="20% - Accent2 52 7" xfId="14033" xr:uid="{00000000-0005-0000-0000-0000E8090000}"/>
    <cellStyle name="20% - Accent2 52 8" xfId="12719" xr:uid="{00000000-0005-0000-0000-0000E9090000}"/>
    <cellStyle name="20% - Accent2 53" xfId="784" xr:uid="{00000000-0005-0000-0000-0000EA090000}"/>
    <cellStyle name="20% - Accent2 53 2" xfId="3740" xr:uid="{00000000-0005-0000-0000-0000EB090000}"/>
    <cellStyle name="20% - Accent2 53 2 2" xfId="11719" xr:uid="{00000000-0005-0000-0000-0000EC090000}"/>
    <cellStyle name="20% - Accent2 53 2 2 2" xfId="23007" xr:uid="{00000000-0005-0000-0000-0000ED090000}"/>
    <cellStyle name="20% - Accent2 53 2 3" xfId="9725" xr:uid="{00000000-0005-0000-0000-0000EE090000}"/>
    <cellStyle name="20% - Accent2 53 2 3 2" xfId="21013" xr:uid="{00000000-0005-0000-0000-0000EF090000}"/>
    <cellStyle name="20% - Accent2 53 2 4" xfId="7731" xr:uid="{00000000-0005-0000-0000-0000F0090000}"/>
    <cellStyle name="20% - Accent2 53 2 4 2" xfId="19019" xr:uid="{00000000-0005-0000-0000-0000F1090000}"/>
    <cellStyle name="20% - Accent2 53 2 5" xfId="5737" xr:uid="{00000000-0005-0000-0000-0000F2090000}"/>
    <cellStyle name="20% - Accent2 53 2 5 2" xfId="17025" xr:uid="{00000000-0005-0000-0000-0000F3090000}"/>
    <cellStyle name="20% - Accent2 53 2 6" xfId="15031" xr:uid="{00000000-0005-0000-0000-0000F4090000}"/>
    <cellStyle name="20% - Accent2 53 3" xfId="10722" xr:uid="{00000000-0005-0000-0000-0000F5090000}"/>
    <cellStyle name="20% - Accent2 53 3 2" xfId="22010" xr:uid="{00000000-0005-0000-0000-0000F6090000}"/>
    <cellStyle name="20% - Accent2 53 4" xfId="8728" xr:uid="{00000000-0005-0000-0000-0000F7090000}"/>
    <cellStyle name="20% - Accent2 53 4 2" xfId="20016" xr:uid="{00000000-0005-0000-0000-0000F8090000}"/>
    <cellStyle name="20% - Accent2 53 5" xfId="6734" xr:uid="{00000000-0005-0000-0000-0000F9090000}"/>
    <cellStyle name="20% - Accent2 53 5 2" xfId="18022" xr:uid="{00000000-0005-0000-0000-0000FA090000}"/>
    <cellStyle name="20% - Accent2 53 6" xfId="4740" xr:uid="{00000000-0005-0000-0000-0000FB090000}"/>
    <cellStyle name="20% - Accent2 53 6 2" xfId="16028" xr:uid="{00000000-0005-0000-0000-0000FC090000}"/>
    <cellStyle name="20% - Accent2 53 7" xfId="14034" xr:uid="{00000000-0005-0000-0000-0000FD090000}"/>
    <cellStyle name="20% - Accent2 53 8" xfId="12720" xr:uid="{00000000-0005-0000-0000-0000FE090000}"/>
    <cellStyle name="20% - Accent2 54" xfId="785" xr:uid="{00000000-0005-0000-0000-0000FF090000}"/>
    <cellStyle name="20% - Accent2 54 2" xfId="3741" xr:uid="{00000000-0005-0000-0000-0000000A0000}"/>
    <cellStyle name="20% - Accent2 54 2 2" xfId="11720" xr:uid="{00000000-0005-0000-0000-0000010A0000}"/>
    <cellStyle name="20% - Accent2 54 2 2 2" xfId="23008" xr:uid="{00000000-0005-0000-0000-0000020A0000}"/>
    <cellStyle name="20% - Accent2 54 2 3" xfId="9726" xr:uid="{00000000-0005-0000-0000-0000030A0000}"/>
    <cellStyle name="20% - Accent2 54 2 3 2" xfId="21014" xr:uid="{00000000-0005-0000-0000-0000040A0000}"/>
    <cellStyle name="20% - Accent2 54 2 4" xfId="7732" xr:uid="{00000000-0005-0000-0000-0000050A0000}"/>
    <cellStyle name="20% - Accent2 54 2 4 2" xfId="19020" xr:uid="{00000000-0005-0000-0000-0000060A0000}"/>
    <cellStyle name="20% - Accent2 54 2 5" xfId="5738" xr:uid="{00000000-0005-0000-0000-0000070A0000}"/>
    <cellStyle name="20% - Accent2 54 2 5 2" xfId="17026" xr:uid="{00000000-0005-0000-0000-0000080A0000}"/>
    <cellStyle name="20% - Accent2 54 2 6" xfId="15032" xr:uid="{00000000-0005-0000-0000-0000090A0000}"/>
    <cellStyle name="20% - Accent2 54 3" xfId="10723" xr:uid="{00000000-0005-0000-0000-00000A0A0000}"/>
    <cellStyle name="20% - Accent2 54 3 2" xfId="22011" xr:uid="{00000000-0005-0000-0000-00000B0A0000}"/>
    <cellStyle name="20% - Accent2 54 4" xfId="8729" xr:uid="{00000000-0005-0000-0000-00000C0A0000}"/>
    <cellStyle name="20% - Accent2 54 4 2" xfId="20017" xr:uid="{00000000-0005-0000-0000-00000D0A0000}"/>
    <cellStyle name="20% - Accent2 54 5" xfId="6735" xr:uid="{00000000-0005-0000-0000-00000E0A0000}"/>
    <cellStyle name="20% - Accent2 54 5 2" xfId="18023" xr:uid="{00000000-0005-0000-0000-00000F0A0000}"/>
    <cellStyle name="20% - Accent2 54 6" xfId="4741" xr:uid="{00000000-0005-0000-0000-0000100A0000}"/>
    <cellStyle name="20% - Accent2 54 6 2" xfId="16029" xr:uid="{00000000-0005-0000-0000-0000110A0000}"/>
    <cellStyle name="20% - Accent2 54 7" xfId="14035" xr:uid="{00000000-0005-0000-0000-0000120A0000}"/>
    <cellStyle name="20% - Accent2 54 8" xfId="12721" xr:uid="{00000000-0005-0000-0000-0000130A0000}"/>
    <cellStyle name="20% - Accent2 55" xfId="786" xr:uid="{00000000-0005-0000-0000-0000140A0000}"/>
    <cellStyle name="20% - Accent2 55 2" xfId="3742" xr:uid="{00000000-0005-0000-0000-0000150A0000}"/>
    <cellStyle name="20% - Accent2 55 2 2" xfId="11721" xr:uid="{00000000-0005-0000-0000-0000160A0000}"/>
    <cellStyle name="20% - Accent2 55 2 2 2" xfId="23009" xr:uid="{00000000-0005-0000-0000-0000170A0000}"/>
    <cellStyle name="20% - Accent2 55 2 3" xfId="9727" xr:uid="{00000000-0005-0000-0000-0000180A0000}"/>
    <cellStyle name="20% - Accent2 55 2 3 2" xfId="21015" xr:uid="{00000000-0005-0000-0000-0000190A0000}"/>
    <cellStyle name="20% - Accent2 55 2 4" xfId="7733" xr:uid="{00000000-0005-0000-0000-00001A0A0000}"/>
    <cellStyle name="20% - Accent2 55 2 4 2" xfId="19021" xr:uid="{00000000-0005-0000-0000-00001B0A0000}"/>
    <cellStyle name="20% - Accent2 55 2 5" xfId="5739" xr:uid="{00000000-0005-0000-0000-00001C0A0000}"/>
    <cellStyle name="20% - Accent2 55 2 5 2" xfId="17027" xr:uid="{00000000-0005-0000-0000-00001D0A0000}"/>
    <cellStyle name="20% - Accent2 55 2 6" xfId="15033" xr:uid="{00000000-0005-0000-0000-00001E0A0000}"/>
    <cellStyle name="20% - Accent2 55 3" xfId="10724" xr:uid="{00000000-0005-0000-0000-00001F0A0000}"/>
    <cellStyle name="20% - Accent2 55 3 2" xfId="22012" xr:uid="{00000000-0005-0000-0000-0000200A0000}"/>
    <cellStyle name="20% - Accent2 55 4" xfId="8730" xr:uid="{00000000-0005-0000-0000-0000210A0000}"/>
    <cellStyle name="20% - Accent2 55 4 2" xfId="20018" xr:uid="{00000000-0005-0000-0000-0000220A0000}"/>
    <cellStyle name="20% - Accent2 55 5" xfId="6736" xr:uid="{00000000-0005-0000-0000-0000230A0000}"/>
    <cellStyle name="20% - Accent2 55 5 2" xfId="18024" xr:uid="{00000000-0005-0000-0000-0000240A0000}"/>
    <cellStyle name="20% - Accent2 55 6" xfId="4742" xr:uid="{00000000-0005-0000-0000-0000250A0000}"/>
    <cellStyle name="20% - Accent2 55 6 2" xfId="16030" xr:uid="{00000000-0005-0000-0000-0000260A0000}"/>
    <cellStyle name="20% - Accent2 55 7" xfId="14036" xr:uid="{00000000-0005-0000-0000-0000270A0000}"/>
    <cellStyle name="20% - Accent2 55 8" xfId="12722" xr:uid="{00000000-0005-0000-0000-0000280A0000}"/>
    <cellStyle name="20% - Accent2 56" xfId="787" xr:uid="{00000000-0005-0000-0000-0000290A0000}"/>
    <cellStyle name="20% - Accent2 56 2" xfId="3743" xr:uid="{00000000-0005-0000-0000-00002A0A0000}"/>
    <cellStyle name="20% - Accent2 56 2 2" xfId="11722" xr:uid="{00000000-0005-0000-0000-00002B0A0000}"/>
    <cellStyle name="20% - Accent2 56 2 2 2" xfId="23010" xr:uid="{00000000-0005-0000-0000-00002C0A0000}"/>
    <cellStyle name="20% - Accent2 56 2 3" xfId="9728" xr:uid="{00000000-0005-0000-0000-00002D0A0000}"/>
    <cellStyle name="20% - Accent2 56 2 3 2" xfId="21016" xr:uid="{00000000-0005-0000-0000-00002E0A0000}"/>
    <cellStyle name="20% - Accent2 56 2 4" xfId="7734" xr:uid="{00000000-0005-0000-0000-00002F0A0000}"/>
    <cellStyle name="20% - Accent2 56 2 4 2" xfId="19022" xr:uid="{00000000-0005-0000-0000-0000300A0000}"/>
    <cellStyle name="20% - Accent2 56 2 5" xfId="5740" xr:uid="{00000000-0005-0000-0000-0000310A0000}"/>
    <cellStyle name="20% - Accent2 56 2 5 2" xfId="17028" xr:uid="{00000000-0005-0000-0000-0000320A0000}"/>
    <cellStyle name="20% - Accent2 56 2 6" xfId="15034" xr:uid="{00000000-0005-0000-0000-0000330A0000}"/>
    <cellStyle name="20% - Accent2 56 3" xfId="10725" xr:uid="{00000000-0005-0000-0000-0000340A0000}"/>
    <cellStyle name="20% - Accent2 56 3 2" xfId="22013" xr:uid="{00000000-0005-0000-0000-0000350A0000}"/>
    <cellStyle name="20% - Accent2 56 4" xfId="8731" xr:uid="{00000000-0005-0000-0000-0000360A0000}"/>
    <cellStyle name="20% - Accent2 56 4 2" xfId="20019" xr:uid="{00000000-0005-0000-0000-0000370A0000}"/>
    <cellStyle name="20% - Accent2 56 5" xfId="6737" xr:uid="{00000000-0005-0000-0000-0000380A0000}"/>
    <cellStyle name="20% - Accent2 56 5 2" xfId="18025" xr:uid="{00000000-0005-0000-0000-0000390A0000}"/>
    <cellStyle name="20% - Accent2 56 6" xfId="4743" xr:uid="{00000000-0005-0000-0000-00003A0A0000}"/>
    <cellStyle name="20% - Accent2 56 6 2" xfId="16031" xr:uid="{00000000-0005-0000-0000-00003B0A0000}"/>
    <cellStyle name="20% - Accent2 56 7" xfId="14037" xr:uid="{00000000-0005-0000-0000-00003C0A0000}"/>
    <cellStyle name="20% - Accent2 56 8" xfId="12723" xr:uid="{00000000-0005-0000-0000-00003D0A0000}"/>
    <cellStyle name="20% - Accent2 57" xfId="788" xr:uid="{00000000-0005-0000-0000-00003E0A0000}"/>
    <cellStyle name="20% - Accent2 57 2" xfId="3744" xr:uid="{00000000-0005-0000-0000-00003F0A0000}"/>
    <cellStyle name="20% - Accent2 57 2 2" xfId="11723" xr:uid="{00000000-0005-0000-0000-0000400A0000}"/>
    <cellStyle name="20% - Accent2 57 2 2 2" xfId="23011" xr:uid="{00000000-0005-0000-0000-0000410A0000}"/>
    <cellStyle name="20% - Accent2 57 2 3" xfId="9729" xr:uid="{00000000-0005-0000-0000-0000420A0000}"/>
    <cellStyle name="20% - Accent2 57 2 3 2" xfId="21017" xr:uid="{00000000-0005-0000-0000-0000430A0000}"/>
    <cellStyle name="20% - Accent2 57 2 4" xfId="7735" xr:uid="{00000000-0005-0000-0000-0000440A0000}"/>
    <cellStyle name="20% - Accent2 57 2 4 2" xfId="19023" xr:uid="{00000000-0005-0000-0000-0000450A0000}"/>
    <cellStyle name="20% - Accent2 57 2 5" xfId="5741" xr:uid="{00000000-0005-0000-0000-0000460A0000}"/>
    <cellStyle name="20% - Accent2 57 2 5 2" xfId="17029" xr:uid="{00000000-0005-0000-0000-0000470A0000}"/>
    <cellStyle name="20% - Accent2 57 2 6" xfId="15035" xr:uid="{00000000-0005-0000-0000-0000480A0000}"/>
    <cellStyle name="20% - Accent2 57 3" xfId="10726" xr:uid="{00000000-0005-0000-0000-0000490A0000}"/>
    <cellStyle name="20% - Accent2 57 3 2" xfId="22014" xr:uid="{00000000-0005-0000-0000-00004A0A0000}"/>
    <cellStyle name="20% - Accent2 57 4" xfId="8732" xr:uid="{00000000-0005-0000-0000-00004B0A0000}"/>
    <cellStyle name="20% - Accent2 57 4 2" xfId="20020" xr:uid="{00000000-0005-0000-0000-00004C0A0000}"/>
    <cellStyle name="20% - Accent2 57 5" xfId="6738" xr:uid="{00000000-0005-0000-0000-00004D0A0000}"/>
    <cellStyle name="20% - Accent2 57 5 2" xfId="18026" xr:uid="{00000000-0005-0000-0000-00004E0A0000}"/>
    <cellStyle name="20% - Accent2 57 6" xfId="4744" xr:uid="{00000000-0005-0000-0000-00004F0A0000}"/>
    <cellStyle name="20% - Accent2 57 6 2" xfId="16032" xr:uid="{00000000-0005-0000-0000-0000500A0000}"/>
    <cellStyle name="20% - Accent2 57 7" xfId="14038" xr:uid="{00000000-0005-0000-0000-0000510A0000}"/>
    <cellStyle name="20% - Accent2 57 8" xfId="12724" xr:uid="{00000000-0005-0000-0000-0000520A0000}"/>
    <cellStyle name="20% - Accent2 58" xfId="789" xr:uid="{00000000-0005-0000-0000-0000530A0000}"/>
    <cellStyle name="20% - Accent2 58 2" xfId="3745" xr:uid="{00000000-0005-0000-0000-0000540A0000}"/>
    <cellStyle name="20% - Accent2 58 2 2" xfId="11724" xr:uid="{00000000-0005-0000-0000-0000550A0000}"/>
    <cellStyle name="20% - Accent2 58 2 2 2" xfId="23012" xr:uid="{00000000-0005-0000-0000-0000560A0000}"/>
    <cellStyle name="20% - Accent2 58 2 3" xfId="9730" xr:uid="{00000000-0005-0000-0000-0000570A0000}"/>
    <cellStyle name="20% - Accent2 58 2 3 2" xfId="21018" xr:uid="{00000000-0005-0000-0000-0000580A0000}"/>
    <cellStyle name="20% - Accent2 58 2 4" xfId="7736" xr:uid="{00000000-0005-0000-0000-0000590A0000}"/>
    <cellStyle name="20% - Accent2 58 2 4 2" xfId="19024" xr:uid="{00000000-0005-0000-0000-00005A0A0000}"/>
    <cellStyle name="20% - Accent2 58 2 5" xfId="5742" xr:uid="{00000000-0005-0000-0000-00005B0A0000}"/>
    <cellStyle name="20% - Accent2 58 2 5 2" xfId="17030" xr:uid="{00000000-0005-0000-0000-00005C0A0000}"/>
    <cellStyle name="20% - Accent2 58 2 6" xfId="15036" xr:uid="{00000000-0005-0000-0000-00005D0A0000}"/>
    <cellStyle name="20% - Accent2 58 3" xfId="10727" xr:uid="{00000000-0005-0000-0000-00005E0A0000}"/>
    <cellStyle name="20% - Accent2 58 3 2" xfId="22015" xr:uid="{00000000-0005-0000-0000-00005F0A0000}"/>
    <cellStyle name="20% - Accent2 58 4" xfId="8733" xr:uid="{00000000-0005-0000-0000-0000600A0000}"/>
    <cellStyle name="20% - Accent2 58 4 2" xfId="20021" xr:uid="{00000000-0005-0000-0000-0000610A0000}"/>
    <cellStyle name="20% - Accent2 58 5" xfId="6739" xr:uid="{00000000-0005-0000-0000-0000620A0000}"/>
    <cellStyle name="20% - Accent2 58 5 2" xfId="18027" xr:uid="{00000000-0005-0000-0000-0000630A0000}"/>
    <cellStyle name="20% - Accent2 58 6" xfId="4745" xr:uid="{00000000-0005-0000-0000-0000640A0000}"/>
    <cellStyle name="20% - Accent2 58 6 2" xfId="16033" xr:uid="{00000000-0005-0000-0000-0000650A0000}"/>
    <cellStyle name="20% - Accent2 58 7" xfId="14039" xr:uid="{00000000-0005-0000-0000-0000660A0000}"/>
    <cellStyle name="20% - Accent2 58 8" xfId="12725" xr:uid="{00000000-0005-0000-0000-0000670A0000}"/>
    <cellStyle name="20% - Accent2 59" xfId="790" xr:uid="{00000000-0005-0000-0000-0000680A0000}"/>
    <cellStyle name="20% - Accent2 59 2" xfId="3746" xr:uid="{00000000-0005-0000-0000-0000690A0000}"/>
    <cellStyle name="20% - Accent2 59 2 2" xfId="11725" xr:uid="{00000000-0005-0000-0000-00006A0A0000}"/>
    <cellStyle name="20% - Accent2 59 2 2 2" xfId="23013" xr:uid="{00000000-0005-0000-0000-00006B0A0000}"/>
    <cellStyle name="20% - Accent2 59 2 3" xfId="9731" xr:uid="{00000000-0005-0000-0000-00006C0A0000}"/>
    <cellStyle name="20% - Accent2 59 2 3 2" xfId="21019" xr:uid="{00000000-0005-0000-0000-00006D0A0000}"/>
    <cellStyle name="20% - Accent2 59 2 4" xfId="7737" xr:uid="{00000000-0005-0000-0000-00006E0A0000}"/>
    <cellStyle name="20% - Accent2 59 2 4 2" xfId="19025" xr:uid="{00000000-0005-0000-0000-00006F0A0000}"/>
    <cellStyle name="20% - Accent2 59 2 5" xfId="5743" xr:uid="{00000000-0005-0000-0000-0000700A0000}"/>
    <cellStyle name="20% - Accent2 59 2 5 2" xfId="17031" xr:uid="{00000000-0005-0000-0000-0000710A0000}"/>
    <cellStyle name="20% - Accent2 59 2 6" xfId="15037" xr:uid="{00000000-0005-0000-0000-0000720A0000}"/>
    <cellStyle name="20% - Accent2 59 3" xfId="10728" xr:uid="{00000000-0005-0000-0000-0000730A0000}"/>
    <cellStyle name="20% - Accent2 59 3 2" xfId="22016" xr:uid="{00000000-0005-0000-0000-0000740A0000}"/>
    <cellStyle name="20% - Accent2 59 4" xfId="8734" xr:uid="{00000000-0005-0000-0000-0000750A0000}"/>
    <cellStyle name="20% - Accent2 59 4 2" xfId="20022" xr:uid="{00000000-0005-0000-0000-0000760A0000}"/>
    <cellStyle name="20% - Accent2 59 5" xfId="6740" xr:uid="{00000000-0005-0000-0000-0000770A0000}"/>
    <cellStyle name="20% - Accent2 59 5 2" xfId="18028" xr:uid="{00000000-0005-0000-0000-0000780A0000}"/>
    <cellStyle name="20% - Accent2 59 6" xfId="4746" xr:uid="{00000000-0005-0000-0000-0000790A0000}"/>
    <cellStyle name="20% - Accent2 59 6 2" xfId="16034" xr:uid="{00000000-0005-0000-0000-00007A0A0000}"/>
    <cellStyle name="20% - Accent2 59 7" xfId="14040" xr:uid="{00000000-0005-0000-0000-00007B0A0000}"/>
    <cellStyle name="20% - Accent2 59 8" xfId="12726" xr:uid="{00000000-0005-0000-0000-00007C0A0000}"/>
    <cellStyle name="20% - Accent2 6" xfId="791" xr:uid="{00000000-0005-0000-0000-00007D0A0000}"/>
    <cellStyle name="20% - Accent2 6 10" xfId="24569" xr:uid="{00000000-0005-0000-0000-00007E0A0000}"/>
    <cellStyle name="20% - Accent2 6 11" xfId="24959" xr:uid="{00000000-0005-0000-0000-00007F0A0000}"/>
    <cellStyle name="20% - Accent2 6 2" xfId="3747" xr:uid="{00000000-0005-0000-0000-0000800A0000}"/>
    <cellStyle name="20% - Accent2 6 2 2" xfId="11726" xr:uid="{00000000-0005-0000-0000-0000810A0000}"/>
    <cellStyle name="20% - Accent2 6 2 2 2" xfId="23014" xr:uid="{00000000-0005-0000-0000-0000820A0000}"/>
    <cellStyle name="20% - Accent2 6 2 3" xfId="9732" xr:uid="{00000000-0005-0000-0000-0000830A0000}"/>
    <cellStyle name="20% - Accent2 6 2 3 2" xfId="21020" xr:uid="{00000000-0005-0000-0000-0000840A0000}"/>
    <cellStyle name="20% - Accent2 6 2 4" xfId="7738" xr:uid="{00000000-0005-0000-0000-0000850A0000}"/>
    <cellStyle name="20% - Accent2 6 2 4 2" xfId="19026" xr:uid="{00000000-0005-0000-0000-0000860A0000}"/>
    <cellStyle name="20% - Accent2 6 2 5" xfId="5744" xr:uid="{00000000-0005-0000-0000-0000870A0000}"/>
    <cellStyle name="20% - Accent2 6 2 5 2" xfId="17032" xr:uid="{00000000-0005-0000-0000-0000880A0000}"/>
    <cellStyle name="20% - Accent2 6 2 6" xfId="15038" xr:uid="{00000000-0005-0000-0000-0000890A0000}"/>
    <cellStyle name="20% - Accent2 6 2 7" xfId="24330" xr:uid="{00000000-0005-0000-0000-00008A0A0000}"/>
    <cellStyle name="20% - Accent2 6 2 8" xfId="24794" xr:uid="{00000000-0005-0000-0000-00008B0A0000}"/>
    <cellStyle name="20% - Accent2 6 2 9" xfId="25161" xr:uid="{00000000-0005-0000-0000-00008C0A0000}"/>
    <cellStyle name="20% - Accent2 6 3" xfId="10729" xr:uid="{00000000-0005-0000-0000-00008D0A0000}"/>
    <cellStyle name="20% - Accent2 6 3 2" xfId="22017" xr:uid="{00000000-0005-0000-0000-00008E0A0000}"/>
    <cellStyle name="20% - Accent2 6 4" xfId="8735" xr:uid="{00000000-0005-0000-0000-00008F0A0000}"/>
    <cellStyle name="20% - Accent2 6 4 2" xfId="20023" xr:uid="{00000000-0005-0000-0000-0000900A0000}"/>
    <cellStyle name="20% - Accent2 6 5" xfId="6741" xr:uid="{00000000-0005-0000-0000-0000910A0000}"/>
    <cellStyle name="20% - Accent2 6 5 2" xfId="18029" xr:uid="{00000000-0005-0000-0000-0000920A0000}"/>
    <cellStyle name="20% - Accent2 6 6" xfId="4747" xr:uid="{00000000-0005-0000-0000-0000930A0000}"/>
    <cellStyle name="20% - Accent2 6 6 2" xfId="16035" xr:uid="{00000000-0005-0000-0000-0000940A0000}"/>
    <cellStyle name="20% - Accent2 6 7" xfId="14041" xr:uid="{00000000-0005-0000-0000-0000950A0000}"/>
    <cellStyle name="20% - Accent2 6 8" xfId="12727" xr:uid="{00000000-0005-0000-0000-0000960A0000}"/>
    <cellStyle name="20% - Accent2 6 9" xfId="23942" xr:uid="{00000000-0005-0000-0000-0000970A0000}"/>
    <cellStyle name="20% - Accent2 60" xfId="792" xr:uid="{00000000-0005-0000-0000-0000980A0000}"/>
    <cellStyle name="20% - Accent2 60 2" xfId="3748" xr:uid="{00000000-0005-0000-0000-0000990A0000}"/>
    <cellStyle name="20% - Accent2 60 2 2" xfId="11727" xr:uid="{00000000-0005-0000-0000-00009A0A0000}"/>
    <cellStyle name="20% - Accent2 60 2 2 2" xfId="23015" xr:uid="{00000000-0005-0000-0000-00009B0A0000}"/>
    <cellStyle name="20% - Accent2 60 2 3" xfId="9733" xr:uid="{00000000-0005-0000-0000-00009C0A0000}"/>
    <cellStyle name="20% - Accent2 60 2 3 2" xfId="21021" xr:uid="{00000000-0005-0000-0000-00009D0A0000}"/>
    <cellStyle name="20% - Accent2 60 2 4" xfId="7739" xr:uid="{00000000-0005-0000-0000-00009E0A0000}"/>
    <cellStyle name="20% - Accent2 60 2 4 2" xfId="19027" xr:uid="{00000000-0005-0000-0000-00009F0A0000}"/>
    <cellStyle name="20% - Accent2 60 2 5" xfId="5745" xr:uid="{00000000-0005-0000-0000-0000A00A0000}"/>
    <cellStyle name="20% - Accent2 60 2 5 2" xfId="17033" xr:uid="{00000000-0005-0000-0000-0000A10A0000}"/>
    <cellStyle name="20% - Accent2 60 2 6" xfId="15039" xr:uid="{00000000-0005-0000-0000-0000A20A0000}"/>
    <cellStyle name="20% - Accent2 60 3" xfId="10730" xr:uid="{00000000-0005-0000-0000-0000A30A0000}"/>
    <cellStyle name="20% - Accent2 60 3 2" xfId="22018" xr:uid="{00000000-0005-0000-0000-0000A40A0000}"/>
    <cellStyle name="20% - Accent2 60 4" xfId="8736" xr:uid="{00000000-0005-0000-0000-0000A50A0000}"/>
    <cellStyle name="20% - Accent2 60 4 2" xfId="20024" xr:uid="{00000000-0005-0000-0000-0000A60A0000}"/>
    <cellStyle name="20% - Accent2 60 5" xfId="6742" xr:uid="{00000000-0005-0000-0000-0000A70A0000}"/>
    <cellStyle name="20% - Accent2 60 5 2" xfId="18030" xr:uid="{00000000-0005-0000-0000-0000A80A0000}"/>
    <cellStyle name="20% - Accent2 60 6" xfId="4748" xr:uid="{00000000-0005-0000-0000-0000A90A0000}"/>
    <cellStyle name="20% - Accent2 60 6 2" xfId="16036" xr:uid="{00000000-0005-0000-0000-0000AA0A0000}"/>
    <cellStyle name="20% - Accent2 60 7" xfId="14042" xr:uid="{00000000-0005-0000-0000-0000AB0A0000}"/>
    <cellStyle name="20% - Accent2 60 8" xfId="12728" xr:uid="{00000000-0005-0000-0000-0000AC0A0000}"/>
    <cellStyle name="20% - Accent2 61" xfId="793" xr:uid="{00000000-0005-0000-0000-0000AD0A0000}"/>
    <cellStyle name="20% - Accent2 61 2" xfId="3749" xr:uid="{00000000-0005-0000-0000-0000AE0A0000}"/>
    <cellStyle name="20% - Accent2 61 2 2" xfId="11728" xr:uid="{00000000-0005-0000-0000-0000AF0A0000}"/>
    <cellStyle name="20% - Accent2 61 2 2 2" xfId="23016" xr:uid="{00000000-0005-0000-0000-0000B00A0000}"/>
    <cellStyle name="20% - Accent2 61 2 3" xfId="9734" xr:uid="{00000000-0005-0000-0000-0000B10A0000}"/>
    <cellStyle name="20% - Accent2 61 2 3 2" xfId="21022" xr:uid="{00000000-0005-0000-0000-0000B20A0000}"/>
    <cellStyle name="20% - Accent2 61 2 4" xfId="7740" xr:uid="{00000000-0005-0000-0000-0000B30A0000}"/>
    <cellStyle name="20% - Accent2 61 2 4 2" xfId="19028" xr:uid="{00000000-0005-0000-0000-0000B40A0000}"/>
    <cellStyle name="20% - Accent2 61 2 5" xfId="5746" xr:uid="{00000000-0005-0000-0000-0000B50A0000}"/>
    <cellStyle name="20% - Accent2 61 2 5 2" xfId="17034" xr:uid="{00000000-0005-0000-0000-0000B60A0000}"/>
    <cellStyle name="20% - Accent2 61 2 6" xfId="15040" xr:uid="{00000000-0005-0000-0000-0000B70A0000}"/>
    <cellStyle name="20% - Accent2 61 3" xfId="10731" xr:uid="{00000000-0005-0000-0000-0000B80A0000}"/>
    <cellStyle name="20% - Accent2 61 3 2" xfId="22019" xr:uid="{00000000-0005-0000-0000-0000B90A0000}"/>
    <cellStyle name="20% - Accent2 61 4" xfId="8737" xr:uid="{00000000-0005-0000-0000-0000BA0A0000}"/>
    <cellStyle name="20% - Accent2 61 4 2" xfId="20025" xr:uid="{00000000-0005-0000-0000-0000BB0A0000}"/>
    <cellStyle name="20% - Accent2 61 5" xfId="6743" xr:uid="{00000000-0005-0000-0000-0000BC0A0000}"/>
    <cellStyle name="20% - Accent2 61 5 2" xfId="18031" xr:uid="{00000000-0005-0000-0000-0000BD0A0000}"/>
    <cellStyle name="20% - Accent2 61 6" xfId="4749" xr:uid="{00000000-0005-0000-0000-0000BE0A0000}"/>
    <cellStyle name="20% - Accent2 61 6 2" xfId="16037" xr:uid="{00000000-0005-0000-0000-0000BF0A0000}"/>
    <cellStyle name="20% - Accent2 61 7" xfId="14043" xr:uid="{00000000-0005-0000-0000-0000C00A0000}"/>
    <cellStyle name="20% - Accent2 61 8" xfId="12729" xr:uid="{00000000-0005-0000-0000-0000C10A0000}"/>
    <cellStyle name="20% - Accent2 62" xfId="794" xr:uid="{00000000-0005-0000-0000-0000C20A0000}"/>
    <cellStyle name="20% - Accent2 62 2" xfId="3750" xr:uid="{00000000-0005-0000-0000-0000C30A0000}"/>
    <cellStyle name="20% - Accent2 62 2 2" xfId="11729" xr:uid="{00000000-0005-0000-0000-0000C40A0000}"/>
    <cellStyle name="20% - Accent2 62 2 2 2" xfId="23017" xr:uid="{00000000-0005-0000-0000-0000C50A0000}"/>
    <cellStyle name="20% - Accent2 62 2 3" xfId="9735" xr:uid="{00000000-0005-0000-0000-0000C60A0000}"/>
    <cellStyle name="20% - Accent2 62 2 3 2" xfId="21023" xr:uid="{00000000-0005-0000-0000-0000C70A0000}"/>
    <cellStyle name="20% - Accent2 62 2 4" xfId="7741" xr:uid="{00000000-0005-0000-0000-0000C80A0000}"/>
    <cellStyle name="20% - Accent2 62 2 4 2" xfId="19029" xr:uid="{00000000-0005-0000-0000-0000C90A0000}"/>
    <cellStyle name="20% - Accent2 62 2 5" xfId="5747" xr:uid="{00000000-0005-0000-0000-0000CA0A0000}"/>
    <cellStyle name="20% - Accent2 62 2 5 2" xfId="17035" xr:uid="{00000000-0005-0000-0000-0000CB0A0000}"/>
    <cellStyle name="20% - Accent2 62 2 6" xfId="15041" xr:uid="{00000000-0005-0000-0000-0000CC0A0000}"/>
    <cellStyle name="20% - Accent2 62 3" xfId="10732" xr:uid="{00000000-0005-0000-0000-0000CD0A0000}"/>
    <cellStyle name="20% - Accent2 62 3 2" xfId="22020" xr:uid="{00000000-0005-0000-0000-0000CE0A0000}"/>
    <cellStyle name="20% - Accent2 62 4" xfId="8738" xr:uid="{00000000-0005-0000-0000-0000CF0A0000}"/>
    <cellStyle name="20% - Accent2 62 4 2" xfId="20026" xr:uid="{00000000-0005-0000-0000-0000D00A0000}"/>
    <cellStyle name="20% - Accent2 62 5" xfId="6744" xr:uid="{00000000-0005-0000-0000-0000D10A0000}"/>
    <cellStyle name="20% - Accent2 62 5 2" xfId="18032" xr:uid="{00000000-0005-0000-0000-0000D20A0000}"/>
    <cellStyle name="20% - Accent2 62 6" xfId="4750" xr:uid="{00000000-0005-0000-0000-0000D30A0000}"/>
    <cellStyle name="20% - Accent2 62 6 2" xfId="16038" xr:uid="{00000000-0005-0000-0000-0000D40A0000}"/>
    <cellStyle name="20% - Accent2 62 7" xfId="14044" xr:uid="{00000000-0005-0000-0000-0000D50A0000}"/>
    <cellStyle name="20% - Accent2 62 8" xfId="12730" xr:uid="{00000000-0005-0000-0000-0000D60A0000}"/>
    <cellStyle name="20% - Accent2 63" xfId="795" xr:uid="{00000000-0005-0000-0000-0000D70A0000}"/>
    <cellStyle name="20% - Accent2 63 2" xfId="3751" xr:uid="{00000000-0005-0000-0000-0000D80A0000}"/>
    <cellStyle name="20% - Accent2 63 2 2" xfId="11730" xr:uid="{00000000-0005-0000-0000-0000D90A0000}"/>
    <cellStyle name="20% - Accent2 63 2 2 2" xfId="23018" xr:uid="{00000000-0005-0000-0000-0000DA0A0000}"/>
    <cellStyle name="20% - Accent2 63 2 3" xfId="9736" xr:uid="{00000000-0005-0000-0000-0000DB0A0000}"/>
    <cellStyle name="20% - Accent2 63 2 3 2" xfId="21024" xr:uid="{00000000-0005-0000-0000-0000DC0A0000}"/>
    <cellStyle name="20% - Accent2 63 2 4" xfId="7742" xr:uid="{00000000-0005-0000-0000-0000DD0A0000}"/>
    <cellStyle name="20% - Accent2 63 2 4 2" xfId="19030" xr:uid="{00000000-0005-0000-0000-0000DE0A0000}"/>
    <cellStyle name="20% - Accent2 63 2 5" xfId="5748" xr:uid="{00000000-0005-0000-0000-0000DF0A0000}"/>
    <cellStyle name="20% - Accent2 63 2 5 2" xfId="17036" xr:uid="{00000000-0005-0000-0000-0000E00A0000}"/>
    <cellStyle name="20% - Accent2 63 2 6" xfId="15042" xr:uid="{00000000-0005-0000-0000-0000E10A0000}"/>
    <cellStyle name="20% - Accent2 63 3" xfId="10733" xr:uid="{00000000-0005-0000-0000-0000E20A0000}"/>
    <cellStyle name="20% - Accent2 63 3 2" xfId="22021" xr:uid="{00000000-0005-0000-0000-0000E30A0000}"/>
    <cellStyle name="20% - Accent2 63 4" xfId="8739" xr:uid="{00000000-0005-0000-0000-0000E40A0000}"/>
    <cellStyle name="20% - Accent2 63 4 2" xfId="20027" xr:uid="{00000000-0005-0000-0000-0000E50A0000}"/>
    <cellStyle name="20% - Accent2 63 5" xfId="6745" xr:uid="{00000000-0005-0000-0000-0000E60A0000}"/>
    <cellStyle name="20% - Accent2 63 5 2" xfId="18033" xr:uid="{00000000-0005-0000-0000-0000E70A0000}"/>
    <cellStyle name="20% - Accent2 63 6" xfId="4751" xr:uid="{00000000-0005-0000-0000-0000E80A0000}"/>
    <cellStyle name="20% - Accent2 63 6 2" xfId="16039" xr:uid="{00000000-0005-0000-0000-0000E90A0000}"/>
    <cellStyle name="20% - Accent2 63 7" xfId="14045" xr:uid="{00000000-0005-0000-0000-0000EA0A0000}"/>
    <cellStyle name="20% - Accent2 63 8" xfId="12731" xr:uid="{00000000-0005-0000-0000-0000EB0A0000}"/>
    <cellStyle name="20% - Accent2 64" xfId="796" xr:uid="{00000000-0005-0000-0000-0000EC0A0000}"/>
    <cellStyle name="20% - Accent2 64 2" xfId="3752" xr:uid="{00000000-0005-0000-0000-0000ED0A0000}"/>
    <cellStyle name="20% - Accent2 64 2 2" xfId="11731" xr:uid="{00000000-0005-0000-0000-0000EE0A0000}"/>
    <cellStyle name="20% - Accent2 64 2 2 2" xfId="23019" xr:uid="{00000000-0005-0000-0000-0000EF0A0000}"/>
    <cellStyle name="20% - Accent2 64 2 3" xfId="9737" xr:uid="{00000000-0005-0000-0000-0000F00A0000}"/>
    <cellStyle name="20% - Accent2 64 2 3 2" xfId="21025" xr:uid="{00000000-0005-0000-0000-0000F10A0000}"/>
    <cellStyle name="20% - Accent2 64 2 4" xfId="7743" xr:uid="{00000000-0005-0000-0000-0000F20A0000}"/>
    <cellStyle name="20% - Accent2 64 2 4 2" xfId="19031" xr:uid="{00000000-0005-0000-0000-0000F30A0000}"/>
    <cellStyle name="20% - Accent2 64 2 5" xfId="5749" xr:uid="{00000000-0005-0000-0000-0000F40A0000}"/>
    <cellStyle name="20% - Accent2 64 2 5 2" xfId="17037" xr:uid="{00000000-0005-0000-0000-0000F50A0000}"/>
    <cellStyle name="20% - Accent2 64 2 6" xfId="15043" xr:uid="{00000000-0005-0000-0000-0000F60A0000}"/>
    <cellStyle name="20% - Accent2 64 3" xfId="10734" xr:uid="{00000000-0005-0000-0000-0000F70A0000}"/>
    <cellStyle name="20% - Accent2 64 3 2" xfId="22022" xr:uid="{00000000-0005-0000-0000-0000F80A0000}"/>
    <cellStyle name="20% - Accent2 64 4" xfId="8740" xr:uid="{00000000-0005-0000-0000-0000F90A0000}"/>
    <cellStyle name="20% - Accent2 64 4 2" xfId="20028" xr:uid="{00000000-0005-0000-0000-0000FA0A0000}"/>
    <cellStyle name="20% - Accent2 64 5" xfId="6746" xr:uid="{00000000-0005-0000-0000-0000FB0A0000}"/>
    <cellStyle name="20% - Accent2 64 5 2" xfId="18034" xr:uid="{00000000-0005-0000-0000-0000FC0A0000}"/>
    <cellStyle name="20% - Accent2 64 6" xfId="4752" xr:uid="{00000000-0005-0000-0000-0000FD0A0000}"/>
    <cellStyle name="20% - Accent2 64 6 2" xfId="16040" xr:uid="{00000000-0005-0000-0000-0000FE0A0000}"/>
    <cellStyle name="20% - Accent2 64 7" xfId="14046" xr:uid="{00000000-0005-0000-0000-0000FF0A0000}"/>
    <cellStyle name="20% - Accent2 64 8" xfId="12732" xr:uid="{00000000-0005-0000-0000-0000000B0000}"/>
    <cellStyle name="20% - Accent2 65" xfId="797" xr:uid="{00000000-0005-0000-0000-0000010B0000}"/>
    <cellStyle name="20% - Accent2 65 2" xfId="3753" xr:uid="{00000000-0005-0000-0000-0000020B0000}"/>
    <cellStyle name="20% - Accent2 65 2 2" xfId="11732" xr:uid="{00000000-0005-0000-0000-0000030B0000}"/>
    <cellStyle name="20% - Accent2 65 2 2 2" xfId="23020" xr:uid="{00000000-0005-0000-0000-0000040B0000}"/>
    <cellStyle name="20% - Accent2 65 2 3" xfId="9738" xr:uid="{00000000-0005-0000-0000-0000050B0000}"/>
    <cellStyle name="20% - Accent2 65 2 3 2" xfId="21026" xr:uid="{00000000-0005-0000-0000-0000060B0000}"/>
    <cellStyle name="20% - Accent2 65 2 4" xfId="7744" xr:uid="{00000000-0005-0000-0000-0000070B0000}"/>
    <cellStyle name="20% - Accent2 65 2 4 2" xfId="19032" xr:uid="{00000000-0005-0000-0000-0000080B0000}"/>
    <cellStyle name="20% - Accent2 65 2 5" xfId="5750" xr:uid="{00000000-0005-0000-0000-0000090B0000}"/>
    <cellStyle name="20% - Accent2 65 2 5 2" xfId="17038" xr:uid="{00000000-0005-0000-0000-00000A0B0000}"/>
    <cellStyle name="20% - Accent2 65 2 6" xfId="15044" xr:uid="{00000000-0005-0000-0000-00000B0B0000}"/>
    <cellStyle name="20% - Accent2 65 3" xfId="10735" xr:uid="{00000000-0005-0000-0000-00000C0B0000}"/>
    <cellStyle name="20% - Accent2 65 3 2" xfId="22023" xr:uid="{00000000-0005-0000-0000-00000D0B0000}"/>
    <cellStyle name="20% - Accent2 65 4" xfId="8741" xr:uid="{00000000-0005-0000-0000-00000E0B0000}"/>
    <cellStyle name="20% - Accent2 65 4 2" xfId="20029" xr:uid="{00000000-0005-0000-0000-00000F0B0000}"/>
    <cellStyle name="20% - Accent2 65 5" xfId="6747" xr:uid="{00000000-0005-0000-0000-0000100B0000}"/>
    <cellStyle name="20% - Accent2 65 5 2" xfId="18035" xr:uid="{00000000-0005-0000-0000-0000110B0000}"/>
    <cellStyle name="20% - Accent2 65 6" xfId="4753" xr:uid="{00000000-0005-0000-0000-0000120B0000}"/>
    <cellStyle name="20% - Accent2 65 6 2" xfId="16041" xr:uid="{00000000-0005-0000-0000-0000130B0000}"/>
    <cellStyle name="20% - Accent2 65 7" xfId="14047" xr:uid="{00000000-0005-0000-0000-0000140B0000}"/>
    <cellStyle name="20% - Accent2 65 8" xfId="12733" xr:uid="{00000000-0005-0000-0000-0000150B0000}"/>
    <cellStyle name="20% - Accent2 66" xfId="798" xr:uid="{00000000-0005-0000-0000-0000160B0000}"/>
    <cellStyle name="20% - Accent2 66 2" xfId="3754" xr:uid="{00000000-0005-0000-0000-0000170B0000}"/>
    <cellStyle name="20% - Accent2 66 2 2" xfId="11733" xr:uid="{00000000-0005-0000-0000-0000180B0000}"/>
    <cellStyle name="20% - Accent2 66 2 2 2" xfId="23021" xr:uid="{00000000-0005-0000-0000-0000190B0000}"/>
    <cellStyle name="20% - Accent2 66 2 3" xfId="9739" xr:uid="{00000000-0005-0000-0000-00001A0B0000}"/>
    <cellStyle name="20% - Accent2 66 2 3 2" xfId="21027" xr:uid="{00000000-0005-0000-0000-00001B0B0000}"/>
    <cellStyle name="20% - Accent2 66 2 4" xfId="7745" xr:uid="{00000000-0005-0000-0000-00001C0B0000}"/>
    <cellStyle name="20% - Accent2 66 2 4 2" xfId="19033" xr:uid="{00000000-0005-0000-0000-00001D0B0000}"/>
    <cellStyle name="20% - Accent2 66 2 5" xfId="5751" xr:uid="{00000000-0005-0000-0000-00001E0B0000}"/>
    <cellStyle name="20% - Accent2 66 2 5 2" xfId="17039" xr:uid="{00000000-0005-0000-0000-00001F0B0000}"/>
    <cellStyle name="20% - Accent2 66 2 6" xfId="15045" xr:uid="{00000000-0005-0000-0000-0000200B0000}"/>
    <cellStyle name="20% - Accent2 66 3" xfId="10736" xr:uid="{00000000-0005-0000-0000-0000210B0000}"/>
    <cellStyle name="20% - Accent2 66 3 2" xfId="22024" xr:uid="{00000000-0005-0000-0000-0000220B0000}"/>
    <cellStyle name="20% - Accent2 66 4" xfId="8742" xr:uid="{00000000-0005-0000-0000-0000230B0000}"/>
    <cellStyle name="20% - Accent2 66 4 2" xfId="20030" xr:uid="{00000000-0005-0000-0000-0000240B0000}"/>
    <cellStyle name="20% - Accent2 66 5" xfId="6748" xr:uid="{00000000-0005-0000-0000-0000250B0000}"/>
    <cellStyle name="20% - Accent2 66 5 2" xfId="18036" xr:uid="{00000000-0005-0000-0000-0000260B0000}"/>
    <cellStyle name="20% - Accent2 66 6" xfId="4754" xr:uid="{00000000-0005-0000-0000-0000270B0000}"/>
    <cellStyle name="20% - Accent2 66 6 2" xfId="16042" xr:uid="{00000000-0005-0000-0000-0000280B0000}"/>
    <cellStyle name="20% - Accent2 66 7" xfId="14048" xr:uid="{00000000-0005-0000-0000-0000290B0000}"/>
    <cellStyle name="20% - Accent2 66 8" xfId="12734" xr:uid="{00000000-0005-0000-0000-00002A0B0000}"/>
    <cellStyle name="20% - Accent2 67" xfId="799" xr:uid="{00000000-0005-0000-0000-00002B0B0000}"/>
    <cellStyle name="20% - Accent2 67 2" xfId="3755" xr:uid="{00000000-0005-0000-0000-00002C0B0000}"/>
    <cellStyle name="20% - Accent2 67 2 2" xfId="11734" xr:uid="{00000000-0005-0000-0000-00002D0B0000}"/>
    <cellStyle name="20% - Accent2 67 2 2 2" xfId="23022" xr:uid="{00000000-0005-0000-0000-00002E0B0000}"/>
    <cellStyle name="20% - Accent2 67 2 3" xfId="9740" xr:uid="{00000000-0005-0000-0000-00002F0B0000}"/>
    <cellStyle name="20% - Accent2 67 2 3 2" xfId="21028" xr:uid="{00000000-0005-0000-0000-0000300B0000}"/>
    <cellStyle name="20% - Accent2 67 2 4" xfId="7746" xr:uid="{00000000-0005-0000-0000-0000310B0000}"/>
    <cellStyle name="20% - Accent2 67 2 4 2" xfId="19034" xr:uid="{00000000-0005-0000-0000-0000320B0000}"/>
    <cellStyle name="20% - Accent2 67 2 5" xfId="5752" xr:uid="{00000000-0005-0000-0000-0000330B0000}"/>
    <cellStyle name="20% - Accent2 67 2 5 2" xfId="17040" xr:uid="{00000000-0005-0000-0000-0000340B0000}"/>
    <cellStyle name="20% - Accent2 67 2 6" xfId="15046" xr:uid="{00000000-0005-0000-0000-0000350B0000}"/>
    <cellStyle name="20% - Accent2 67 3" xfId="10737" xr:uid="{00000000-0005-0000-0000-0000360B0000}"/>
    <cellStyle name="20% - Accent2 67 3 2" xfId="22025" xr:uid="{00000000-0005-0000-0000-0000370B0000}"/>
    <cellStyle name="20% - Accent2 67 4" xfId="8743" xr:uid="{00000000-0005-0000-0000-0000380B0000}"/>
    <cellStyle name="20% - Accent2 67 4 2" xfId="20031" xr:uid="{00000000-0005-0000-0000-0000390B0000}"/>
    <cellStyle name="20% - Accent2 67 5" xfId="6749" xr:uid="{00000000-0005-0000-0000-00003A0B0000}"/>
    <cellStyle name="20% - Accent2 67 5 2" xfId="18037" xr:uid="{00000000-0005-0000-0000-00003B0B0000}"/>
    <cellStyle name="20% - Accent2 67 6" xfId="4755" xr:uid="{00000000-0005-0000-0000-00003C0B0000}"/>
    <cellStyle name="20% - Accent2 67 6 2" xfId="16043" xr:uid="{00000000-0005-0000-0000-00003D0B0000}"/>
    <cellStyle name="20% - Accent2 67 7" xfId="14049" xr:uid="{00000000-0005-0000-0000-00003E0B0000}"/>
    <cellStyle name="20% - Accent2 67 8" xfId="12735" xr:uid="{00000000-0005-0000-0000-00003F0B0000}"/>
    <cellStyle name="20% - Accent2 68" xfId="800" xr:uid="{00000000-0005-0000-0000-0000400B0000}"/>
    <cellStyle name="20% - Accent2 68 2" xfId="3756" xr:uid="{00000000-0005-0000-0000-0000410B0000}"/>
    <cellStyle name="20% - Accent2 68 2 2" xfId="11735" xr:uid="{00000000-0005-0000-0000-0000420B0000}"/>
    <cellStyle name="20% - Accent2 68 2 2 2" xfId="23023" xr:uid="{00000000-0005-0000-0000-0000430B0000}"/>
    <cellStyle name="20% - Accent2 68 2 3" xfId="9741" xr:uid="{00000000-0005-0000-0000-0000440B0000}"/>
    <cellStyle name="20% - Accent2 68 2 3 2" xfId="21029" xr:uid="{00000000-0005-0000-0000-0000450B0000}"/>
    <cellStyle name="20% - Accent2 68 2 4" xfId="7747" xr:uid="{00000000-0005-0000-0000-0000460B0000}"/>
    <cellStyle name="20% - Accent2 68 2 4 2" xfId="19035" xr:uid="{00000000-0005-0000-0000-0000470B0000}"/>
    <cellStyle name="20% - Accent2 68 2 5" xfId="5753" xr:uid="{00000000-0005-0000-0000-0000480B0000}"/>
    <cellStyle name="20% - Accent2 68 2 5 2" xfId="17041" xr:uid="{00000000-0005-0000-0000-0000490B0000}"/>
    <cellStyle name="20% - Accent2 68 2 6" xfId="15047" xr:uid="{00000000-0005-0000-0000-00004A0B0000}"/>
    <cellStyle name="20% - Accent2 68 3" xfId="10738" xr:uid="{00000000-0005-0000-0000-00004B0B0000}"/>
    <cellStyle name="20% - Accent2 68 3 2" xfId="22026" xr:uid="{00000000-0005-0000-0000-00004C0B0000}"/>
    <cellStyle name="20% - Accent2 68 4" xfId="8744" xr:uid="{00000000-0005-0000-0000-00004D0B0000}"/>
    <cellStyle name="20% - Accent2 68 4 2" xfId="20032" xr:uid="{00000000-0005-0000-0000-00004E0B0000}"/>
    <cellStyle name="20% - Accent2 68 5" xfId="6750" xr:uid="{00000000-0005-0000-0000-00004F0B0000}"/>
    <cellStyle name="20% - Accent2 68 5 2" xfId="18038" xr:uid="{00000000-0005-0000-0000-0000500B0000}"/>
    <cellStyle name="20% - Accent2 68 6" xfId="4756" xr:uid="{00000000-0005-0000-0000-0000510B0000}"/>
    <cellStyle name="20% - Accent2 68 6 2" xfId="16044" xr:uid="{00000000-0005-0000-0000-0000520B0000}"/>
    <cellStyle name="20% - Accent2 68 7" xfId="14050" xr:uid="{00000000-0005-0000-0000-0000530B0000}"/>
    <cellStyle name="20% - Accent2 68 8" xfId="12736" xr:uid="{00000000-0005-0000-0000-0000540B0000}"/>
    <cellStyle name="20% - Accent2 69" xfId="801" xr:uid="{00000000-0005-0000-0000-0000550B0000}"/>
    <cellStyle name="20% - Accent2 69 2" xfId="3757" xr:uid="{00000000-0005-0000-0000-0000560B0000}"/>
    <cellStyle name="20% - Accent2 69 2 2" xfId="11736" xr:uid="{00000000-0005-0000-0000-0000570B0000}"/>
    <cellStyle name="20% - Accent2 69 2 2 2" xfId="23024" xr:uid="{00000000-0005-0000-0000-0000580B0000}"/>
    <cellStyle name="20% - Accent2 69 2 3" xfId="9742" xr:uid="{00000000-0005-0000-0000-0000590B0000}"/>
    <cellStyle name="20% - Accent2 69 2 3 2" xfId="21030" xr:uid="{00000000-0005-0000-0000-00005A0B0000}"/>
    <cellStyle name="20% - Accent2 69 2 4" xfId="7748" xr:uid="{00000000-0005-0000-0000-00005B0B0000}"/>
    <cellStyle name="20% - Accent2 69 2 4 2" xfId="19036" xr:uid="{00000000-0005-0000-0000-00005C0B0000}"/>
    <cellStyle name="20% - Accent2 69 2 5" xfId="5754" xr:uid="{00000000-0005-0000-0000-00005D0B0000}"/>
    <cellStyle name="20% - Accent2 69 2 5 2" xfId="17042" xr:uid="{00000000-0005-0000-0000-00005E0B0000}"/>
    <cellStyle name="20% - Accent2 69 2 6" xfId="15048" xr:uid="{00000000-0005-0000-0000-00005F0B0000}"/>
    <cellStyle name="20% - Accent2 69 3" xfId="10739" xr:uid="{00000000-0005-0000-0000-0000600B0000}"/>
    <cellStyle name="20% - Accent2 69 3 2" xfId="22027" xr:uid="{00000000-0005-0000-0000-0000610B0000}"/>
    <cellStyle name="20% - Accent2 69 4" xfId="8745" xr:uid="{00000000-0005-0000-0000-0000620B0000}"/>
    <cellStyle name="20% - Accent2 69 4 2" xfId="20033" xr:uid="{00000000-0005-0000-0000-0000630B0000}"/>
    <cellStyle name="20% - Accent2 69 5" xfId="6751" xr:uid="{00000000-0005-0000-0000-0000640B0000}"/>
    <cellStyle name="20% - Accent2 69 5 2" xfId="18039" xr:uid="{00000000-0005-0000-0000-0000650B0000}"/>
    <cellStyle name="20% - Accent2 69 6" xfId="4757" xr:uid="{00000000-0005-0000-0000-0000660B0000}"/>
    <cellStyle name="20% - Accent2 69 6 2" xfId="16045" xr:uid="{00000000-0005-0000-0000-0000670B0000}"/>
    <cellStyle name="20% - Accent2 69 7" xfId="14051" xr:uid="{00000000-0005-0000-0000-0000680B0000}"/>
    <cellStyle name="20% - Accent2 69 8" xfId="12737" xr:uid="{00000000-0005-0000-0000-0000690B0000}"/>
    <cellStyle name="20% - Accent2 7" xfId="802" xr:uid="{00000000-0005-0000-0000-00006A0B0000}"/>
    <cellStyle name="20% - Accent2 7 10" xfId="24570" xr:uid="{00000000-0005-0000-0000-00006B0B0000}"/>
    <cellStyle name="20% - Accent2 7 11" xfId="24960" xr:uid="{00000000-0005-0000-0000-00006C0B0000}"/>
    <cellStyle name="20% - Accent2 7 2" xfId="3758" xr:uid="{00000000-0005-0000-0000-00006D0B0000}"/>
    <cellStyle name="20% - Accent2 7 2 2" xfId="11737" xr:uid="{00000000-0005-0000-0000-00006E0B0000}"/>
    <cellStyle name="20% - Accent2 7 2 2 2" xfId="23025" xr:uid="{00000000-0005-0000-0000-00006F0B0000}"/>
    <cellStyle name="20% - Accent2 7 2 3" xfId="9743" xr:uid="{00000000-0005-0000-0000-0000700B0000}"/>
    <cellStyle name="20% - Accent2 7 2 3 2" xfId="21031" xr:uid="{00000000-0005-0000-0000-0000710B0000}"/>
    <cellStyle name="20% - Accent2 7 2 4" xfId="7749" xr:uid="{00000000-0005-0000-0000-0000720B0000}"/>
    <cellStyle name="20% - Accent2 7 2 4 2" xfId="19037" xr:uid="{00000000-0005-0000-0000-0000730B0000}"/>
    <cellStyle name="20% - Accent2 7 2 5" xfId="5755" xr:uid="{00000000-0005-0000-0000-0000740B0000}"/>
    <cellStyle name="20% - Accent2 7 2 5 2" xfId="17043" xr:uid="{00000000-0005-0000-0000-0000750B0000}"/>
    <cellStyle name="20% - Accent2 7 2 6" xfId="15049" xr:uid="{00000000-0005-0000-0000-0000760B0000}"/>
    <cellStyle name="20% - Accent2 7 2 7" xfId="24331" xr:uid="{00000000-0005-0000-0000-0000770B0000}"/>
    <cellStyle name="20% - Accent2 7 2 8" xfId="24795" xr:uid="{00000000-0005-0000-0000-0000780B0000}"/>
    <cellStyle name="20% - Accent2 7 2 9" xfId="25162" xr:uid="{00000000-0005-0000-0000-0000790B0000}"/>
    <cellStyle name="20% - Accent2 7 3" xfId="10740" xr:uid="{00000000-0005-0000-0000-00007A0B0000}"/>
    <cellStyle name="20% - Accent2 7 3 2" xfId="22028" xr:uid="{00000000-0005-0000-0000-00007B0B0000}"/>
    <cellStyle name="20% - Accent2 7 4" xfId="8746" xr:uid="{00000000-0005-0000-0000-00007C0B0000}"/>
    <cellStyle name="20% - Accent2 7 4 2" xfId="20034" xr:uid="{00000000-0005-0000-0000-00007D0B0000}"/>
    <cellStyle name="20% - Accent2 7 5" xfId="6752" xr:uid="{00000000-0005-0000-0000-00007E0B0000}"/>
    <cellStyle name="20% - Accent2 7 5 2" xfId="18040" xr:uid="{00000000-0005-0000-0000-00007F0B0000}"/>
    <cellStyle name="20% - Accent2 7 6" xfId="4758" xr:uid="{00000000-0005-0000-0000-0000800B0000}"/>
    <cellStyle name="20% - Accent2 7 6 2" xfId="16046" xr:uid="{00000000-0005-0000-0000-0000810B0000}"/>
    <cellStyle name="20% - Accent2 7 7" xfId="14052" xr:uid="{00000000-0005-0000-0000-0000820B0000}"/>
    <cellStyle name="20% - Accent2 7 8" xfId="12738" xr:uid="{00000000-0005-0000-0000-0000830B0000}"/>
    <cellStyle name="20% - Accent2 7 9" xfId="23943" xr:uid="{00000000-0005-0000-0000-0000840B0000}"/>
    <cellStyle name="20% - Accent2 70" xfId="803" xr:uid="{00000000-0005-0000-0000-0000850B0000}"/>
    <cellStyle name="20% - Accent2 70 2" xfId="3759" xr:uid="{00000000-0005-0000-0000-0000860B0000}"/>
    <cellStyle name="20% - Accent2 70 2 2" xfId="11738" xr:uid="{00000000-0005-0000-0000-0000870B0000}"/>
    <cellStyle name="20% - Accent2 70 2 2 2" xfId="23026" xr:uid="{00000000-0005-0000-0000-0000880B0000}"/>
    <cellStyle name="20% - Accent2 70 2 3" xfId="9744" xr:uid="{00000000-0005-0000-0000-0000890B0000}"/>
    <cellStyle name="20% - Accent2 70 2 3 2" xfId="21032" xr:uid="{00000000-0005-0000-0000-00008A0B0000}"/>
    <cellStyle name="20% - Accent2 70 2 4" xfId="7750" xr:uid="{00000000-0005-0000-0000-00008B0B0000}"/>
    <cellStyle name="20% - Accent2 70 2 4 2" xfId="19038" xr:uid="{00000000-0005-0000-0000-00008C0B0000}"/>
    <cellStyle name="20% - Accent2 70 2 5" xfId="5756" xr:uid="{00000000-0005-0000-0000-00008D0B0000}"/>
    <cellStyle name="20% - Accent2 70 2 5 2" xfId="17044" xr:uid="{00000000-0005-0000-0000-00008E0B0000}"/>
    <cellStyle name="20% - Accent2 70 2 6" xfId="15050" xr:uid="{00000000-0005-0000-0000-00008F0B0000}"/>
    <cellStyle name="20% - Accent2 70 3" xfId="10741" xr:uid="{00000000-0005-0000-0000-0000900B0000}"/>
    <cellStyle name="20% - Accent2 70 3 2" xfId="22029" xr:uid="{00000000-0005-0000-0000-0000910B0000}"/>
    <cellStyle name="20% - Accent2 70 4" xfId="8747" xr:uid="{00000000-0005-0000-0000-0000920B0000}"/>
    <cellStyle name="20% - Accent2 70 4 2" xfId="20035" xr:uid="{00000000-0005-0000-0000-0000930B0000}"/>
    <cellStyle name="20% - Accent2 70 5" xfId="6753" xr:uid="{00000000-0005-0000-0000-0000940B0000}"/>
    <cellStyle name="20% - Accent2 70 5 2" xfId="18041" xr:uid="{00000000-0005-0000-0000-0000950B0000}"/>
    <cellStyle name="20% - Accent2 70 6" xfId="4759" xr:uid="{00000000-0005-0000-0000-0000960B0000}"/>
    <cellStyle name="20% - Accent2 70 6 2" xfId="16047" xr:uid="{00000000-0005-0000-0000-0000970B0000}"/>
    <cellStyle name="20% - Accent2 70 7" xfId="14053" xr:uid="{00000000-0005-0000-0000-0000980B0000}"/>
    <cellStyle name="20% - Accent2 70 8" xfId="12739" xr:uid="{00000000-0005-0000-0000-0000990B0000}"/>
    <cellStyle name="20% - Accent2 71" xfId="804" xr:uid="{00000000-0005-0000-0000-00009A0B0000}"/>
    <cellStyle name="20% - Accent2 71 2" xfId="3760" xr:uid="{00000000-0005-0000-0000-00009B0B0000}"/>
    <cellStyle name="20% - Accent2 71 2 2" xfId="11739" xr:uid="{00000000-0005-0000-0000-00009C0B0000}"/>
    <cellStyle name="20% - Accent2 71 2 2 2" xfId="23027" xr:uid="{00000000-0005-0000-0000-00009D0B0000}"/>
    <cellStyle name="20% - Accent2 71 2 3" xfId="9745" xr:uid="{00000000-0005-0000-0000-00009E0B0000}"/>
    <cellStyle name="20% - Accent2 71 2 3 2" xfId="21033" xr:uid="{00000000-0005-0000-0000-00009F0B0000}"/>
    <cellStyle name="20% - Accent2 71 2 4" xfId="7751" xr:uid="{00000000-0005-0000-0000-0000A00B0000}"/>
    <cellStyle name="20% - Accent2 71 2 4 2" xfId="19039" xr:uid="{00000000-0005-0000-0000-0000A10B0000}"/>
    <cellStyle name="20% - Accent2 71 2 5" xfId="5757" xr:uid="{00000000-0005-0000-0000-0000A20B0000}"/>
    <cellStyle name="20% - Accent2 71 2 5 2" xfId="17045" xr:uid="{00000000-0005-0000-0000-0000A30B0000}"/>
    <cellStyle name="20% - Accent2 71 2 6" xfId="15051" xr:uid="{00000000-0005-0000-0000-0000A40B0000}"/>
    <cellStyle name="20% - Accent2 71 3" xfId="10742" xr:uid="{00000000-0005-0000-0000-0000A50B0000}"/>
    <cellStyle name="20% - Accent2 71 3 2" xfId="22030" xr:uid="{00000000-0005-0000-0000-0000A60B0000}"/>
    <cellStyle name="20% - Accent2 71 4" xfId="8748" xr:uid="{00000000-0005-0000-0000-0000A70B0000}"/>
    <cellStyle name="20% - Accent2 71 4 2" xfId="20036" xr:uid="{00000000-0005-0000-0000-0000A80B0000}"/>
    <cellStyle name="20% - Accent2 71 5" xfId="6754" xr:uid="{00000000-0005-0000-0000-0000A90B0000}"/>
    <cellStyle name="20% - Accent2 71 5 2" xfId="18042" xr:uid="{00000000-0005-0000-0000-0000AA0B0000}"/>
    <cellStyle name="20% - Accent2 71 6" xfId="4760" xr:uid="{00000000-0005-0000-0000-0000AB0B0000}"/>
    <cellStyle name="20% - Accent2 71 6 2" xfId="16048" xr:uid="{00000000-0005-0000-0000-0000AC0B0000}"/>
    <cellStyle name="20% - Accent2 71 7" xfId="14054" xr:uid="{00000000-0005-0000-0000-0000AD0B0000}"/>
    <cellStyle name="20% - Accent2 71 8" xfId="12740" xr:uid="{00000000-0005-0000-0000-0000AE0B0000}"/>
    <cellStyle name="20% - Accent2 72" xfId="805" xr:uid="{00000000-0005-0000-0000-0000AF0B0000}"/>
    <cellStyle name="20% - Accent2 72 2" xfId="3761" xr:uid="{00000000-0005-0000-0000-0000B00B0000}"/>
    <cellStyle name="20% - Accent2 72 2 2" xfId="11740" xr:uid="{00000000-0005-0000-0000-0000B10B0000}"/>
    <cellStyle name="20% - Accent2 72 2 2 2" xfId="23028" xr:uid="{00000000-0005-0000-0000-0000B20B0000}"/>
    <cellStyle name="20% - Accent2 72 2 3" xfId="9746" xr:uid="{00000000-0005-0000-0000-0000B30B0000}"/>
    <cellStyle name="20% - Accent2 72 2 3 2" xfId="21034" xr:uid="{00000000-0005-0000-0000-0000B40B0000}"/>
    <cellStyle name="20% - Accent2 72 2 4" xfId="7752" xr:uid="{00000000-0005-0000-0000-0000B50B0000}"/>
    <cellStyle name="20% - Accent2 72 2 4 2" xfId="19040" xr:uid="{00000000-0005-0000-0000-0000B60B0000}"/>
    <cellStyle name="20% - Accent2 72 2 5" xfId="5758" xr:uid="{00000000-0005-0000-0000-0000B70B0000}"/>
    <cellStyle name="20% - Accent2 72 2 5 2" xfId="17046" xr:uid="{00000000-0005-0000-0000-0000B80B0000}"/>
    <cellStyle name="20% - Accent2 72 2 6" xfId="15052" xr:uid="{00000000-0005-0000-0000-0000B90B0000}"/>
    <cellStyle name="20% - Accent2 72 3" xfId="10743" xr:uid="{00000000-0005-0000-0000-0000BA0B0000}"/>
    <cellStyle name="20% - Accent2 72 3 2" xfId="22031" xr:uid="{00000000-0005-0000-0000-0000BB0B0000}"/>
    <cellStyle name="20% - Accent2 72 4" xfId="8749" xr:uid="{00000000-0005-0000-0000-0000BC0B0000}"/>
    <cellStyle name="20% - Accent2 72 4 2" xfId="20037" xr:uid="{00000000-0005-0000-0000-0000BD0B0000}"/>
    <cellStyle name="20% - Accent2 72 5" xfId="6755" xr:uid="{00000000-0005-0000-0000-0000BE0B0000}"/>
    <cellStyle name="20% - Accent2 72 5 2" xfId="18043" xr:uid="{00000000-0005-0000-0000-0000BF0B0000}"/>
    <cellStyle name="20% - Accent2 72 6" xfId="4761" xr:uid="{00000000-0005-0000-0000-0000C00B0000}"/>
    <cellStyle name="20% - Accent2 72 6 2" xfId="16049" xr:uid="{00000000-0005-0000-0000-0000C10B0000}"/>
    <cellStyle name="20% - Accent2 72 7" xfId="14055" xr:uid="{00000000-0005-0000-0000-0000C20B0000}"/>
    <cellStyle name="20% - Accent2 72 8" xfId="12741" xr:uid="{00000000-0005-0000-0000-0000C30B0000}"/>
    <cellStyle name="20% - Accent2 8" xfId="806" xr:uid="{00000000-0005-0000-0000-0000C40B0000}"/>
    <cellStyle name="20% - Accent2 8 2" xfId="3762" xr:uid="{00000000-0005-0000-0000-0000C50B0000}"/>
    <cellStyle name="20% - Accent2 8 2 2" xfId="11741" xr:uid="{00000000-0005-0000-0000-0000C60B0000}"/>
    <cellStyle name="20% - Accent2 8 2 2 2" xfId="23029" xr:uid="{00000000-0005-0000-0000-0000C70B0000}"/>
    <cellStyle name="20% - Accent2 8 2 3" xfId="9747" xr:uid="{00000000-0005-0000-0000-0000C80B0000}"/>
    <cellStyle name="20% - Accent2 8 2 3 2" xfId="21035" xr:uid="{00000000-0005-0000-0000-0000C90B0000}"/>
    <cellStyle name="20% - Accent2 8 2 4" xfId="7753" xr:uid="{00000000-0005-0000-0000-0000CA0B0000}"/>
    <cellStyle name="20% - Accent2 8 2 4 2" xfId="19041" xr:uid="{00000000-0005-0000-0000-0000CB0B0000}"/>
    <cellStyle name="20% - Accent2 8 2 5" xfId="5759" xr:uid="{00000000-0005-0000-0000-0000CC0B0000}"/>
    <cellStyle name="20% - Accent2 8 2 5 2" xfId="17047" xr:uid="{00000000-0005-0000-0000-0000CD0B0000}"/>
    <cellStyle name="20% - Accent2 8 2 6" xfId="15053" xr:uid="{00000000-0005-0000-0000-0000CE0B0000}"/>
    <cellStyle name="20% - Accent2 8 3" xfId="10744" xr:uid="{00000000-0005-0000-0000-0000CF0B0000}"/>
    <cellStyle name="20% - Accent2 8 3 2" xfId="22032" xr:uid="{00000000-0005-0000-0000-0000D00B0000}"/>
    <cellStyle name="20% - Accent2 8 4" xfId="8750" xr:uid="{00000000-0005-0000-0000-0000D10B0000}"/>
    <cellStyle name="20% - Accent2 8 4 2" xfId="20038" xr:uid="{00000000-0005-0000-0000-0000D20B0000}"/>
    <cellStyle name="20% - Accent2 8 5" xfId="6756" xr:uid="{00000000-0005-0000-0000-0000D30B0000}"/>
    <cellStyle name="20% - Accent2 8 5 2" xfId="18044" xr:uid="{00000000-0005-0000-0000-0000D40B0000}"/>
    <cellStyle name="20% - Accent2 8 6" xfId="4762" xr:uid="{00000000-0005-0000-0000-0000D50B0000}"/>
    <cellStyle name="20% - Accent2 8 6 2" xfId="16050" xr:uid="{00000000-0005-0000-0000-0000D60B0000}"/>
    <cellStyle name="20% - Accent2 8 7" xfId="14056" xr:uid="{00000000-0005-0000-0000-0000D70B0000}"/>
    <cellStyle name="20% - Accent2 8 8" xfId="12742" xr:uid="{00000000-0005-0000-0000-0000D80B0000}"/>
    <cellStyle name="20% - Accent2 9" xfId="807" xr:uid="{00000000-0005-0000-0000-0000D90B0000}"/>
    <cellStyle name="20% - Accent2 9 2" xfId="3763" xr:uid="{00000000-0005-0000-0000-0000DA0B0000}"/>
    <cellStyle name="20% - Accent2 9 2 2" xfId="11742" xr:uid="{00000000-0005-0000-0000-0000DB0B0000}"/>
    <cellStyle name="20% - Accent2 9 2 2 2" xfId="23030" xr:uid="{00000000-0005-0000-0000-0000DC0B0000}"/>
    <cellStyle name="20% - Accent2 9 2 3" xfId="9748" xr:uid="{00000000-0005-0000-0000-0000DD0B0000}"/>
    <cellStyle name="20% - Accent2 9 2 3 2" xfId="21036" xr:uid="{00000000-0005-0000-0000-0000DE0B0000}"/>
    <cellStyle name="20% - Accent2 9 2 4" xfId="7754" xr:uid="{00000000-0005-0000-0000-0000DF0B0000}"/>
    <cellStyle name="20% - Accent2 9 2 4 2" xfId="19042" xr:uid="{00000000-0005-0000-0000-0000E00B0000}"/>
    <cellStyle name="20% - Accent2 9 2 5" xfId="5760" xr:uid="{00000000-0005-0000-0000-0000E10B0000}"/>
    <cellStyle name="20% - Accent2 9 2 5 2" xfId="17048" xr:uid="{00000000-0005-0000-0000-0000E20B0000}"/>
    <cellStyle name="20% - Accent2 9 2 6" xfId="15054" xr:uid="{00000000-0005-0000-0000-0000E30B0000}"/>
    <cellStyle name="20% - Accent2 9 3" xfId="10745" xr:uid="{00000000-0005-0000-0000-0000E40B0000}"/>
    <cellStyle name="20% - Accent2 9 3 2" xfId="22033" xr:uid="{00000000-0005-0000-0000-0000E50B0000}"/>
    <cellStyle name="20% - Accent2 9 4" xfId="8751" xr:uid="{00000000-0005-0000-0000-0000E60B0000}"/>
    <cellStyle name="20% - Accent2 9 4 2" xfId="20039" xr:uid="{00000000-0005-0000-0000-0000E70B0000}"/>
    <cellStyle name="20% - Accent2 9 5" xfId="6757" xr:uid="{00000000-0005-0000-0000-0000E80B0000}"/>
    <cellStyle name="20% - Accent2 9 5 2" xfId="18045" xr:uid="{00000000-0005-0000-0000-0000E90B0000}"/>
    <cellStyle name="20% - Accent2 9 6" xfId="4763" xr:uid="{00000000-0005-0000-0000-0000EA0B0000}"/>
    <cellStyle name="20% - Accent2 9 6 2" xfId="16051" xr:uid="{00000000-0005-0000-0000-0000EB0B0000}"/>
    <cellStyle name="20% - Accent2 9 7" xfId="14057" xr:uid="{00000000-0005-0000-0000-0000EC0B0000}"/>
    <cellStyle name="20% - Accent2 9 8" xfId="12743" xr:uid="{00000000-0005-0000-0000-0000ED0B0000}"/>
    <cellStyle name="20% - Accent3 10" xfId="808" xr:uid="{00000000-0005-0000-0000-0000EE0B0000}"/>
    <cellStyle name="20% - Accent3 10 2" xfId="3764" xr:uid="{00000000-0005-0000-0000-0000EF0B0000}"/>
    <cellStyle name="20% - Accent3 10 2 2" xfId="11743" xr:uid="{00000000-0005-0000-0000-0000F00B0000}"/>
    <cellStyle name="20% - Accent3 10 2 2 2" xfId="23031" xr:uid="{00000000-0005-0000-0000-0000F10B0000}"/>
    <cellStyle name="20% - Accent3 10 2 3" xfId="9749" xr:uid="{00000000-0005-0000-0000-0000F20B0000}"/>
    <cellStyle name="20% - Accent3 10 2 3 2" xfId="21037" xr:uid="{00000000-0005-0000-0000-0000F30B0000}"/>
    <cellStyle name="20% - Accent3 10 2 4" xfId="7755" xr:uid="{00000000-0005-0000-0000-0000F40B0000}"/>
    <cellStyle name="20% - Accent3 10 2 4 2" xfId="19043" xr:uid="{00000000-0005-0000-0000-0000F50B0000}"/>
    <cellStyle name="20% - Accent3 10 2 5" xfId="5761" xr:uid="{00000000-0005-0000-0000-0000F60B0000}"/>
    <cellStyle name="20% - Accent3 10 2 5 2" xfId="17049" xr:uid="{00000000-0005-0000-0000-0000F70B0000}"/>
    <cellStyle name="20% - Accent3 10 2 6" xfId="15055" xr:uid="{00000000-0005-0000-0000-0000F80B0000}"/>
    <cellStyle name="20% - Accent3 10 3" xfId="10746" xr:uid="{00000000-0005-0000-0000-0000F90B0000}"/>
    <cellStyle name="20% - Accent3 10 3 2" xfId="22034" xr:uid="{00000000-0005-0000-0000-0000FA0B0000}"/>
    <cellStyle name="20% - Accent3 10 4" xfId="8752" xr:uid="{00000000-0005-0000-0000-0000FB0B0000}"/>
    <cellStyle name="20% - Accent3 10 4 2" xfId="20040" xr:uid="{00000000-0005-0000-0000-0000FC0B0000}"/>
    <cellStyle name="20% - Accent3 10 5" xfId="6758" xr:uid="{00000000-0005-0000-0000-0000FD0B0000}"/>
    <cellStyle name="20% - Accent3 10 5 2" xfId="18046" xr:uid="{00000000-0005-0000-0000-0000FE0B0000}"/>
    <cellStyle name="20% - Accent3 10 6" xfId="4764" xr:uid="{00000000-0005-0000-0000-0000FF0B0000}"/>
    <cellStyle name="20% - Accent3 10 6 2" xfId="16052" xr:uid="{00000000-0005-0000-0000-0000000C0000}"/>
    <cellStyle name="20% - Accent3 10 7" xfId="14058" xr:uid="{00000000-0005-0000-0000-0000010C0000}"/>
    <cellStyle name="20% - Accent3 10 8" xfId="12744" xr:uid="{00000000-0005-0000-0000-0000020C0000}"/>
    <cellStyle name="20% - Accent3 11" xfId="809" xr:uid="{00000000-0005-0000-0000-0000030C0000}"/>
    <cellStyle name="20% - Accent3 11 2" xfId="3765" xr:uid="{00000000-0005-0000-0000-0000040C0000}"/>
    <cellStyle name="20% - Accent3 11 2 2" xfId="11744" xr:uid="{00000000-0005-0000-0000-0000050C0000}"/>
    <cellStyle name="20% - Accent3 11 2 2 2" xfId="23032" xr:uid="{00000000-0005-0000-0000-0000060C0000}"/>
    <cellStyle name="20% - Accent3 11 2 3" xfId="9750" xr:uid="{00000000-0005-0000-0000-0000070C0000}"/>
    <cellStyle name="20% - Accent3 11 2 3 2" xfId="21038" xr:uid="{00000000-0005-0000-0000-0000080C0000}"/>
    <cellStyle name="20% - Accent3 11 2 4" xfId="7756" xr:uid="{00000000-0005-0000-0000-0000090C0000}"/>
    <cellStyle name="20% - Accent3 11 2 4 2" xfId="19044" xr:uid="{00000000-0005-0000-0000-00000A0C0000}"/>
    <cellStyle name="20% - Accent3 11 2 5" xfId="5762" xr:uid="{00000000-0005-0000-0000-00000B0C0000}"/>
    <cellStyle name="20% - Accent3 11 2 5 2" xfId="17050" xr:uid="{00000000-0005-0000-0000-00000C0C0000}"/>
    <cellStyle name="20% - Accent3 11 2 6" xfId="15056" xr:uid="{00000000-0005-0000-0000-00000D0C0000}"/>
    <cellStyle name="20% - Accent3 11 3" xfId="10747" xr:uid="{00000000-0005-0000-0000-00000E0C0000}"/>
    <cellStyle name="20% - Accent3 11 3 2" xfId="22035" xr:uid="{00000000-0005-0000-0000-00000F0C0000}"/>
    <cellStyle name="20% - Accent3 11 4" xfId="8753" xr:uid="{00000000-0005-0000-0000-0000100C0000}"/>
    <cellStyle name="20% - Accent3 11 4 2" xfId="20041" xr:uid="{00000000-0005-0000-0000-0000110C0000}"/>
    <cellStyle name="20% - Accent3 11 5" xfId="6759" xr:uid="{00000000-0005-0000-0000-0000120C0000}"/>
    <cellStyle name="20% - Accent3 11 5 2" xfId="18047" xr:uid="{00000000-0005-0000-0000-0000130C0000}"/>
    <cellStyle name="20% - Accent3 11 6" xfId="4765" xr:uid="{00000000-0005-0000-0000-0000140C0000}"/>
    <cellStyle name="20% - Accent3 11 6 2" xfId="16053" xr:uid="{00000000-0005-0000-0000-0000150C0000}"/>
    <cellStyle name="20% - Accent3 11 7" xfId="14059" xr:uid="{00000000-0005-0000-0000-0000160C0000}"/>
    <cellStyle name="20% - Accent3 11 8" xfId="12745" xr:uid="{00000000-0005-0000-0000-0000170C0000}"/>
    <cellStyle name="20% - Accent3 12" xfId="810" xr:uid="{00000000-0005-0000-0000-0000180C0000}"/>
    <cellStyle name="20% - Accent3 12 2" xfId="3766" xr:uid="{00000000-0005-0000-0000-0000190C0000}"/>
    <cellStyle name="20% - Accent3 12 2 2" xfId="11745" xr:uid="{00000000-0005-0000-0000-00001A0C0000}"/>
    <cellStyle name="20% - Accent3 12 2 2 2" xfId="23033" xr:uid="{00000000-0005-0000-0000-00001B0C0000}"/>
    <cellStyle name="20% - Accent3 12 2 3" xfId="9751" xr:uid="{00000000-0005-0000-0000-00001C0C0000}"/>
    <cellStyle name="20% - Accent3 12 2 3 2" xfId="21039" xr:uid="{00000000-0005-0000-0000-00001D0C0000}"/>
    <cellStyle name="20% - Accent3 12 2 4" xfId="7757" xr:uid="{00000000-0005-0000-0000-00001E0C0000}"/>
    <cellStyle name="20% - Accent3 12 2 4 2" xfId="19045" xr:uid="{00000000-0005-0000-0000-00001F0C0000}"/>
    <cellStyle name="20% - Accent3 12 2 5" xfId="5763" xr:uid="{00000000-0005-0000-0000-0000200C0000}"/>
    <cellStyle name="20% - Accent3 12 2 5 2" xfId="17051" xr:uid="{00000000-0005-0000-0000-0000210C0000}"/>
    <cellStyle name="20% - Accent3 12 2 6" xfId="15057" xr:uid="{00000000-0005-0000-0000-0000220C0000}"/>
    <cellStyle name="20% - Accent3 12 3" xfId="10748" xr:uid="{00000000-0005-0000-0000-0000230C0000}"/>
    <cellStyle name="20% - Accent3 12 3 2" xfId="22036" xr:uid="{00000000-0005-0000-0000-0000240C0000}"/>
    <cellStyle name="20% - Accent3 12 4" xfId="8754" xr:uid="{00000000-0005-0000-0000-0000250C0000}"/>
    <cellStyle name="20% - Accent3 12 4 2" xfId="20042" xr:uid="{00000000-0005-0000-0000-0000260C0000}"/>
    <cellStyle name="20% - Accent3 12 5" xfId="6760" xr:uid="{00000000-0005-0000-0000-0000270C0000}"/>
    <cellStyle name="20% - Accent3 12 5 2" xfId="18048" xr:uid="{00000000-0005-0000-0000-0000280C0000}"/>
    <cellStyle name="20% - Accent3 12 6" xfId="4766" xr:uid="{00000000-0005-0000-0000-0000290C0000}"/>
    <cellStyle name="20% - Accent3 12 6 2" xfId="16054" xr:uid="{00000000-0005-0000-0000-00002A0C0000}"/>
    <cellStyle name="20% - Accent3 12 7" xfId="14060" xr:uid="{00000000-0005-0000-0000-00002B0C0000}"/>
    <cellStyle name="20% - Accent3 12 8" xfId="12746" xr:uid="{00000000-0005-0000-0000-00002C0C0000}"/>
    <cellStyle name="20% - Accent3 13" xfId="811" xr:uid="{00000000-0005-0000-0000-00002D0C0000}"/>
    <cellStyle name="20% - Accent3 13 2" xfId="3767" xr:uid="{00000000-0005-0000-0000-00002E0C0000}"/>
    <cellStyle name="20% - Accent3 13 2 2" xfId="11746" xr:uid="{00000000-0005-0000-0000-00002F0C0000}"/>
    <cellStyle name="20% - Accent3 13 2 2 2" xfId="23034" xr:uid="{00000000-0005-0000-0000-0000300C0000}"/>
    <cellStyle name="20% - Accent3 13 2 3" xfId="9752" xr:uid="{00000000-0005-0000-0000-0000310C0000}"/>
    <cellStyle name="20% - Accent3 13 2 3 2" xfId="21040" xr:uid="{00000000-0005-0000-0000-0000320C0000}"/>
    <cellStyle name="20% - Accent3 13 2 4" xfId="7758" xr:uid="{00000000-0005-0000-0000-0000330C0000}"/>
    <cellStyle name="20% - Accent3 13 2 4 2" xfId="19046" xr:uid="{00000000-0005-0000-0000-0000340C0000}"/>
    <cellStyle name="20% - Accent3 13 2 5" xfId="5764" xr:uid="{00000000-0005-0000-0000-0000350C0000}"/>
    <cellStyle name="20% - Accent3 13 2 5 2" xfId="17052" xr:uid="{00000000-0005-0000-0000-0000360C0000}"/>
    <cellStyle name="20% - Accent3 13 2 6" xfId="15058" xr:uid="{00000000-0005-0000-0000-0000370C0000}"/>
    <cellStyle name="20% - Accent3 13 3" xfId="10749" xr:uid="{00000000-0005-0000-0000-0000380C0000}"/>
    <cellStyle name="20% - Accent3 13 3 2" xfId="22037" xr:uid="{00000000-0005-0000-0000-0000390C0000}"/>
    <cellStyle name="20% - Accent3 13 4" xfId="8755" xr:uid="{00000000-0005-0000-0000-00003A0C0000}"/>
    <cellStyle name="20% - Accent3 13 4 2" xfId="20043" xr:uid="{00000000-0005-0000-0000-00003B0C0000}"/>
    <cellStyle name="20% - Accent3 13 5" xfId="6761" xr:uid="{00000000-0005-0000-0000-00003C0C0000}"/>
    <cellStyle name="20% - Accent3 13 5 2" xfId="18049" xr:uid="{00000000-0005-0000-0000-00003D0C0000}"/>
    <cellStyle name="20% - Accent3 13 6" xfId="4767" xr:uid="{00000000-0005-0000-0000-00003E0C0000}"/>
    <cellStyle name="20% - Accent3 13 6 2" xfId="16055" xr:uid="{00000000-0005-0000-0000-00003F0C0000}"/>
    <cellStyle name="20% - Accent3 13 7" xfId="14061" xr:uid="{00000000-0005-0000-0000-0000400C0000}"/>
    <cellStyle name="20% - Accent3 13 8" xfId="12747" xr:uid="{00000000-0005-0000-0000-0000410C0000}"/>
    <cellStyle name="20% - Accent3 14" xfId="812" xr:uid="{00000000-0005-0000-0000-0000420C0000}"/>
    <cellStyle name="20% - Accent3 14 2" xfId="3768" xr:uid="{00000000-0005-0000-0000-0000430C0000}"/>
    <cellStyle name="20% - Accent3 14 2 2" xfId="11747" xr:uid="{00000000-0005-0000-0000-0000440C0000}"/>
    <cellStyle name="20% - Accent3 14 2 2 2" xfId="23035" xr:uid="{00000000-0005-0000-0000-0000450C0000}"/>
    <cellStyle name="20% - Accent3 14 2 3" xfId="9753" xr:uid="{00000000-0005-0000-0000-0000460C0000}"/>
    <cellStyle name="20% - Accent3 14 2 3 2" xfId="21041" xr:uid="{00000000-0005-0000-0000-0000470C0000}"/>
    <cellStyle name="20% - Accent3 14 2 4" xfId="7759" xr:uid="{00000000-0005-0000-0000-0000480C0000}"/>
    <cellStyle name="20% - Accent3 14 2 4 2" xfId="19047" xr:uid="{00000000-0005-0000-0000-0000490C0000}"/>
    <cellStyle name="20% - Accent3 14 2 5" xfId="5765" xr:uid="{00000000-0005-0000-0000-00004A0C0000}"/>
    <cellStyle name="20% - Accent3 14 2 5 2" xfId="17053" xr:uid="{00000000-0005-0000-0000-00004B0C0000}"/>
    <cellStyle name="20% - Accent3 14 2 6" xfId="15059" xr:uid="{00000000-0005-0000-0000-00004C0C0000}"/>
    <cellStyle name="20% - Accent3 14 3" xfId="10750" xr:uid="{00000000-0005-0000-0000-00004D0C0000}"/>
    <cellStyle name="20% - Accent3 14 3 2" xfId="22038" xr:uid="{00000000-0005-0000-0000-00004E0C0000}"/>
    <cellStyle name="20% - Accent3 14 4" xfId="8756" xr:uid="{00000000-0005-0000-0000-00004F0C0000}"/>
    <cellStyle name="20% - Accent3 14 4 2" xfId="20044" xr:uid="{00000000-0005-0000-0000-0000500C0000}"/>
    <cellStyle name="20% - Accent3 14 5" xfId="6762" xr:uid="{00000000-0005-0000-0000-0000510C0000}"/>
    <cellStyle name="20% - Accent3 14 5 2" xfId="18050" xr:uid="{00000000-0005-0000-0000-0000520C0000}"/>
    <cellStyle name="20% - Accent3 14 6" xfId="4768" xr:uid="{00000000-0005-0000-0000-0000530C0000}"/>
    <cellStyle name="20% - Accent3 14 6 2" xfId="16056" xr:uid="{00000000-0005-0000-0000-0000540C0000}"/>
    <cellStyle name="20% - Accent3 14 7" xfId="14062" xr:uid="{00000000-0005-0000-0000-0000550C0000}"/>
    <cellStyle name="20% - Accent3 14 8" xfId="12748" xr:uid="{00000000-0005-0000-0000-0000560C0000}"/>
    <cellStyle name="20% - Accent3 15" xfId="813" xr:uid="{00000000-0005-0000-0000-0000570C0000}"/>
    <cellStyle name="20% - Accent3 15 2" xfId="3769" xr:uid="{00000000-0005-0000-0000-0000580C0000}"/>
    <cellStyle name="20% - Accent3 15 2 2" xfId="11748" xr:uid="{00000000-0005-0000-0000-0000590C0000}"/>
    <cellStyle name="20% - Accent3 15 2 2 2" xfId="23036" xr:uid="{00000000-0005-0000-0000-00005A0C0000}"/>
    <cellStyle name="20% - Accent3 15 2 3" xfId="9754" xr:uid="{00000000-0005-0000-0000-00005B0C0000}"/>
    <cellStyle name="20% - Accent3 15 2 3 2" xfId="21042" xr:uid="{00000000-0005-0000-0000-00005C0C0000}"/>
    <cellStyle name="20% - Accent3 15 2 4" xfId="7760" xr:uid="{00000000-0005-0000-0000-00005D0C0000}"/>
    <cellStyle name="20% - Accent3 15 2 4 2" xfId="19048" xr:uid="{00000000-0005-0000-0000-00005E0C0000}"/>
    <cellStyle name="20% - Accent3 15 2 5" xfId="5766" xr:uid="{00000000-0005-0000-0000-00005F0C0000}"/>
    <cellStyle name="20% - Accent3 15 2 5 2" xfId="17054" xr:uid="{00000000-0005-0000-0000-0000600C0000}"/>
    <cellStyle name="20% - Accent3 15 2 6" xfId="15060" xr:uid="{00000000-0005-0000-0000-0000610C0000}"/>
    <cellStyle name="20% - Accent3 15 3" xfId="10751" xr:uid="{00000000-0005-0000-0000-0000620C0000}"/>
    <cellStyle name="20% - Accent3 15 3 2" xfId="22039" xr:uid="{00000000-0005-0000-0000-0000630C0000}"/>
    <cellStyle name="20% - Accent3 15 4" xfId="8757" xr:uid="{00000000-0005-0000-0000-0000640C0000}"/>
    <cellStyle name="20% - Accent3 15 4 2" xfId="20045" xr:uid="{00000000-0005-0000-0000-0000650C0000}"/>
    <cellStyle name="20% - Accent3 15 5" xfId="6763" xr:uid="{00000000-0005-0000-0000-0000660C0000}"/>
    <cellStyle name="20% - Accent3 15 5 2" xfId="18051" xr:uid="{00000000-0005-0000-0000-0000670C0000}"/>
    <cellStyle name="20% - Accent3 15 6" xfId="4769" xr:uid="{00000000-0005-0000-0000-0000680C0000}"/>
    <cellStyle name="20% - Accent3 15 6 2" xfId="16057" xr:uid="{00000000-0005-0000-0000-0000690C0000}"/>
    <cellStyle name="20% - Accent3 15 7" xfId="14063" xr:uid="{00000000-0005-0000-0000-00006A0C0000}"/>
    <cellStyle name="20% - Accent3 15 8" xfId="12749" xr:uid="{00000000-0005-0000-0000-00006B0C0000}"/>
    <cellStyle name="20% - Accent3 16" xfId="814" xr:uid="{00000000-0005-0000-0000-00006C0C0000}"/>
    <cellStyle name="20% - Accent3 16 2" xfId="3770" xr:uid="{00000000-0005-0000-0000-00006D0C0000}"/>
    <cellStyle name="20% - Accent3 16 2 2" xfId="11749" xr:uid="{00000000-0005-0000-0000-00006E0C0000}"/>
    <cellStyle name="20% - Accent3 16 2 2 2" xfId="23037" xr:uid="{00000000-0005-0000-0000-00006F0C0000}"/>
    <cellStyle name="20% - Accent3 16 2 3" xfId="9755" xr:uid="{00000000-0005-0000-0000-0000700C0000}"/>
    <cellStyle name="20% - Accent3 16 2 3 2" xfId="21043" xr:uid="{00000000-0005-0000-0000-0000710C0000}"/>
    <cellStyle name="20% - Accent3 16 2 4" xfId="7761" xr:uid="{00000000-0005-0000-0000-0000720C0000}"/>
    <cellStyle name="20% - Accent3 16 2 4 2" xfId="19049" xr:uid="{00000000-0005-0000-0000-0000730C0000}"/>
    <cellStyle name="20% - Accent3 16 2 5" xfId="5767" xr:uid="{00000000-0005-0000-0000-0000740C0000}"/>
    <cellStyle name="20% - Accent3 16 2 5 2" xfId="17055" xr:uid="{00000000-0005-0000-0000-0000750C0000}"/>
    <cellStyle name="20% - Accent3 16 2 6" xfId="15061" xr:uid="{00000000-0005-0000-0000-0000760C0000}"/>
    <cellStyle name="20% - Accent3 16 3" xfId="10752" xr:uid="{00000000-0005-0000-0000-0000770C0000}"/>
    <cellStyle name="20% - Accent3 16 3 2" xfId="22040" xr:uid="{00000000-0005-0000-0000-0000780C0000}"/>
    <cellStyle name="20% - Accent3 16 4" xfId="8758" xr:uid="{00000000-0005-0000-0000-0000790C0000}"/>
    <cellStyle name="20% - Accent3 16 4 2" xfId="20046" xr:uid="{00000000-0005-0000-0000-00007A0C0000}"/>
    <cellStyle name="20% - Accent3 16 5" xfId="6764" xr:uid="{00000000-0005-0000-0000-00007B0C0000}"/>
    <cellStyle name="20% - Accent3 16 5 2" xfId="18052" xr:uid="{00000000-0005-0000-0000-00007C0C0000}"/>
    <cellStyle name="20% - Accent3 16 6" xfId="4770" xr:uid="{00000000-0005-0000-0000-00007D0C0000}"/>
    <cellStyle name="20% - Accent3 16 6 2" xfId="16058" xr:uid="{00000000-0005-0000-0000-00007E0C0000}"/>
    <cellStyle name="20% - Accent3 16 7" xfId="14064" xr:uid="{00000000-0005-0000-0000-00007F0C0000}"/>
    <cellStyle name="20% - Accent3 16 8" xfId="12750" xr:uid="{00000000-0005-0000-0000-0000800C0000}"/>
    <cellStyle name="20% - Accent3 17" xfId="815" xr:uid="{00000000-0005-0000-0000-0000810C0000}"/>
    <cellStyle name="20% - Accent3 17 2" xfId="3771" xr:uid="{00000000-0005-0000-0000-0000820C0000}"/>
    <cellStyle name="20% - Accent3 17 2 2" xfId="11750" xr:uid="{00000000-0005-0000-0000-0000830C0000}"/>
    <cellStyle name="20% - Accent3 17 2 2 2" xfId="23038" xr:uid="{00000000-0005-0000-0000-0000840C0000}"/>
    <cellStyle name="20% - Accent3 17 2 3" xfId="9756" xr:uid="{00000000-0005-0000-0000-0000850C0000}"/>
    <cellStyle name="20% - Accent3 17 2 3 2" xfId="21044" xr:uid="{00000000-0005-0000-0000-0000860C0000}"/>
    <cellStyle name="20% - Accent3 17 2 4" xfId="7762" xr:uid="{00000000-0005-0000-0000-0000870C0000}"/>
    <cellStyle name="20% - Accent3 17 2 4 2" xfId="19050" xr:uid="{00000000-0005-0000-0000-0000880C0000}"/>
    <cellStyle name="20% - Accent3 17 2 5" xfId="5768" xr:uid="{00000000-0005-0000-0000-0000890C0000}"/>
    <cellStyle name="20% - Accent3 17 2 5 2" xfId="17056" xr:uid="{00000000-0005-0000-0000-00008A0C0000}"/>
    <cellStyle name="20% - Accent3 17 2 6" xfId="15062" xr:uid="{00000000-0005-0000-0000-00008B0C0000}"/>
    <cellStyle name="20% - Accent3 17 3" xfId="10753" xr:uid="{00000000-0005-0000-0000-00008C0C0000}"/>
    <cellStyle name="20% - Accent3 17 3 2" xfId="22041" xr:uid="{00000000-0005-0000-0000-00008D0C0000}"/>
    <cellStyle name="20% - Accent3 17 4" xfId="8759" xr:uid="{00000000-0005-0000-0000-00008E0C0000}"/>
    <cellStyle name="20% - Accent3 17 4 2" xfId="20047" xr:uid="{00000000-0005-0000-0000-00008F0C0000}"/>
    <cellStyle name="20% - Accent3 17 5" xfId="6765" xr:uid="{00000000-0005-0000-0000-0000900C0000}"/>
    <cellStyle name="20% - Accent3 17 5 2" xfId="18053" xr:uid="{00000000-0005-0000-0000-0000910C0000}"/>
    <cellStyle name="20% - Accent3 17 6" xfId="4771" xr:uid="{00000000-0005-0000-0000-0000920C0000}"/>
    <cellStyle name="20% - Accent3 17 6 2" xfId="16059" xr:uid="{00000000-0005-0000-0000-0000930C0000}"/>
    <cellStyle name="20% - Accent3 17 7" xfId="14065" xr:uid="{00000000-0005-0000-0000-0000940C0000}"/>
    <cellStyle name="20% - Accent3 17 8" xfId="12751" xr:uid="{00000000-0005-0000-0000-0000950C0000}"/>
    <cellStyle name="20% - Accent3 18" xfId="816" xr:uid="{00000000-0005-0000-0000-0000960C0000}"/>
    <cellStyle name="20% - Accent3 18 2" xfId="3772" xr:uid="{00000000-0005-0000-0000-0000970C0000}"/>
    <cellStyle name="20% - Accent3 18 2 2" xfId="11751" xr:uid="{00000000-0005-0000-0000-0000980C0000}"/>
    <cellStyle name="20% - Accent3 18 2 2 2" xfId="23039" xr:uid="{00000000-0005-0000-0000-0000990C0000}"/>
    <cellStyle name="20% - Accent3 18 2 3" xfId="9757" xr:uid="{00000000-0005-0000-0000-00009A0C0000}"/>
    <cellStyle name="20% - Accent3 18 2 3 2" xfId="21045" xr:uid="{00000000-0005-0000-0000-00009B0C0000}"/>
    <cellStyle name="20% - Accent3 18 2 4" xfId="7763" xr:uid="{00000000-0005-0000-0000-00009C0C0000}"/>
    <cellStyle name="20% - Accent3 18 2 4 2" xfId="19051" xr:uid="{00000000-0005-0000-0000-00009D0C0000}"/>
    <cellStyle name="20% - Accent3 18 2 5" xfId="5769" xr:uid="{00000000-0005-0000-0000-00009E0C0000}"/>
    <cellStyle name="20% - Accent3 18 2 5 2" xfId="17057" xr:uid="{00000000-0005-0000-0000-00009F0C0000}"/>
    <cellStyle name="20% - Accent3 18 2 6" xfId="15063" xr:uid="{00000000-0005-0000-0000-0000A00C0000}"/>
    <cellStyle name="20% - Accent3 18 3" xfId="10754" xr:uid="{00000000-0005-0000-0000-0000A10C0000}"/>
    <cellStyle name="20% - Accent3 18 3 2" xfId="22042" xr:uid="{00000000-0005-0000-0000-0000A20C0000}"/>
    <cellStyle name="20% - Accent3 18 4" xfId="8760" xr:uid="{00000000-0005-0000-0000-0000A30C0000}"/>
    <cellStyle name="20% - Accent3 18 4 2" xfId="20048" xr:uid="{00000000-0005-0000-0000-0000A40C0000}"/>
    <cellStyle name="20% - Accent3 18 5" xfId="6766" xr:uid="{00000000-0005-0000-0000-0000A50C0000}"/>
    <cellStyle name="20% - Accent3 18 5 2" xfId="18054" xr:uid="{00000000-0005-0000-0000-0000A60C0000}"/>
    <cellStyle name="20% - Accent3 18 6" xfId="4772" xr:uid="{00000000-0005-0000-0000-0000A70C0000}"/>
    <cellStyle name="20% - Accent3 18 6 2" xfId="16060" xr:uid="{00000000-0005-0000-0000-0000A80C0000}"/>
    <cellStyle name="20% - Accent3 18 7" xfId="14066" xr:uid="{00000000-0005-0000-0000-0000A90C0000}"/>
    <cellStyle name="20% - Accent3 18 8" xfId="12752" xr:uid="{00000000-0005-0000-0000-0000AA0C0000}"/>
    <cellStyle name="20% - Accent3 19" xfId="817" xr:uid="{00000000-0005-0000-0000-0000AB0C0000}"/>
    <cellStyle name="20% - Accent3 19 2" xfId="3773" xr:uid="{00000000-0005-0000-0000-0000AC0C0000}"/>
    <cellStyle name="20% - Accent3 19 2 2" xfId="11752" xr:uid="{00000000-0005-0000-0000-0000AD0C0000}"/>
    <cellStyle name="20% - Accent3 19 2 2 2" xfId="23040" xr:uid="{00000000-0005-0000-0000-0000AE0C0000}"/>
    <cellStyle name="20% - Accent3 19 2 3" xfId="9758" xr:uid="{00000000-0005-0000-0000-0000AF0C0000}"/>
    <cellStyle name="20% - Accent3 19 2 3 2" xfId="21046" xr:uid="{00000000-0005-0000-0000-0000B00C0000}"/>
    <cellStyle name="20% - Accent3 19 2 4" xfId="7764" xr:uid="{00000000-0005-0000-0000-0000B10C0000}"/>
    <cellStyle name="20% - Accent3 19 2 4 2" xfId="19052" xr:uid="{00000000-0005-0000-0000-0000B20C0000}"/>
    <cellStyle name="20% - Accent3 19 2 5" xfId="5770" xr:uid="{00000000-0005-0000-0000-0000B30C0000}"/>
    <cellStyle name="20% - Accent3 19 2 5 2" xfId="17058" xr:uid="{00000000-0005-0000-0000-0000B40C0000}"/>
    <cellStyle name="20% - Accent3 19 2 6" xfId="15064" xr:uid="{00000000-0005-0000-0000-0000B50C0000}"/>
    <cellStyle name="20% - Accent3 19 3" xfId="10755" xr:uid="{00000000-0005-0000-0000-0000B60C0000}"/>
    <cellStyle name="20% - Accent3 19 3 2" xfId="22043" xr:uid="{00000000-0005-0000-0000-0000B70C0000}"/>
    <cellStyle name="20% - Accent3 19 4" xfId="8761" xr:uid="{00000000-0005-0000-0000-0000B80C0000}"/>
    <cellStyle name="20% - Accent3 19 4 2" xfId="20049" xr:uid="{00000000-0005-0000-0000-0000B90C0000}"/>
    <cellStyle name="20% - Accent3 19 5" xfId="6767" xr:uid="{00000000-0005-0000-0000-0000BA0C0000}"/>
    <cellStyle name="20% - Accent3 19 5 2" xfId="18055" xr:uid="{00000000-0005-0000-0000-0000BB0C0000}"/>
    <cellStyle name="20% - Accent3 19 6" xfId="4773" xr:uid="{00000000-0005-0000-0000-0000BC0C0000}"/>
    <cellStyle name="20% - Accent3 19 6 2" xfId="16061" xr:uid="{00000000-0005-0000-0000-0000BD0C0000}"/>
    <cellStyle name="20% - Accent3 19 7" xfId="14067" xr:uid="{00000000-0005-0000-0000-0000BE0C0000}"/>
    <cellStyle name="20% - Accent3 19 8" xfId="12753" xr:uid="{00000000-0005-0000-0000-0000BF0C0000}"/>
    <cellStyle name="20% - Accent3 2" xfId="818" xr:uid="{00000000-0005-0000-0000-0000C00C0000}"/>
    <cellStyle name="20% - Accent3 2 10" xfId="24571" xr:uid="{00000000-0005-0000-0000-0000C10C0000}"/>
    <cellStyle name="20% - Accent3 2 11" xfId="24961" xr:uid="{00000000-0005-0000-0000-0000C20C0000}"/>
    <cellStyle name="20% - Accent3 2 2" xfId="3774" xr:uid="{00000000-0005-0000-0000-0000C30C0000}"/>
    <cellStyle name="20% - Accent3 2 2 2" xfId="11753" xr:uid="{00000000-0005-0000-0000-0000C40C0000}"/>
    <cellStyle name="20% - Accent3 2 2 2 2" xfId="23041" xr:uid="{00000000-0005-0000-0000-0000C50C0000}"/>
    <cellStyle name="20% - Accent3 2 2 3" xfId="9759" xr:uid="{00000000-0005-0000-0000-0000C60C0000}"/>
    <cellStyle name="20% - Accent3 2 2 3 2" xfId="21047" xr:uid="{00000000-0005-0000-0000-0000C70C0000}"/>
    <cellStyle name="20% - Accent3 2 2 4" xfId="7765" xr:uid="{00000000-0005-0000-0000-0000C80C0000}"/>
    <cellStyle name="20% - Accent3 2 2 4 2" xfId="19053" xr:uid="{00000000-0005-0000-0000-0000C90C0000}"/>
    <cellStyle name="20% - Accent3 2 2 5" xfId="5771" xr:uid="{00000000-0005-0000-0000-0000CA0C0000}"/>
    <cellStyle name="20% - Accent3 2 2 5 2" xfId="17059" xr:uid="{00000000-0005-0000-0000-0000CB0C0000}"/>
    <cellStyle name="20% - Accent3 2 2 6" xfId="15065" xr:uid="{00000000-0005-0000-0000-0000CC0C0000}"/>
    <cellStyle name="20% - Accent3 2 2 7" xfId="24332" xr:uid="{00000000-0005-0000-0000-0000CD0C0000}"/>
    <cellStyle name="20% - Accent3 2 2 8" xfId="24796" xr:uid="{00000000-0005-0000-0000-0000CE0C0000}"/>
    <cellStyle name="20% - Accent3 2 2 9" xfId="25163" xr:uid="{00000000-0005-0000-0000-0000CF0C0000}"/>
    <cellStyle name="20% - Accent3 2 3" xfId="10756" xr:uid="{00000000-0005-0000-0000-0000D00C0000}"/>
    <cellStyle name="20% - Accent3 2 3 2" xfId="22044" xr:uid="{00000000-0005-0000-0000-0000D10C0000}"/>
    <cellStyle name="20% - Accent3 2 4" xfId="8762" xr:uid="{00000000-0005-0000-0000-0000D20C0000}"/>
    <cellStyle name="20% - Accent3 2 4 2" xfId="20050" xr:uid="{00000000-0005-0000-0000-0000D30C0000}"/>
    <cellStyle name="20% - Accent3 2 5" xfId="6768" xr:uid="{00000000-0005-0000-0000-0000D40C0000}"/>
    <cellStyle name="20% - Accent3 2 5 2" xfId="18056" xr:uid="{00000000-0005-0000-0000-0000D50C0000}"/>
    <cellStyle name="20% - Accent3 2 6" xfId="4774" xr:uid="{00000000-0005-0000-0000-0000D60C0000}"/>
    <cellStyle name="20% - Accent3 2 6 2" xfId="16062" xr:uid="{00000000-0005-0000-0000-0000D70C0000}"/>
    <cellStyle name="20% - Accent3 2 7" xfId="14068" xr:uid="{00000000-0005-0000-0000-0000D80C0000}"/>
    <cellStyle name="20% - Accent3 2 8" xfId="12754" xr:uid="{00000000-0005-0000-0000-0000D90C0000}"/>
    <cellStyle name="20% - Accent3 2 9" xfId="23944" xr:uid="{00000000-0005-0000-0000-0000DA0C0000}"/>
    <cellStyle name="20% - Accent3 20" xfId="819" xr:uid="{00000000-0005-0000-0000-0000DB0C0000}"/>
    <cellStyle name="20% - Accent3 20 2" xfId="3775" xr:uid="{00000000-0005-0000-0000-0000DC0C0000}"/>
    <cellStyle name="20% - Accent3 20 2 2" xfId="11754" xr:uid="{00000000-0005-0000-0000-0000DD0C0000}"/>
    <cellStyle name="20% - Accent3 20 2 2 2" xfId="23042" xr:uid="{00000000-0005-0000-0000-0000DE0C0000}"/>
    <cellStyle name="20% - Accent3 20 2 3" xfId="9760" xr:uid="{00000000-0005-0000-0000-0000DF0C0000}"/>
    <cellStyle name="20% - Accent3 20 2 3 2" xfId="21048" xr:uid="{00000000-0005-0000-0000-0000E00C0000}"/>
    <cellStyle name="20% - Accent3 20 2 4" xfId="7766" xr:uid="{00000000-0005-0000-0000-0000E10C0000}"/>
    <cellStyle name="20% - Accent3 20 2 4 2" xfId="19054" xr:uid="{00000000-0005-0000-0000-0000E20C0000}"/>
    <cellStyle name="20% - Accent3 20 2 5" xfId="5772" xr:uid="{00000000-0005-0000-0000-0000E30C0000}"/>
    <cellStyle name="20% - Accent3 20 2 5 2" xfId="17060" xr:uid="{00000000-0005-0000-0000-0000E40C0000}"/>
    <cellStyle name="20% - Accent3 20 2 6" xfId="15066" xr:uid="{00000000-0005-0000-0000-0000E50C0000}"/>
    <cellStyle name="20% - Accent3 20 3" xfId="10757" xr:uid="{00000000-0005-0000-0000-0000E60C0000}"/>
    <cellStyle name="20% - Accent3 20 3 2" xfId="22045" xr:uid="{00000000-0005-0000-0000-0000E70C0000}"/>
    <cellStyle name="20% - Accent3 20 4" xfId="8763" xr:uid="{00000000-0005-0000-0000-0000E80C0000}"/>
    <cellStyle name="20% - Accent3 20 4 2" xfId="20051" xr:uid="{00000000-0005-0000-0000-0000E90C0000}"/>
    <cellStyle name="20% - Accent3 20 5" xfId="6769" xr:uid="{00000000-0005-0000-0000-0000EA0C0000}"/>
    <cellStyle name="20% - Accent3 20 5 2" xfId="18057" xr:uid="{00000000-0005-0000-0000-0000EB0C0000}"/>
    <cellStyle name="20% - Accent3 20 6" xfId="4775" xr:uid="{00000000-0005-0000-0000-0000EC0C0000}"/>
    <cellStyle name="20% - Accent3 20 6 2" xfId="16063" xr:uid="{00000000-0005-0000-0000-0000ED0C0000}"/>
    <cellStyle name="20% - Accent3 20 7" xfId="14069" xr:uid="{00000000-0005-0000-0000-0000EE0C0000}"/>
    <cellStyle name="20% - Accent3 20 8" xfId="12755" xr:uid="{00000000-0005-0000-0000-0000EF0C0000}"/>
    <cellStyle name="20% - Accent3 21" xfId="820" xr:uid="{00000000-0005-0000-0000-0000F00C0000}"/>
    <cellStyle name="20% - Accent3 21 2" xfId="3776" xr:uid="{00000000-0005-0000-0000-0000F10C0000}"/>
    <cellStyle name="20% - Accent3 21 2 2" xfId="11755" xr:uid="{00000000-0005-0000-0000-0000F20C0000}"/>
    <cellStyle name="20% - Accent3 21 2 2 2" xfId="23043" xr:uid="{00000000-0005-0000-0000-0000F30C0000}"/>
    <cellStyle name="20% - Accent3 21 2 3" xfId="9761" xr:uid="{00000000-0005-0000-0000-0000F40C0000}"/>
    <cellStyle name="20% - Accent3 21 2 3 2" xfId="21049" xr:uid="{00000000-0005-0000-0000-0000F50C0000}"/>
    <cellStyle name="20% - Accent3 21 2 4" xfId="7767" xr:uid="{00000000-0005-0000-0000-0000F60C0000}"/>
    <cellStyle name="20% - Accent3 21 2 4 2" xfId="19055" xr:uid="{00000000-0005-0000-0000-0000F70C0000}"/>
    <cellStyle name="20% - Accent3 21 2 5" xfId="5773" xr:uid="{00000000-0005-0000-0000-0000F80C0000}"/>
    <cellStyle name="20% - Accent3 21 2 5 2" xfId="17061" xr:uid="{00000000-0005-0000-0000-0000F90C0000}"/>
    <cellStyle name="20% - Accent3 21 2 6" xfId="15067" xr:uid="{00000000-0005-0000-0000-0000FA0C0000}"/>
    <cellStyle name="20% - Accent3 21 3" xfId="10758" xr:uid="{00000000-0005-0000-0000-0000FB0C0000}"/>
    <cellStyle name="20% - Accent3 21 3 2" xfId="22046" xr:uid="{00000000-0005-0000-0000-0000FC0C0000}"/>
    <cellStyle name="20% - Accent3 21 4" xfId="8764" xr:uid="{00000000-0005-0000-0000-0000FD0C0000}"/>
    <cellStyle name="20% - Accent3 21 4 2" xfId="20052" xr:uid="{00000000-0005-0000-0000-0000FE0C0000}"/>
    <cellStyle name="20% - Accent3 21 5" xfId="6770" xr:uid="{00000000-0005-0000-0000-0000FF0C0000}"/>
    <cellStyle name="20% - Accent3 21 5 2" xfId="18058" xr:uid="{00000000-0005-0000-0000-0000000D0000}"/>
    <cellStyle name="20% - Accent3 21 6" xfId="4776" xr:uid="{00000000-0005-0000-0000-0000010D0000}"/>
    <cellStyle name="20% - Accent3 21 6 2" xfId="16064" xr:uid="{00000000-0005-0000-0000-0000020D0000}"/>
    <cellStyle name="20% - Accent3 21 7" xfId="14070" xr:uid="{00000000-0005-0000-0000-0000030D0000}"/>
    <cellStyle name="20% - Accent3 21 8" xfId="12756" xr:uid="{00000000-0005-0000-0000-0000040D0000}"/>
    <cellStyle name="20% - Accent3 22" xfId="821" xr:uid="{00000000-0005-0000-0000-0000050D0000}"/>
    <cellStyle name="20% - Accent3 22 2" xfId="3777" xr:uid="{00000000-0005-0000-0000-0000060D0000}"/>
    <cellStyle name="20% - Accent3 22 2 2" xfId="11756" xr:uid="{00000000-0005-0000-0000-0000070D0000}"/>
    <cellStyle name="20% - Accent3 22 2 2 2" xfId="23044" xr:uid="{00000000-0005-0000-0000-0000080D0000}"/>
    <cellStyle name="20% - Accent3 22 2 3" xfId="9762" xr:uid="{00000000-0005-0000-0000-0000090D0000}"/>
    <cellStyle name="20% - Accent3 22 2 3 2" xfId="21050" xr:uid="{00000000-0005-0000-0000-00000A0D0000}"/>
    <cellStyle name="20% - Accent3 22 2 4" xfId="7768" xr:uid="{00000000-0005-0000-0000-00000B0D0000}"/>
    <cellStyle name="20% - Accent3 22 2 4 2" xfId="19056" xr:uid="{00000000-0005-0000-0000-00000C0D0000}"/>
    <cellStyle name="20% - Accent3 22 2 5" xfId="5774" xr:uid="{00000000-0005-0000-0000-00000D0D0000}"/>
    <cellStyle name="20% - Accent3 22 2 5 2" xfId="17062" xr:uid="{00000000-0005-0000-0000-00000E0D0000}"/>
    <cellStyle name="20% - Accent3 22 2 6" xfId="15068" xr:uid="{00000000-0005-0000-0000-00000F0D0000}"/>
    <cellStyle name="20% - Accent3 22 3" xfId="10759" xr:uid="{00000000-0005-0000-0000-0000100D0000}"/>
    <cellStyle name="20% - Accent3 22 3 2" xfId="22047" xr:uid="{00000000-0005-0000-0000-0000110D0000}"/>
    <cellStyle name="20% - Accent3 22 4" xfId="8765" xr:uid="{00000000-0005-0000-0000-0000120D0000}"/>
    <cellStyle name="20% - Accent3 22 4 2" xfId="20053" xr:uid="{00000000-0005-0000-0000-0000130D0000}"/>
    <cellStyle name="20% - Accent3 22 5" xfId="6771" xr:uid="{00000000-0005-0000-0000-0000140D0000}"/>
    <cellStyle name="20% - Accent3 22 5 2" xfId="18059" xr:uid="{00000000-0005-0000-0000-0000150D0000}"/>
    <cellStyle name="20% - Accent3 22 6" xfId="4777" xr:uid="{00000000-0005-0000-0000-0000160D0000}"/>
    <cellStyle name="20% - Accent3 22 6 2" xfId="16065" xr:uid="{00000000-0005-0000-0000-0000170D0000}"/>
    <cellStyle name="20% - Accent3 22 7" xfId="14071" xr:uid="{00000000-0005-0000-0000-0000180D0000}"/>
    <cellStyle name="20% - Accent3 22 8" xfId="12757" xr:uid="{00000000-0005-0000-0000-0000190D0000}"/>
    <cellStyle name="20% - Accent3 23" xfId="822" xr:uid="{00000000-0005-0000-0000-00001A0D0000}"/>
    <cellStyle name="20% - Accent3 23 2" xfId="3778" xr:uid="{00000000-0005-0000-0000-00001B0D0000}"/>
    <cellStyle name="20% - Accent3 23 2 2" xfId="11757" xr:uid="{00000000-0005-0000-0000-00001C0D0000}"/>
    <cellStyle name="20% - Accent3 23 2 2 2" xfId="23045" xr:uid="{00000000-0005-0000-0000-00001D0D0000}"/>
    <cellStyle name="20% - Accent3 23 2 3" xfId="9763" xr:uid="{00000000-0005-0000-0000-00001E0D0000}"/>
    <cellStyle name="20% - Accent3 23 2 3 2" xfId="21051" xr:uid="{00000000-0005-0000-0000-00001F0D0000}"/>
    <cellStyle name="20% - Accent3 23 2 4" xfId="7769" xr:uid="{00000000-0005-0000-0000-0000200D0000}"/>
    <cellStyle name="20% - Accent3 23 2 4 2" xfId="19057" xr:uid="{00000000-0005-0000-0000-0000210D0000}"/>
    <cellStyle name="20% - Accent3 23 2 5" xfId="5775" xr:uid="{00000000-0005-0000-0000-0000220D0000}"/>
    <cellStyle name="20% - Accent3 23 2 5 2" xfId="17063" xr:uid="{00000000-0005-0000-0000-0000230D0000}"/>
    <cellStyle name="20% - Accent3 23 2 6" xfId="15069" xr:uid="{00000000-0005-0000-0000-0000240D0000}"/>
    <cellStyle name="20% - Accent3 23 3" xfId="10760" xr:uid="{00000000-0005-0000-0000-0000250D0000}"/>
    <cellStyle name="20% - Accent3 23 3 2" xfId="22048" xr:uid="{00000000-0005-0000-0000-0000260D0000}"/>
    <cellStyle name="20% - Accent3 23 4" xfId="8766" xr:uid="{00000000-0005-0000-0000-0000270D0000}"/>
    <cellStyle name="20% - Accent3 23 4 2" xfId="20054" xr:uid="{00000000-0005-0000-0000-0000280D0000}"/>
    <cellStyle name="20% - Accent3 23 5" xfId="6772" xr:uid="{00000000-0005-0000-0000-0000290D0000}"/>
    <cellStyle name="20% - Accent3 23 5 2" xfId="18060" xr:uid="{00000000-0005-0000-0000-00002A0D0000}"/>
    <cellStyle name="20% - Accent3 23 6" xfId="4778" xr:uid="{00000000-0005-0000-0000-00002B0D0000}"/>
    <cellStyle name="20% - Accent3 23 6 2" xfId="16066" xr:uid="{00000000-0005-0000-0000-00002C0D0000}"/>
    <cellStyle name="20% - Accent3 23 7" xfId="14072" xr:uid="{00000000-0005-0000-0000-00002D0D0000}"/>
    <cellStyle name="20% - Accent3 23 8" xfId="12758" xr:uid="{00000000-0005-0000-0000-00002E0D0000}"/>
    <cellStyle name="20% - Accent3 24" xfId="823" xr:uid="{00000000-0005-0000-0000-00002F0D0000}"/>
    <cellStyle name="20% - Accent3 24 2" xfId="3779" xr:uid="{00000000-0005-0000-0000-0000300D0000}"/>
    <cellStyle name="20% - Accent3 24 2 2" xfId="11758" xr:uid="{00000000-0005-0000-0000-0000310D0000}"/>
    <cellStyle name="20% - Accent3 24 2 2 2" xfId="23046" xr:uid="{00000000-0005-0000-0000-0000320D0000}"/>
    <cellStyle name="20% - Accent3 24 2 3" xfId="9764" xr:uid="{00000000-0005-0000-0000-0000330D0000}"/>
    <cellStyle name="20% - Accent3 24 2 3 2" xfId="21052" xr:uid="{00000000-0005-0000-0000-0000340D0000}"/>
    <cellStyle name="20% - Accent3 24 2 4" xfId="7770" xr:uid="{00000000-0005-0000-0000-0000350D0000}"/>
    <cellStyle name="20% - Accent3 24 2 4 2" xfId="19058" xr:uid="{00000000-0005-0000-0000-0000360D0000}"/>
    <cellStyle name="20% - Accent3 24 2 5" xfId="5776" xr:uid="{00000000-0005-0000-0000-0000370D0000}"/>
    <cellStyle name="20% - Accent3 24 2 5 2" xfId="17064" xr:uid="{00000000-0005-0000-0000-0000380D0000}"/>
    <cellStyle name="20% - Accent3 24 2 6" xfId="15070" xr:uid="{00000000-0005-0000-0000-0000390D0000}"/>
    <cellStyle name="20% - Accent3 24 3" xfId="10761" xr:uid="{00000000-0005-0000-0000-00003A0D0000}"/>
    <cellStyle name="20% - Accent3 24 3 2" xfId="22049" xr:uid="{00000000-0005-0000-0000-00003B0D0000}"/>
    <cellStyle name="20% - Accent3 24 4" xfId="8767" xr:uid="{00000000-0005-0000-0000-00003C0D0000}"/>
    <cellStyle name="20% - Accent3 24 4 2" xfId="20055" xr:uid="{00000000-0005-0000-0000-00003D0D0000}"/>
    <cellStyle name="20% - Accent3 24 5" xfId="6773" xr:uid="{00000000-0005-0000-0000-00003E0D0000}"/>
    <cellStyle name="20% - Accent3 24 5 2" xfId="18061" xr:uid="{00000000-0005-0000-0000-00003F0D0000}"/>
    <cellStyle name="20% - Accent3 24 6" xfId="4779" xr:uid="{00000000-0005-0000-0000-0000400D0000}"/>
    <cellStyle name="20% - Accent3 24 6 2" xfId="16067" xr:uid="{00000000-0005-0000-0000-0000410D0000}"/>
    <cellStyle name="20% - Accent3 24 7" xfId="14073" xr:uid="{00000000-0005-0000-0000-0000420D0000}"/>
    <cellStyle name="20% - Accent3 24 8" xfId="12759" xr:uid="{00000000-0005-0000-0000-0000430D0000}"/>
    <cellStyle name="20% - Accent3 25" xfId="824" xr:uid="{00000000-0005-0000-0000-0000440D0000}"/>
    <cellStyle name="20% - Accent3 25 2" xfId="3780" xr:uid="{00000000-0005-0000-0000-0000450D0000}"/>
    <cellStyle name="20% - Accent3 25 2 2" xfId="11759" xr:uid="{00000000-0005-0000-0000-0000460D0000}"/>
    <cellStyle name="20% - Accent3 25 2 2 2" xfId="23047" xr:uid="{00000000-0005-0000-0000-0000470D0000}"/>
    <cellStyle name="20% - Accent3 25 2 3" xfId="9765" xr:uid="{00000000-0005-0000-0000-0000480D0000}"/>
    <cellStyle name="20% - Accent3 25 2 3 2" xfId="21053" xr:uid="{00000000-0005-0000-0000-0000490D0000}"/>
    <cellStyle name="20% - Accent3 25 2 4" xfId="7771" xr:uid="{00000000-0005-0000-0000-00004A0D0000}"/>
    <cellStyle name="20% - Accent3 25 2 4 2" xfId="19059" xr:uid="{00000000-0005-0000-0000-00004B0D0000}"/>
    <cellStyle name="20% - Accent3 25 2 5" xfId="5777" xr:uid="{00000000-0005-0000-0000-00004C0D0000}"/>
    <cellStyle name="20% - Accent3 25 2 5 2" xfId="17065" xr:uid="{00000000-0005-0000-0000-00004D0D0000}"/>
    <cellStyle name="20% - Accent3 25 2 6" xfId="15071" xr:uid="{00000000-0005-0000-0000-00004E0D0000}"/>
    <cellStyle name="20% - Accent3 25 3" xfId="10762" xr:uid="{00000000-0005-0000-0000-00004F0D0000}"/>
    <cellStyle name="20% - Accent3 25 3 2" xfId="22050" xr:uid="{00000000-0005-0000-0000-0000500D0000}"/>
    <cellStyle name="20% - Accent3 25 4" xfId="8768" xr:uid="{00000000-0005-0000-0000-0000510D0000}"/>
    <cellStyle name="20% - Accent3 25 4 2" xfId="20056" xr:uid="{00000000-0005-0000-0000-0000520D0000}"/>
    <cellStyle name="20% - Accent3 25 5" xfId="6774" xr:uid="{00000000-0005-0000-0000-0000530D0000}"/>
    <cellStyle name="20% - Accent3 25 5 2" xfId="18062" xr:uid="{00000000-0005-0000-0000-0000540D0000}"/>
    <cellStyle name="20% - Accent3 25 6" xfId="4780" xr:uid="{00000000-0005-0000-0000-0000550D0000}"/>
    <cellStyle name="20% - Accent3 25 6 2" xfId="16068" xr:uid="{00000000-0005-0000-0000-0000560D0000}"/>
    <cellStyle name="20% - Accent3 25 7" xfId="14074" xr:uid="{00000000-0005-0000-0000-0000570D0000}"/>
    <cellStyle name="20% - Accent3 25 8" xfId="12760" xr:uid="{00000000-0005-0000-0000-0000580D0000}"/>
    <cellStyle name="20% - Accent3 26" xfId="825" xr:uid="{00000000-0005-0000-0000-0000590D0000}"/>
    <cellStyle name="20% - Accent3 26 2" xfId="3781" xr:uid="{00000000-0005-0000-0000-00005A0D0000}"/>
    <cellStyle name="20% - Accent3 26 2 2" xfId="11760" xr:uid="{00000000-0005-0000-0000-00005B0D0000}"/>
    <cellStyle name="20% - Accent3 26 2 2 2" xfId="23048" xr:uid="{00000000-0005-0000-0000-00005C0D0000}"/>
    <cellStyle name="20% - Accent3 26 2 3" xfId="9766" xr:uid="{00000000-0005-0000-0000-00005D0D0000}"/>
    <cellStyle name="20% - Accent3 26 2 3 2" xfId="21054" xr:uid="{00000000-0005-0000-0000-00005E0D0000}"/>
    <cellStyle name="20% - Accent3 26 2 4" xfId="7772" xr:uid="{00000000-0005-0000-0000-00005F0D0000}"/>
    <cellStyle name="20% - Accent3 26 2 4 2" xfId="19060" xr:uid="{00000000-0005-0000-0000-0000600D0000}"/>
    <cellStyle name="20% - Accent3 26 2 5" xfId="5778" xr:uid="{00000000-0005-0000-0000-0000610D0000}"/>
    <cellStyle name="20% - Accent3 26 2 5 2" xfId="17066" xr:uid="{00000000-0005-0000-0000-0000620D0000}"/>
    <cellStyle name="20% - Accent3 26 2 6" xfId="15072" xr:uid="{00000000-0005-0000-0000-0000630D0000}"/>
    <cellStyle name="20% - Accent3 26 3" xfId="10763" xr:uid="{00000000-0005-0000-0000-0000640D0000}"/>
    <cellStyle name="20% - Accent3 26 3 2" xfId="22051" xr:uid="{00000000-0005-0000-0000-0000650D0000}"/>
    <cellStyle name="20% - Accent3 26 4" xfId="8769" xr:uid="{00000000-0005-0000-0000-0000660D0000}"/>
    <cellStyle name="20% - Accent3 26 4 2" xfId="20057" xr:uid="{00000000-0005-0000-0000-0000670D0000}"/>
    <cellStyle name="20% - Accent3 26 5" xfId="6775" xr:uid="{00000000-0005-0000-0000-0000680D0000}"/>
    <cellStyle name="20% - Accent3 26 5 2" xfId="18063" xr:uid="{00000000-0005-0000-0000-0000690D0000}"/>
    <cellStyle name="20% - Accent3 26 6" xfId="4781" xr:uid="{00000000-0005-0000-0000-00006A0D0000}"/>
    <cellStyle name="20% - Accent3 26 6 2" xfId="16069" xr:uid="{00000000-0005-0000-0000-00006B0D0000}"/>
    <cellStyle name="20% - Accent3 26 7" xfId="14075" xr:uid="{00000000-0005-0000-0000-00006C0D0000}"/>
    <cellStyle name="20% - Accent3 26 8" xfId="12761" xr:uid="{00000000-0005-0000-0000-00006D0D0000}"/>
    <cellStyle name="20% - Accent3 27" xfId="826" xr:uid="{00000000-0005-0000-0000-00006E0D0000}"/>
    <cellStyle name="20% - Accent3 27 2" xfId="3782" xr:uid="{00000000-0005-0000-0000-00006F0D0000}"/>
    <cellStyle name="20% - Accent3 27 2 2" xfId="11761" xr:uid="{00000000-0005-0000-0000-0000700D0000}"/>
    <cellStyle name="20% - Accent3 27 2 2 2" xfId="23049" xr:uid="{00000000-0005-0000-0000-0000710D0000}"/>
    <cellStyle name="20% - Accent3 27 2 3" xfId="9767" xr:uid="{00000000-0005-0000-0000-0000720D0000}"/>
    <cellStyle name="20% - Accent3 27 2 3 2" xfId="21055" xr:uid="{00000000-0005-0000-0000-0000730D0000}"/>
    <cellStyle name="20% - Accent3 27 2 4" xfId="7773" xr:uid="{00000000-0005-0000-0000-0000740D0000}"/>
    <cellStyle name="20% - Accent3 27 2 4 2" xfId="19061" xr:uid="{00000000-0005-0000-0000-0000750D0000}"/>
    <cellStyle name="20% - Accent3 27 2 5" xfId="5779" xr:uid="{00000000-0005-0000-0000-0000760D0000}"/>
    <cellStyle name="20% - Accent3 27 2 5 2" xfId="17067" xr:uid="{00000000-0005-0000-0000-0000770D0000}"/>
    <cellStyle name="20% - Accent3 27 2 6" xfId="15073" xr:uid="{00000000-0005-0000-0000-0000780D0000}"/>
    <cellStyle name="20% - Accent3 27 3" xfId="10764" xr:uid="{00000000-0005-0000-0000-0000790D0000}"/>
    <cellStyle name="20% - Accent3 27 3 2" xfId="22052" xr:uid="{00000000-0005-0000-0000-00007A0D0000}"/>
    <cellStyle name="20% - Accent3 27 4" xfId="8770" xr:uid="{00000000-0005-0000-0000-00007B0D0000}"/>
    <cellStyle name="20% - Accent3 27 4 2" xfId="20058" xr:uid="{00000000-0005-0000-0000-00007C0D0000}"/>
    <cellStyle name="20% - Accent3 27 5" xfId="6776" xr:uid="{00000000-0005-0000-0000-00007D0D0000}"/>
    <cellStyle name="20% - Accent3 27 5 2" xfId="18064" xr:uid="{00000000-0005-0000-0000-00007E0D0000}"/>
    <cellStyle name="20% - Accent3 27 6" xfId="4782" xr:uid="{00000000-0005-0000-0000-00007F0D0000}"/>
    <cellStyle name="20% - Accent3 27 6 2" xfId="16070" xr:uid="{00000000-0005-0000-0000-0000800D0000}"/>
    <cellStyle name="20% - Accent3 27 7" xfId="14076" xr:uid="{00000000-0005-0000-0000-0000810D0000}"/>
    <cellStyle name="20% - Accent3 27 8" xfId="12762" xr:uid="{00000000-0005-0000-0000-0000820D0000}"/>
    <cellStyle name="20% - Accent3 28" xfId="827" xr:uid="{00000000-0005-0000-0000-0000830D0000}"/>
    <cellStyle name="20% - Accent3 28 2" xfId="3783" xr:uid="{00000000-0005-0000-0000-0000840D0000}"/>
    <cellStyle name="20% - Accent3 28 2 2" xfId="11762" xr:uid="{00000000-0005-0000-0000-0000850D0000}"/>
    <cellStyle name="20% - Accent3 28 2 2 2" xfId="23050" xr:uid="{00000000-0005-0000-0000-0000860D0000}"/>
    <cellStyle name="20% - Accent3 28 2 3" xfId="9768" xr:uid="{00000000-0005-0000-0000-0000870D0000}"/>
    <cellStyle name="20% - Accent3 28 2 3 2" xfId="21056" xr:uid="{00000000-0005-0000-0000-0000880D0000}"/>
    <cellStyle name="20% - Accent3 28 2 4" xfId="7774" xr:uid="{00000000-0005-0000-0000-0000890D0000}"/>
    <cellStyle name="20% - Accent3 28 2 4 2" xfId="19062" xr:uid="{00000000-0005-0000-0000-00008A0D0000}"/>
    <cellStyle name="20% - Accent3 28 2 5" xfId="5780" xr:uid="{00000000-0005-0000-0000-00008B0D0000}"/>
    <cellStyle name="20% - Accent3 28 2 5 2" xfId="17068" xr:uid="{00000000-0005-0000-0000-00008C0D0000}"/>
    <cellStyle name="20% - Accent3 28 2 6" xfId="15074" xr:uid="{00000000-0005-0000-0000-00008D0D0000}"/>
    <cellStyle name="20% - Accent3 28 3" xfId="10765" xr:uid="{00000000-0005-0000-0000-00008E0D0000}"/>
    <cellStyle name="20% - Accent3 28 3 2" xfId="22053" xr:uid="{00000000-0005-0000-0000-00008F0D0000}"/>
    <cellStyle name="20% - Accent3 28 4" xfId="8771" xr:uid="{00000000-0005-0000-0000-0000900D0000}"/>
    <cellStyle name="20% - Accent3 28 4 2" xfId="20059" xr:uid="{00000000-0005-0000-0000-0000910D0000}"/>
    <cellStyle name="20% - Accent3 28 5" xfId="6777" xr:uid="{00000000-0005-0000-0000-0000920D0000}"/>
    <cellStyle name="20% - Accent3 28 5 2" xfId="18065" xr:uid="{00000000-0005-0000-0000-0000930D0000}"/>
    <cellStyle name="20% - Accent3 28 6" xfId="4783" xr:uid="{00000000-0005-0000-0000-0000940D0000}"/>
    <cellStyle name="20% - Accent3 28 6 2" xfId="16071" xr:uid="{00000000-0005-0000-0000-0000950D0000}"/>
    <cellStyle name="20% - Accent3 28 7" xfId="14077" xr:uid="{00000000-0005-0000-0000-0000960D0000}"/>
    <cellStyle name="20% - Accent3 28 8" xfId="12763" xr:uid="{00000000-0005-0000-0000-0000970D0000}"/>
    <cellStyle name="20% - Accent3 29" xfId="828" xr:uid="{00000000-0005-0000-0000-0000980D0000}"/>
    <cellStyle name="20% - Accent3 29 2" xfId="3784" xr:uid="{00000000-0005-0000-0000-0000990D0000}"/>
    <cellStyle name="20% - Accent3 29 2 2" xfId="11763" xr:uid="{00000000-0005-0000-0000-00009A0D0000}"/>
    <cellStyle name="20% - Accent3 29 2 2 2" xfId="23051" xr:uid="{00000000-0005-0000-0000-00009B0D0000}"/>
    <cellStyle name="20% - Accent3 29 2 3" xfId="9769" xr:uid="{00000000-0005-0000-0000-00009C0D0000}"/>
    <cellStyle name="20% - Accent3 29 2 3 2" xfId="21057" xr:uid="{00000000-0005-0000-0000-00009D0D0000}"/>
    <cellStyle name="20% - Accent3 29 2 4" xfId="7775" xr:uid="{00000000-0005-0000-0000-00009E0D0000}"/>
    <cellStyle name="20% - Accent3 29 2 4 2" xfId="19063" xr:uid="{00000000-0005-0000-0000-00009F0D0000}"/>
    <cellStyle name="20% - Accent3 29 2 5" xfId="5781" xr:uid="{00000000-0005-0000-0000-0000A00D0000}"/>
    <cellStyle name="20% - Accent3 29 2 5 2" xfId="17069" xr:uid="{00000000-0005-0000-0000-0000A10D0000}"/>
    <cellStyle name="20% - Accent3 29 2 6" xfId="15075" xr:uid="{00000000-0005-0000-0000-0000A20D0000}"/>
    <cellStyle name="20% - Accent3 29 3" xfId="10766" xr:uid="{00000000-0005-0000-0000-0000A30D0000}"/>
    <cellStyle name="20% - Accent3 29 3 2" xfId="22054" xr:uid="{00000000-0005-0000-0000-0000A40D0000}"/>
    <cellStyle name="20% - Accent3 29 4" xfId="8772" xr:uid="{00000000-0005-0000-0000-0000A50D0000}"/>
    <cellStyle name="20% - Accent3 29 4 2" xfId="20060" xr:uid="{00000000-0005-0000-0000-0000A60D0000}"/>
    <cellStyle name="20% - Accent3 29 5" xfId="6778" xr:uid="{00000000-0005-0000-0000-0000A70D0000}"/>
    <cellStyle name="20% - Accent3 29 5 2" xfId="18066" xr:uid="{00000000-0005-0000-0000-0000A80D0000}"/>
    <cellStyle name="20% - Accent3 29 6" xfId="4784" xr:uid="{00000000-0005-0000-0000-0000A90D0000}"/>
    <cellStyle name="20% - Accent3 29 6 2" xfId="16072" xr:uid="{00000000-0005-0000-0000-0000AA0D0000}"/>
    <cellStyle name="20% - Accent3 29 7" xfId="14078" xr:uid="{00000000-0005-0000-0000-0000AB0D0000}"/>
    <cellStyle name="20% - Accent3 29 8" xfId="12764" xr:uid="{00000000-0005-0000-0000-0000AC0D0000}"/>
    <cellStyle name="20% - Accent3 3" xfId="829" xr:uid="{00000000-0005-0000-0000-0000AD0D0000}"/>
    <cellStyle name="20% - Accent3 3 10" xfId="24572" xr:uid="{00000000-0005-0000-0000-0000AE0D0000}"/>
    <cellStyle name="20% - Accent3 3 11" xfId="24962" xr:uid="{00000000-0005-0000-0000-0000AF0D0000}"/>
    <cellStyle name="20% - Accent3 3 2" xfId="3785" xr:uid="{00000000-0005-0000-0000-0000B00D0000}"/>
    <cellStyle name="20% - Accent3 3 2 2" xfId="11764" xr:uid="{00000000-0005-0000-0000-0000B10D0000}"/>
    <cellStyle name="20% - Accent3 3 2 2 2" xfId="23052" xr:uid="{00000000-0005-0000-0000-0000B20D0000}"/>
    <cellStyle name="20% - Accent3 3 2 3" xfId="9770" xr:uid="{00000000-0005-0000-0000-0000B30D0000}"/>
    <cellStyle name="20% - Accent3 3 2 3 2" xfId="21058" xr:uid="{00000000-0005-0000-0000-0000B40D0000}"/>
    <cellStyle name="20% - Accent3 3 2 4" xfId="7776" xr:uid="{00000000-0005-0000-0000-0000B50D0000}"/>
    <cellStyle name="20% - Accent3 3 2 4 2" xfId="19064" xr:uid="{00000000-0005-0000-0000-0000B60D0000}"/>
    <cellStyle name="20% - Accent3 3 2 5" xfId="5782" xr:uid="{00000000-0005-0000-0000-0000B70D0000}"/>
    <cellStyle name="20% - Accent3 3 2 5 2" xfId="17070" xr:uid="{00000000-0005-0000-0000-0000B80D0000}"/>
    <cellStyle name="20% - Accent3 3 2 6" xfId="15076" xr:uid="{00000000-0005-0000-0000-0000B90D0000}"/>
    <cellStyle name="20% - Accent3 3 2 7" xfId="24333" xr:uid="{00000000-0005-0000-0000-0000BA0D0000}"/>
    <cellStyle name="20% - Accent3 3 2 8" xfId="24797" xr:uid="{00000000-0005-0000-0000-0000BB0D0000}"/>
    <cellStyle name="20% - Accent3 3 2 9" xfId="25164" xr:uid="{00000000-0005-0000-0000-0000BC0D0000}"/>
    <cellStyle name="20% - Accent3 3 3" xfId="10767" xr:uid="{00000000-0005-0000-0000-0000BD0D0000}"/>
    <cellStyle name="20% - Accent3 3 3 2" xfId="22055" xr:uid="{00000000-0005-0000-0000-0000BE0D0000}"/>
    <cellStyle name="20% - Accent3 3 4" xfId="8773" xr:uid="{00000000-0005-0000-0000-0000BF0D0000}"/>
    <cellStyle name="20% - Accent3 3 4 2" xfId="20061" xr:uid="{00000000-0005-0000-0000-0000C00D0000}"/>
    <cellStyle name="20% - Accent3 3 5" xfId="6779" xr:uid="{00000000-0005-0000-0000-0000C10D0000}"/>
    <cellStyle name="20% - Accent3 3 5 2" xfId="18067" xr:uid="{00000000-0005-0000-0000-0000C20D0000}"/>
    <cellStyle name="20% - Accent3 3 6" xfId="4785" xr:uid="{00000000-0005-0000-0000-0000C30D0000}"/>
    <cellStyle name="20% - Accent3 3 6 2" xfId="16073" xr:uid="{00000000-0005-0000-0000-0000C40D0000}"/>
    <cellStyle name="20% - Accent3 3 7" xfId="14079" xr:uid="{00000000-0005-0000-0000-0000C50D0000}"/>
    <cellStyle name="20% - Accent3 3 8" xfId="12765" xr:uid="{00000000-0005-0000-0000-0000C60D0000}"/>
    <cellStyle name="20% - Accent3 3 9" xfId="23945" xr:uid="{00000000-0005-0000-0000-0000C70D0000}"/>
    <cellStyle name="20% - Accent3 30" xfId="830" xr:uid="{00000000-0005-0000-0000-0000C80D0000}"/>
    <cellStyle name="20% - Accent3 30 2" xfId="3786" xr:uid="{00000000-0005-0000-0000-0000C90D0000}"/>
    <cellStyle name="20% - Accent3 30 2 2" xfId="11765" xr:uid="{00000000-0005-0000-0000-0000CA0D0000}"/>
    <cellStyle name="20% - Accent3 30 2 2 2" xfId="23053" xr:uid="{00000000-0005-0000-0000-0000CB0D0000}"/>
    <cellStyle name="20% - Accent3 30 2 3" xfId="9771" xr:uid="{00000000-0005-0000-0000-0000CC0D0000}"/>
    <cellStyle name="20% - Accent3 30 2 3 2" xfId="21059" xr:uid="{00000000-0005-0000-0000-0000CD0D0000}"/>
    <cellStyle name="20% - Accent3 30 2 4" xfId="7777" xr:uid="{00000000-0005-0000-0000-0000CE0D0000}"/>
    <cellStyle name="20% - Accent3 30 2 4 2" xfId="19065" xr:uid="{00000000-0005-0000-0000-0000CF0D0000}"/>
    <cellStyle name="20% - Accent3 30 2 5" xfId="5783" xr:uid="{00000000-0005-0000-0000-0000D00D0000}"/>
    <cellStyle name="20% - Accent3 30 2 5 2" xfId="17071" xr:uid="{00000000-0005-0000-0000-0000D10D0000}"/>
    <cellStyle name="20% - Accent3 30 2 6" xfId="15077" xr:uid="{00000000-0005-0000-0000-0000D20D0000}"/>
    <cellStyle name="20% - Accent3 30 3" xfId="10768" xr:uid="{00000000-0005-0000-0000-0000D30D0000}"/>
    <cellStyle name="20% - Accent3 30 3 2" xfId="22056" xr:uid="{00000000-0005-0000-0000-0000D40D0000}"/>
    <cellStyle name="20% - Accent3 30 4" xfId="8774" xr:uid="{00000000-0005-0000-0000-0000D50D0000}"/>
    <cellStyle name="20% - Accent3 30 4 2" xfId="20062" xr:uid="{00000000-0005-0000-0000-0000D60D0000}"/>
    <cellStyle name="20% - Accent3 30 5" xfId="6780" xr:uid="{00000000-0005-0000-0000-0000D70D0000}"/>
    <cellStyle name="20% - Accent3 30 5 2" xfId="18068" xr:uid="{00000000-0005-0000-0000-0000D80D0000}"/>
    <cellStyle name="20% - Accent3 30 6" xfId="4786" xr:uid="{00000000-0005-0000-0000-0000D90D0000}"/>
    <cellStyle name="20% - Accent3 30 6 2" xfId="16074" xr:uid="{00000000-0005-0000-0000-0000DA0D0000}"/>
    <cellStyle name="20% - Accent3 30 7" xfId="14080" xr:uid="{00000000-0005-0000-0000-0000DB0D0000}"/>
    <cellStyle name="20% - Accent3 30 8" xfId="12766" xr:uid="{00000000-0005-0000-0000-0000DC0D0000}"/>
    <cellStyle name="20% - Accent3 31" xfId="831" xr:uid="{00000000-0005-0000-0000-0000DD0D0000}"/>
    <cellStyle name="20% - Accent3 31 2" xfId="3787" xr:uid="{00000000-0005-0000-0000-0000DE0D0000}"/>
    <cellStyle name="20% - Accent3 31 2 2" xfId="11766" xr:uid="{00000000-0005-0000-0000-0000DF0D0000}"/>
    <cellStyle name="20% - Accent3 31 2 2 2" xfId="23054" xr:uid="{00000000-0005-0000-0000-0000E00D0000}"/>
    <cellStyle name="20% - Accent3 31 2 3" xfId="9772" xr:uid="{00000000-0005-0000-0000-0000E10D0000}"/>
    <cellStyle name="20% - Accent3 31 2 3 2" xfId="21060" xr:uid="{00000000-0005-0000-0000-0000E20D0000}"/>
    <cellStyle name="20% - Accent3 31 2 4" xfId="7778" xr:uid="{00000000-0005-0000-0000-0000E30D0000}"/>
    <cellStyle name="20% - Accent3 31 2 4 2" xfId="19066" xr:uid="{00000000-0005-0000-0000-0000E40D0000}"/>
    <cellStyle name="20% - Accent3 31 2 5" xfId="5784" xr:uid="{00000000-0005-0000-0000-0000E50D0000}"/>
    <cellStyle name="20% - Accent3 31 2 5 2" xfId="17072" xr:uid="{00000000-0005-0000-0000-0000E60D0000}"/>
    <cellStyle name="20% - Accent3 31 2 6" xfId="15078" xr:uid="{00000000-0005-0000-0000-0000E70D0000}"/>
    <cellStyle name="20% - Accent3 31 3" xfId="10769" xr:uid="{00000000-0005-0000-0000-0000E80D0000}"/>
    <cellStyle name="20% - Accent3 31 3 2" xfId="22057" xr:uid="{00000000-0005-0000-0000-0000E90D0000}"/>
    <cellStyle name="20% - Accent3 31 4" xfId="8775" xr:uid="{00000000-0005-0000-0000-0000EA0D0000}"/>
    <cellStyle name="20% - Accent3 31 4 2" xfId="20063" xr:uid="{00000000-0005-0000-0000-0000EB0D0000}"/>
    <cellStyle name="20% - Accent3 31 5" xfId="6781" xr:uid="{00000000-0005-0000-0000-0000EC0D0000}"/>
    <cellStyle name="20% - Accent3 31 5 2" xfId="18069" xr:uid="{00000000-0005-0000-0000-0000ED0D0000}"/>
    <cellStyle name="20% - Accent3 31 6" xfId="4787" xr:uid="{00000000-0005-0000-0000-0000EE0D0000}"/>
    <cellStyle name="20% - Accent3 31 6 2" xfId="16075" xr:uid="{00000000-0005-0000-0000-0000EF0D0000}"/>
    <cellStyle name="20% - Accent3 31 7" xfId="14081" xr:uid="{00000000-0005-0000-0000-0000F00D0000}"/>
    <cellStyle name="20% - Accent3 31 8" xfId="12767" xr:uid="{00000000-0005-0000-0000-0000F10D0000}"/>
    <cellStyle name="20% - Accent3 32" xfId="832" xr:uid="{00000000-0005-0000-0000-0000F20D0000}"/>
    <cellStyle name="20% - Accent3 32 2" xfId="3788" xr:uid="{00000000-0005-0000-0000-0000F30D0000}"/>
    <cellStyle name="20% - Accent3 32 2 2" xfId="11767" xr:uid="{00000000-0005-0000-0000-0000F40D0000}"/>
    <cellStyle name="20% - Accent3 32 2 2 2" xfId="23055" xr:uid="{00000000-0005-0000-0000-0000F50D0000}"/>
    <cellStyle name="20% - Accent3 32 2 3" xfId="9773" xr:uid="{00000000-0005-0000-0000-0000F60D0000}"/>
    <cellStyle name="20% - Accent3 32 2 3 2" xfId="21061" xr:uid="{00000000-0005-0000-0000-0000F70D0000}"/>
    <cellStyle name="20% - Accent3 32 2 4" xfId="7779" xr:uid="{00000000-0005-0000-0000-0000F80D0000}"/>
    <cellStyle name="20% - Accent3 32 2 4 2" xfId="19067" xr:uid="{00000000-0005-0000-0000-0000F90D0000}"/>
    <cellStyle name="20% - Accent3 32 2 5" xfId="5785" xr:uid="{00000000-0005-0000-0000-0000FA0D0000}"/>
    <cellStyle name="20% - Accent3 32 2 5 2" xfId="17073" xr:uid="{00000000-0005-0000-0000-0000FB0D0000}"/>
    <cellStyle name="20% - Accent3 32 2 6" xfId="15079" xr:uid="{00000000-0005-0000-0000-0000FC0D0000}"/>
    <cellStyle name="20% - Accent3 32 3" xfId="10770" xr:uid="{00000000-0005-0000-0000-0000FD0D0000}"/>
    <cellStyle name="20% - Accent3 32 3 2" xfId="22058" xr:uid="{00000000-0005-0000-0000-0000FE0D0000}"/>
    <cellStyle name="20% - Accent3 32 4" xfId="8776" xr:uid="{00000000-0005-0000-0000-0000FF0D0000}"/>
    <cellStyle name="20% - Accent3 32 4 2" xfId="20064" xr:uid="{00000000-0005-0000-0000-0000000E0000}"/>
    <cellStyle name="20% - Accent3 32 5" xfId="6782" xr:uid="{00000000-0005-0000-0000-0000010E0000}"/>
    <cellStyle name="20% - Accent3 32 5 2" xfId="18070" xr:uid="{00000000-0005-0000-0000-0000020E0000}"/>
    <cellStyle name="20% - Accent3 32 6" xfId="4788" xr:uid="{00000000-0005-0000-0000-0000030E0000}"/>
    <cellStyle name="20% - Accent3 32 6 2" xfId="16076" xr:uid="{00000000-0005-0000-0000-0000040E0000}"/>
    <cellStyle name="20% - Accent3 32 7" xfId="14082" xr:uid="{00000000-0005-0000-0000-0000050E0000}"/>
    <cellStyle name="20% - Accent3 32 8" xfId="12768" xr:uid="{00000000-0005-0000-0000-0000060E0000}"/>
    <cellStyle name="20% - Accent3 33" xfId="833" xr:uid="{00000000-0005-0000-0000-0000070E0000}"/>
    <cellStyle name="20% - Accent3 33 2" xfId="3789" xr:uid="{00000000-0005-0000-0000-0000080E0000}"/>
    <cellStyle name="20% - Accent3 33 2 2" xfId="11768" xr:uid="{00000000-0005-0000-0000-0000090E0000}"/>
    <cellStyle name="20% - Accent3 33 2 2 2" xfId="23056" xr:uid="{00000000-0005-0000-0000-00000A0E0000}"/>
    <cellStyle name="20% - Accent3 33 2 3" xfId="9774" xr:uid="{00000000-0005-0000-0000-00000B0E0000}"/>
    <cellStyle name="20% - Accent3 33 2 3 2" xfId="21062" xr:uid="{00000000-0005-0000-0000-00000C0E0000}"/>
    <cellStyle name="20% - Accent3 33 2 4" xfId="7780" xr:uid="{00000000-0005-0000-0000-00000D0E0000}"/>
    <cellStyle name="20% - Accent3 33 2 4 2" xfId="19068" xr:uid="{00000000-0005-0000-0000-00000E0E0000}"/>
    <cellStyle name="20% - Accent3 33 2 5" xfId="5786" xr:uid="{00000000-0005-0000-0000-00000F0E0000}"/>
    <cellStyle name="20% - Accent3 33 2 5 2" xfId="17074" xr:uid="{00000000-0005-0000-0000-0000100E0000}"/>
    <cellStyle name="20% - Accent3 33 2 6" xfId="15080" xr:uid="{00000000-0005-0000-0000-0000110E0000}"/>
    <cellStyle name="20% - Accent3 33 3" xfId="10771" xr:uid="{00000000-0005-0000-0000-0000120E0000}"/>
    <cellStyle name="20% - Accent3 33 3 2" xfId="22059" xr:uid="{00000000-0005-0000-0000-0000130E0000}"/>
    <cellStyle name="20% - Accent3 33 4" xfId="8777" xr:uid="{00000000-0005-0000-0000-0000140E0000}"/>
    <cellStyle name="20% - Accent3 33 4 2" xfId="20065" xr:uid="{00000000-0005-0000-0000-0000150E0000}"/>
    <cellStyle name="20% - Accent3 33 5" xfId="6783" xr:uid="{00000000-0005-0000-0000-0000160E0000}"/>
    <cellStyle name="20% - Accent3 33 5 2" xfId="18071" xr:uid="{00000000-0005-0000-0000-0000170E0000}"/>
    <cellStyle name="20% - Accent3 33 6" xfId="4789" xr:uid="{00000000-0005-0000-0000-0000180E0000}"/>
    <cellStyle name="20% - Accent3 33 6 2" xfId="16077" xr:uid="{00000000-0005-0000-0000-0000190E0000}"/>
    <cellStyle name="20% - Accent3 33 7" xfId="14083" xr:uid="{00000000-0005-0000-0000-00001A0E0000}"/>
    <cellStyle name="20% - Accent3 33 8" xfId="12769" xr:uid="{00000000-0005-0000-0000-00001B0E0000}"/>
    <cellStyle name="20% - Accent3 34" xfId="834" xr:uid="{00000000-0005-0000-0000-00001C0E0000}"/>
    <cellStyle name="20% - Accent3 34 2" xfId="3790" xr:uid="{00000000-0005-0000-0000-00001D0E0000}"/>
    <cellStyle name="20% - Accent3 34 2 2" xfId="11769" xr:uid="{00000000-0005-0000-0000-00001E0E0000}"/>
    <cellStyle name="20% - Accent3 34 2 2 2" xfId="23057" xr:uid="{00000000-0005-0000-0000-00001F0E0000}"/>
    <cellStyle name="20% - Accent3 34 2 3" xfId="9775" xr:uid="{00000000-0005-0000-0000-0000200E0000}"/>
    <cellStyle name="20% - Accent3 34 2 3 2" xfId="21063" xr:uid="{00000000-0005-0000-0000-0000210E0000}"/>
    <cellStyle name="20% - Accent3 34 2 4" xfId="7781" xr:uid="{00000000-0005-0000-0000-0000220E0000}"/>
    <cellStyle name="20% - Accent3 34 2 4 2" xfId="19069" xr:uid="{00000000-0005-0000-0000-0000230E0000}"/>
    <cellStyle name="20% - Accent3 34 2 5" xfId="5787" xr:uid="{00000000-0005-0000-0000-0000240E0000}"/>
    <cellStyle name="20% - Accent3 34 2 5 2" xfId="17075" xr:uid="{00000000-0005-0000-0000-0000250E0000}"/>
    <cellStyle name="20% - Accent3 34 2 6" xfId="15081" xr:uid="{00000000-0005-0000-0000-0000260E0000}"/>
    <cellStyle name="20% - Accent3 34 3" xfId="10772" xr:uid="{00000000-0005-0000-0000-0000270E0000}"/>
    <cellStyle name="20% - Accent3 34 3 2" xfId="22060" xr:uid="{00000000-0005-0000-0000-0000280E0000}"/>
    <cellStyle name="20% - Accent3 34 4" xfId="8778" xr:uid="{00000000-0005-0000-0000-0000290E0000}"/>
    <cellStyle name="20% - Accent3 34 4 2" xfId="20066" xr:uid="{00000000-0005-0000-0000-00002A0E0000}"/>
    <cellStyle name="20% - Accent3 34 5" xfId="6784" xr:uid="{00000000-0005-0000-0000-00002B0E0000}"/>
    <cellStyle name="20% - Accent3 34 5 2" xfId="18072" xr:uid="{00000000-0005-0000-0000-00002C0E0000}"/>
    <cellStyle name="20% - Accent3 34 6" xfId="4790" xr:uid="{00000000-0005-0000-0000-00002D0E0000}"/>
    <cellStyle name="20% - Accent3 34 6 2" xfId="16078" xr:uid="{00000000-0005-0000-0000-00002E0E0000}"/>
    <cellStyle name="20% - Accent3 34 7" xfId="14084" xr:uid="{00000000-0005-0000-0000-00002F0E0000}"/>
    <cellStyle name="20% - Accent3 34 8" xfId="12770" xr:uid="{00000000-0005-0000-0000-0000300E0000}"/>
    <cellStyle name="20% - Accent3 35" xfId="835" xr:uid="{00000000-0005-0000-0000-0000310E0000}"/>
    <cellStyle name="20% - Accent3 35 2" xfId="3791" xr:uid="{00000000-0005-0000-0000-0000320E0000}"/>
    <cellStyle name="20% - Accent3 35 2 2" xfId="11770" xr:uid="{00000000-0005-0000-0000-0000330E0000}"/>
    <cellStyle name="20% - Accent3 35 2 2 2" xfId="23058" xr:uid="{00000000-0005-0000-0000-0000340E0000}"/>
    <cellStyle name="20% - Accent3 35 2 3" xfId="9776" xr:uid="{00000000-0005-0000-0000-0000350E0000}"/>
    <cellStyle name="20% - Accent3 35 2 3 2" xfId="21064" xr:uid="{00000000-0005-0000-0000-0000360E0000}"/>
    <cellStyle name="20% - Accent3 35 2 4" xfId="7782" xr:uid="{00000000-0005-0000-0000-0000370E0000}"/>
    <cellStyle name="20% - Accent3 35 2 4 2" xfId="19070" xr:uid="{00000000-0005-0000-0000-0000380E0000}"/>
    <cellStyle name="20% - Accent3 35 2 5" xfId="5788" xr:uid="{00000000-0005-0000-0000-0000390E0000}"/>
    <cellStyle name="20% - Accent3 35 2 5 2" xfId="17076" xr:uid="{00000000-0005-0000-0000-00003A0E0000}"/>
    <cellStyle name="20% - Accent3 35 2 6" xfId="15082" xr:uid="{00000000-0005-0000-0000-00003B0E0000}"/>
    <cellStyle name="20% - Accent3 35 3" xfId="10773" xr:uid="{00000000-0005-0000-0000-00003C0E0000}"/>
    <cellStyle name="20% - Accent3 35 3 2" xfId="22061" xr:uid="{00000000-0005-0000-0000-00003D0E0000}"/>
    <cellStyle name="20% - Accent3 35 4" xfId="8779" xr:uid="{00000000-0005-0000-0000-00003E0E0000}"/>
    <cellStyle name="20% - Accent3 35 4 2" xfId="20067" xr:uid="{00000000-0005-0000-0000-00003F0E0000}"/>
    <cellStyle name="20% - Accent3 35 5" xfId="6785" xr:uid="{00000000-0005-0000-0000-0000400E0000}"/>
    <cellStyle name="20% - Accent3 35 5 2" xfId="18073" xr:uid="{00000000-0005-0000-0000-0000410E0000}"/>
    <cellStyle name="20% - Accent3 35 6" xfId="4791" xr:uid="{00000000-0005-0000-0000-0000420E0000}"/>
    <cellStyle name="20% - Accent3 35 6 2" xfId="16079" xr:uid="{00000000-0005-0000-0000-0000430E0000}"/>
    <cellStyle name="20% - Accent3 35 7" xfId="14085" xr:uid="{00000000-0005-0000-0000-0000440E0000}"/>
    <cellStyle name="20% - Accent3 35 8" xfId="12771" xr:uid="{00000000-0005-0000-0000-0000450E0000}"/>
    <cellStyle name="20% - Accent3 36" xfId="836" xr:uid="{00000000-0005-0000-0000-0000460E0000}"/>
    <cellStyle name="20% - Accent3 36 2" xfId="3792" xr:uid="{00000000-0005-0000-0000-0000470E0000}"/>
    <cellStyle name="20% - Accent3 36 2 2" xfId="11771" xr:uid="{00000000-0005-0000-0000-0000480E0000}"/>
    <cellStyle name="20% - Accent3 36 2 2 2" xfId="23059" xr:uid="{00000000-0005-0000-0000-0000490E0000}"/>
    <cellStyle name="20% - Accent3 36 2 3" xfId="9777" xr:uid="{00000000-0005-0000-0000-00004A0E0000}"/>
    <cellStyle name="20% - Accent3 36 2 3 2" xfId="21065" xr:uid="{00000000-0005-0000-0000-00004B0E0000}"/>
    <cellStyle name="20% - Accent3 36 2 4" xfId="7783" xr:uid="{00000000-0005-0000-0000-00004C0E0000}"/>
    <cellStyle name="20% - Accent3 36 2 4 2" xfId="19071" xr:uid="{00000000-0005-0000-0000-00004D0E0000}"/>
    <cellStyle name="20% - Accent3 36 2 5" xfId="5789" xr:uid="{00000000-0005-0000-0000-00004E0E0000}"/>
    <cellStyle name="20% - Accent3 36 2 5 2" xfId="17077" xr:uid="{00000000-0005-0000-0000-00004F0E0000}"/>
    <cellStyle name="20% - Accent3 36 2 6" xfId="15083" xr:uid="{00000000-0005-0000-0000-0000500E0000}"/>
    <cellStyle name="20% - Accent3 36 3" xfId="10774" xr:uid="{00000000-0005-0000-0000-0000510E0000}"/>
    <cellStyle name="20% - Accent3 36 3 2" xfId="22062" xr:uid="{00000000-0005-0000-0000-0000520E0000}"/>
    <cellStyle name="20% - Accent3 36 4" xfId="8780" xr:uid="{00000000-0005-0000-0000-0000530E0000}"/>
    <cellStyle name="20% - Accent3 36 4 2" xfId="20068" xr:uid="{00000000-0005-0000-0000-0000540E0000}"/>
    <cellStyle name="20% - Accent3 36 5" xfId="6786" xr:uid="{00000000-0005-0000-0000-0000550E0000}"/>
    <cellStyle name="20% - Accent3 36 5 2" xfId="18074" xr:uid="{00000000-0005-0000-0000-0000560E0000}"/>
    <cellStyle name="20% - Accent3 36 6" xfId="4792" xr:uid="{00000000-0005-0000-0000-0000570E0000}"/>
    <cellStyle name="20% - Accent3 36 6 2" xfId="16080" xr:uid="{00000000-0005-0000-0000-0000580E0000}"/>
    <cellStyle name="20% - Accent3 36 7" xfId="14086" xr:uid="{00000000-0005-0000-0000-0000590E0000}"/>
    <cellStyle name="20% - Accent3 36 8" xfId="12772" xr:uid="{00000000-0005-0000-0000-00005A0E0000}"/>
    <cellStyle name="20% - Accent3 37" xfId="837" xr:uid="{00000000-0005-0000-0000-00005B0E0000}"/>
    <cellStyle name="20% - Accent3 37 2" xfId="3793" xr:uid="{00000000-0005-0000-0000-00005C0E0000}"/>
    <cellStyle name="20% - Accent3 37 2 2" xfId="11772" xr:uid="{00000000-0005-0000-0000-00005D0E0000}"/>
    <cellStyle name="20% - Accent3 37 2 2 2" xfId="23060" xr:uid="{00000000-0005-0000-0000-00005E0E0000}"/>
    <cellStyle name="20% - Accent3 37 2 3" xfId="9778" xr:uid="{00000000-0005-0000-0000-00005F0E0000}"/>
    <cellStyle name="20% - Accent3 37 2 3 2" xfId="21066" xr:uid="{00000000-0005-0000-0000-0000600E0000}"/>
    <cellStyle name="20% - Accent3 37 2 4" xfId="7784" xr:uid="{00000000-0005-0000-0000-0000610E0000}"/>
    <cellStyle name="20% - Accent3 37 2 4 2" xfId="19072" xr:uid="{00000000-0005-0000-0000-0000620E0000}"/>
    <cellStyle name="20% - Accent3 37 2 5" xfId="5790" xr:uid="{00000000-0005-0000-0000-0000630E0000}"/>
    <cellStyle name="20% - Accent3 37 2 5 2" xfId="17078" xr:uid="{00000000-0005-0000-0000-0000640E0000}"/>
    <cellStyle name="20% - Accent3 37 2 6" xfId="15084" xr:uid="{00000000-0005-0000-0000-0000650E0000}"/>
    <cellStyle name="20% - Accent3 37 3" xfId="10775" xr:uid="{00000000-0005-0000-0000-0000660E0000}"/>
    <cellStyle name="20% - Accent3 37 3 2" xfId="22063" xr:uid="{00000000-0005-0000-0000-0000670E0000}"/>
    <cellStyle name="20% - Accent3 37 4" xfId="8781" xr:uid="{00000000-0005-0000-0000-0000680E0000}"/>
    <cellStyle name="20% - Accent3 37 4 2" xfId="20069" xr:uid="{00000000-0005-0000-0000-0000690E0000}"/>
    <cellStyle name="20% - Accent3 37 5" xfId="6787" xr:uid="{00000000-0005-0000-0000-00006A0E0000}"/>
    <cellStyle name="20% - Accent3 37 5 2" xfId="18075" xr:uid="{00000000-0005-0000-0000-00006B0E0000}"/>
    <cellStyle name="20% - Accent3 37 6" xfId="4793" xr:uid="{00000000-0005-0000-0000-00006C0E0000}"/>
    <cellStyle name="20% - Accent3 37 6 2" xfId="16081" xr:uid="{00000000-0005-0000-0000-00006D0E0000}"/>
    <cellStyle name="20% - Accent3 37 7" xfId="14087" xr:uid="{00000000-0005-0000-0000-00006E0E0000}"/>
    <cellStyle name="20% - Accent3 37 8" xfId="12773" xr:uid="{00000000-0005-0000-0000-00006F0E0000}"/>
    <cellStyle name="20% - Accent3 38" xfId="838" xr:uid="{00000000-0005-0000-0000-0000700E0000}"/>
    <cellStyle name="20% - Accent3 38 2" xfId="3794" xr:uid="{00000000-0005-0000-0000-0000710E0000}"/>
    <cellStyle name="20% - Accent3 38 2 2" xfId="11773" xr:uid="{00000000-0005-0000-0000-0000720E0000}"/>
    <cellStyle name="20% - Accent3 38 2 2 2" xfId="23061" xr:uid="{00000000-0005-0000-0000-0000730E0000}"/>
    <cellStyle name="20% - Accent3 38 2 3" xfId="9779" xr:uid="{00000000-0005-0000-0000-0000740E0000}"/>
    <cellStyle name="20% - Accent3 38 2 3 2" xfId="21067" xr:uid="{00000000-0005-0000-0000-0000750E0000}"/>
    <cellStyle name="20% - Accent3 38 2 4" xfId="7785" xr:uid="{00000000-0005-0000-0000-0000760E0000}"/>
    <cellStyle name="20% - Accent3 38 2 4 2" xfId="19073" xr:uid="{00000000-0005-0000-0000-0000770E0000}"/>
    <cellStyle name="20% - Accent3 38 2 5" xfId="5791" xr:uid="{00000000-0005-0000-0000-0000780E0000}"/>
    <cellStyle name="20% - Accent3 38 2 5 2" xfId="17079" xr:uid="{00000000-0005-0000-0000-0000790E0000}"/>
    <cellStyle name="20% - Accent3 38 2 6" xfId="15085" xr:uid="{00000000-0005-0000-0000-00007A0E0000}"/>
    <cellStyle name="20% - Accent3 38 3" xfId="10776" xr:uid="{00000000-0005-0000-0000-00007B0E0000}"/>
    <cellStyle name="20% - Accent3 38 3 2" xfId="22064" xr:uid="{00000000-0005-0000-0000-00007C0E0000}"/>
    <cellStyle name="20% - Accent3 38 4" xfId="8782" xr:uid="{00000000-0005-0000-0000-00007D0E0000}"/>
    <cellStyle name="20% - Accent3 38 4 2" xfId="20070" xr:uid="{00000000-0005-0000-0000-00007E0E0000}"/>
    <cellStyle name="20% - Accent3 38 5" xfId="6788" xr:uid="{00000000-0005-0000-0000-00007F0E0000}"/>
    <cellStyle name="20% - Accent3 38 5 2" xfId="18076" xr:uid="{00000000-0005-0000-0000-0000800E0000}"/>
    <cellStyle name="20% - Accent3 38 6" xfId="4794" xr:uid="{00000000-0005-0000-0000-0000810E0000}"/>
    <cellStyle name="20% - Accent3 38 6 2" xfId="16082" xr:uid="{00000000-0005-0000-0000-0000820E0000}"/>
    <cellStyle name="20% - Accent3 38 7" xfId="14088" xr:uid="{00000000-0005-0000-0000-0000830E0000}"/>
    <cellStyle name="20% - Accent3 38 8" xfId="12774" xr:uid="{00000000-0005-0000-0000-0000840E0000}"/>
    <cellStyle name="20% - Accent3 39" xfId="839" xr:uid="{00000000-0005-0000-0000-0000850E0000}"/>
    <cellStyle name="20% - Accent3 39 2" xfId="3795" xr:uid="{00000000-0005-0000-0000-0000860E0000}"/>
    <cellStyle name="20% - Accent3 39 2 2" xfId="11774" xr:uid="{00000000-0005-0000-0000-0000870E0000}"/>
    <cellStyle name="20% - Accent3 39 2 2 2" xfId="23062" xr:uid="{00000000-0005-0000-0000-0000880E0000}"/>
    <cellStyle name="20% - Accent3 39 2 3" xfId="9780" xr:uid="{00000000-0005-0000-0000-0000890E0000}"/>
    <cellStyle name="20% - Accent3 39 2 3 2" xfId="21068" xr:uid="{00000000-0005-0000-0000-00008A0E0000}"/>
    <cellStyle name="20% - Accent3 39 2 4" xfId="7786" xr:uid="{00000000-0005-0000-0000-00008B0E0000}"/>
    <cellStyle name="20% - Accent3 39 2 4 2" xfId="19074" xr:uid="{00000000-0005-0000-0000-00008C0E0000}"/>
    <cellStyle name="20% - Accent3 39 2 5" xfId="5792" xr:uid="{00000000-0005-0000-0000-00008D0E0000}"/>
    <cellStyle name="20% - Accent3 39 2 5 2" xfId="17080" xr:uid="{00000000-0005-0000-0000-00008E0E0000}"/>
    <cellStyle name="20% - Accent3 39 2 6" xfId="15086" xr:uid="{00000000-0005-0000-0000-00008F0E0000}"/>
    <cellStyle name="20% - Accent3 39 3" xfId="10777" xr:uid="{00000000-0005-0000-0000-0000900E0000}"/>
    <cellStyle name="20% - Accent3 39 3 2" xfId="22065" xr:uid="{00000000-0005-0000-0000-0000910E0000}"/>
    <cellStyle name="20% - Accent3 39 4" xfId="8783" xr:uid="{00000000-0005-0000-0000-0000920E0000}"/>
    <cellStyle name="20% - Accent3 39 4 2" xfId="20071" xr:uid="{00000000-0005-0000-0000-0000930E0000}"/>
    <cellStyle name="20% - Accent3 39 5" xfId="6789" xr:uid="{00000000-0005-0000-0000-0000940E0000}"/>
    <cellStyle name="20% - Accent3 39 5 2" xfId="18077" xr:uid="{00000000-0005-0000-0000-0000950E0000}"/>
    <cellStyle name="20% - Accent3 39 6" xfId="4795" xr:uid="{00000000-0005-0000-0000-0000960E0000}"/>
    <cellStyle name="20% - Accent3 39 6 2" xfId="16083" xr:uid="{00000000-0005-0000-0000-0000970E0000}"/>
    <cellStyle name="20% - Accent3 39 7" xfId="14089" xr:uid="{00000000-0005-0000-0000-0000980E0000}"/>
    <cellStyle name="20% - Accent3 39 8" xfId="12775" xr:uid="{00000000-0005-0000-0000-0000990E0000}"/>
    <cellStyle name="20% - Accent3 4" xfId="840" xr:uid="{00000000-0005-0000-0000-00009A0E0000}"/>
    <cellStyle name="20% - Accent3 4 10" xfId="24573" xr:uid="{00000000-0005-0000-0000-00009B0E0000}"/>
    <cellStyle name="20% - Accent3 4 11" xfId="24963" xr:uid="{00000000-0005-0000-0000-00009C0E0000}"/>
    <cellStyle name="20% - Accent3 4 2" xfId="3796" xr:uid="{00000000-0005-0000-0000-00009D0E0000}"/>
    <cellStyle name="20% - Accent3 4 2 2" xfId="11775" xr:uid="{00000000-0005-0000-0000-00009E0E0000}"/>
    <cellStyle name="20% - Accent3 4 2 2 2" xfId="23063" xr:uid="{00000000-0005-0000-0000-00009F0E0000}"/>
    <cellStyle name="20% - Accent3 4 2 3" xfId="9781" xr:uid="{00000000-0005-0000-0000-0000A00E0000}"/>
    <cellStyle name="20% - Accent3 4 2 3 2" xfId="21069" xr:uid="{00000000-0005-0000-0000-0000A10E0000}"/>
    <cellStyle name="20% - Accent3 4 2 4" xfId="7787" xr:uid="{00000000-0005-0000-0000-0000A20E0000}"/>
    <cellStyle name="20% - Accent3 4 2 4 2" xfId="19075" xr:uid="{00000000-0005-0000-0000-0000A30E0000}"/>
    <cellStyle name="20% - Accent3 4 2 5" xfId="5793" xr:uid="{00000000-0005-0000-0000-0000A40E0000}"/>
    <cellStyle name="20% - Accent3 4 2 5 2" xfId="17081" xr:uid="{00000000-0005-0000-0000-0000A50E0000}"/>
    <cellStyle name="20% - Accent3 4 2 6" xfId="15087" xr:uid="{00000000-0005-0000-0000-0000A60E0000}"/>
    <cellStyle name="20% - Accent3 4 2 7" xfId="24334" xr:uid="{00000000-0005-0000-0000-0000A70E0000}"/>
    <cellStyle name="20% - Accent3 4 2 8" xfId="24798" xr:uid="{00000000-0005-0000-0000-0000A80E0000}"/>
    <cellStyle name="20% - Accent3 4 2 9" xfId="25165" xr:uid="{00000000-0005-0000-0000-0000A90E0000}"/>
    <cellStyle name="20% - Accent3 4 3" xfId="10778" xr:uid="{00000000-0005-0000-0000-0000AA0E0000}"/>
    <cellStyle name="20% - Accent3 4 3 2" xfId="22066" xr:uid="{00000000-0005-0000-0000-0000AB0E0000}"/>
    <cellStyle name="20% - Accent3 4 4" xfId="8784" xr:uid="{00000000-0005-0000-0000-0000AC0E0000}"/>
    <cellStyle name="20% - Accent3 4 4 2" xfId="20072" xr:uid="{00000000-0005-0000-0000-0000AD0E0000}"/>
    <cellStyle name="20% - Accent3 4 5" xfId="6790" xr:uid="{00000000-0005-0000-0000-0000AE0E0000}"/>
    <cellStyle name="20% - Accent3 4 5 2" xfId="18078" xr:uid="{00000000-0005-0000-0000-0000AF0E0000}"/>
    <cellStyle name="20% - Accent3 4 6" xfId="4796" xr:uid="{00000000-0005-0000-0000-0000B00E0000}"/>
    <cellStyle name="20% - Accent3 4 6 2" xfId="16084" xr:uid="{00000000-0005-0000-0000-0000B10E0000}"/>
    <cellStyle name="20% - Accent3 4 7" xfId="14090" xr:uid="{00000000-0005-0000-0000-0000B20E0000}"/>
    <cellStyle name="20% - Accent3 4 8" xfId="12776" xr:uid="{00000000-0005-0000-0000-0000B30E0000}"/>
    <cellStyle name="20% - Accent3 4 9" xfId="23946" xr:uid="{00000000-0005-0000-0000-0000B40E0000}"/>
    <cellStyle name="20% - Accent3 40" xfId="841" xr:uid="{00000000-0005-0000-0000-0000B50E0000}"/>
    <cellStyle name="20% - Accent3 40 2" xfId="3797" xr:uid="{00000000-0005-0000-0000-0000B60E0000}"/>
    <cellStyle name="20% - Accent3 40 2 2" xfId="11776" xr:uid="{00000000-0005-0000-0000-0000B70E0000}"/>
    <cellStyle name="20% - Accent3 40 2 2 2" xfId="23064" xr:uid="{00000000-0005-0000-0000-0000B80E0000}"/>
    <cellStyle name="20% - Accent3 40 2 3" xfId="9782" xr:uid="{00000000-0005-0000-0000-0000B90E0000}"/>
    <cellStyle name="20% - Accent3 40 2 3 2" xfId="21070" xr:uid="{00000000-0005-0000-0000-0000BA0E0000}"/>
    <cellStyle name="20% - Accent3 40 2 4" xfId="7788" xr:uid="{00000000-0005-0000-0000-0000BB0E0000}"/>
    <cellStyle name="20% - Accent3 40 2 4 2" xfId="19076" xr:uid="{00000000-0005-0000-0000-0000BC0E0000}"/>
    <cellStyle name="20% - Accent3 40 2 5" xfId="5794" xr:uid="{00000000-0005-0000-0000-0000BD0E0000}"/>
    <cellStyle name="20% - Accent3 40 2 5 2" xfId="17082" xr:uid="{00000000-0005-0000-0000-0000BE0E0000}"/>
    <cellStyle name="20% - Accent3 40 2 6" xfId="15088" xr:uid="{00000000-0005-0000-0000-0000BF0E0000}"/>
    <cellStyle name="20% - Accent3 40 3" xfId="10779" xr:uid="{00000000-0005-0000-0000-0000C00E0000}"/>
    <cellStyle name="20% - Accent3 40 3 2" xfId="22067" xr:uid="{00000000-0005-0000-0000-0000C10E0000}"/>
    <cellStyle name="20% - Accent3 40 4" xfId="8785" xr:uid="{00000000-0005-0000-0000-0000C20E0000}"/>
    <cellStyle name="20% - Accent3 40 4 2" xfId="20073" xr:uid="{00000000-0005-0000-0000-0000C30E0000}"/>
    <cellStyle name="20% - Accent3 40 5" xfId="6791" xr:uid="{00000000-0005-0000-0000-0000C40E0000}"/>
    <cellStyle name="20% - Accent3 40 5 2" xfId="18079" xr:uid="{00000000-0005-0000-0000-0000C50E0000}"/>
    <cellStyle name="20% - Accent3 40 6" xfId="4797" xr:uid="{00000000-0005-0000-0000-0000C60E0000}"/>
    <cellStyle name="20% - Accent3 40 6 2" xfId="16085" xr:uid="{00000000-0005-0000-0000-0000C70E0000}"/>
    <cellStyle name="20% - Accent3 40 7" xfId="14091" xr:uid="{00000000-0005-0000-0000-0000C80E0000}"/>
    <cellStyle name="20% - Accent3 40 8" xfId="12777" xr:uid="{00000000-0005-0000-0000-0000C90E0000}"/>
    <cellStyle name="20% - Accent3 41" xfId="842" xr:uid="{00000000-0005-0000-0000-0000CA0E0000}"/>
    <cellStyle name="20% - Accent3 41 2" xfId="3798" xr:uid="{00000000-0005-0000-0000-0000CB0E0000}"/>
    <cellStyle name="20% - Accent3 41 2 2" xfId="11777" xr:uid="{00000000-0005-0000-0000-0000CC0E0000}"/>
    <cellStyle name="20% - Accent3 41 2 2 2" xfId="23065" xr:uid="{00000000-0005-0000-0000-0000CD0E0000}"/>
    <cellStyle name="20% - Accent3 41 2 3" xfId="9783" xr:uid="{00000000-0005-0000-0000-0000CE0E0000}"/>
    <cellStyle name="20% - Accent3 41 2 3 2" xfId="21071" xr:uid="{00000000-0005-0000-0000-0000CF0E0000}"/>
    <cellStyle name="20% - Accent3 41 2 4" xfId="7789" xr:uid="{00000000-0005-0000-0000-0000D00E0000}"/>
    <cellStyle name="20% - Accent3 41 2 4 2" xfId="19077" xr:uid="{00000000-0005-0000-0000-0000D10E0000}"/>
    <cellStyle name="20% - Accent3 41 2 5" xfId="5795" xr:uid="{00000000-0005-0000-0000-0000D20E0000}"/>
    <cellStyle name="20% - Accent3 41 2 5 2" xfId="17083" xr:uid="{00000000-0005-0000-0000-0000D30E0000}"/>
    <cellStyle name="20% - Accent3 41 2 6" xfId="15089" xr:uid="{00000000-0005-0000-0000-0000D40E0000}"/>
    <cellStyle name="20% - Accent3 41 3" xfId="10780" xr:uid="{00000000-0005-0000-0000-0000D50E0000}"/>
    <cellStyle name="20% - Accent3 41 3 2" xfId="22068" xr:uid="{00000000-0005-0000-0000-0000D60E0000}"/>
    <cellStyle name="20% - Accent3 41 4" xfId="8786" xr:uid="{00000000-0005-0000-0000-0000D70E0000}"/>
    <cellStyle name="20% - Accent3 41 4 2" xfId="20074" xr:uid="{00000000-0005-0000-0000-0000D80E0000}"/>
    <cellStyle name="20% - Accent3 41 5" xfId="6792" xr:uid="{00000000-0005-0000-0000-0000D90E0000}"/>
    <cellStyle name="20% - Accent3 41 5 2" xfId="18080" xr:uid="{00000000-0005-0000-0000-0000DA0E0000}"/>
    <cellStyle name="20% - Accent3 41 6" xfId="4798" xr:uid="{00000000-0005-0000-0000-0000DB0E0000}"/>
    <cellStyle name="20% - Accent3 41 6 2" xfId="16086" xr:uid="{00000000-0005-0000-0000-0000DC0E0000}"/>
    <cellStyle name="20% - Accent3 41 7" xfId="14092" xr:uid="{00000000-0005-0000-0000-0000DD0E0000}"/>
    <cellStyle name="20% - Accent3 41 8" xfId="12778" xr:uid="{00000000-0005-0000-0000-0000DE0E0000}"/>
    <cellStyle name="20% - Accent3 42" xfId="843" xr:uid="{00000000-0005-0000-0000-0000DF0E0000}"/>
    <cellStyle name="20% - Accent3 42 2" xfId="3799" xr:uid="{00000000-0005-0000-0000-0000E00E0000}"/>
    <cellStyle name="20% - Accent3 42 2 2" xfId="11778" xr:uid="{00000000-0005-0000-0000-0000E10E0000}"/>
    <cellStyle name="20% - Accent3 42 2 2 2" xfId="23066" xr:uid="{00000000-0005-0000-0000-0000E20E0000}"/>
    <cellStyle name="20% - Accent3 42 2 3" xfId="9784" xr:uid="{00000000-0005-0000-0000-0000E30E0000}"/>
    <cellStyle name="20% - Accent3 42 2 3 2" xfId="21072" xr:uid="{00000000-0005-0000-0000-0000E40E0000}"/>
    <cellStyle name="20% - Accent3 42 2 4" xfId="7790" xr:uid="{00000000-0005-0000-0000-0000E50E0000}"/>
    <cellStyle name="20% - Accent3 42 2 4 2" xfId="19078" xr:uid="{00000000-0005-0000-0000-0000E60E0000}"/>
    <cellStyle name="20% - Accent3 42 2 5" xfId="5796" xr:uid="{00000000-0005-0000-0000-0000E70E0000}"/>
    <cellStyle name="20% - Accent3 42 2 5 2" xfId="17084" xr:uid="{00000000-0005-0000-0000-0000E80E0000}"/>
    <cellStyle name="20% - Accent3 42 2 6" xfId="15090" xr:uid="{00000000-0005-0000-0000-0000E90E0000}"/>
    <cellStyle name="20% - Accent3 42 3" xfId="10781" xr:uid="{00000000-0005-0000-0000-0000EA0E0000}"/>
    <cellStyle name="20% - Accent3 42 3 2" xfId="22069" xr:uid="{00000000-0005-0000-0000-0000EB0E0000}"/>
    <cellStyle name="20% - Accent3 42 4" xfId="8787" xr:uid="{00000000-0005-0000-0000-0000EC0E0000}"/>
    <cellStyle name="20% - Accent3 42 4 2" xfId="20075" xr:uid="{00000000-0005-0000-0000-0000ED0E0000}"/>
    <cellStyle name="20% - Accent3 42 5" xfId="6793" xr:uid="{00000000-0005-0000-0000-0000EE0E0000}"/>
    <cellStyle name="20% - Accent3 42 5 2" xfId="18081" xr:uid="{00000000-0005-0000-0000-0000EF0E0000}"/>
    <cellStyle name="20% - Accent3 42 6" xfId="4799" xr:uid="{00000000-0005-0000-0000-0000F00E0000}"/>
    <cellStyle name="20% - Accent3 42 6 2" xfId="16087" xr:uid="{00000000-0005-0000-0000-0000F10E0000}"/>
    <cellStyle name="20% - Accent3 42 7" xfId="14093" xr:uid="{00000000-0005-0000-0000-0000F20E0000}"/>
    <cellStyle name="20% - Accent3 42 8" xfId="12779" xr:uid="{00000000-0005-0000-0000-0000F30E0000}"/>
    <cellStyle name="20% - Accent3 43" xfId="844" xr:uid="{00000000-0005-0000-0000-0000F40E0000}"/>
    <cellStyle name="20% - Accent3 43 2" xfId="3800" xr:uid="{00000000-0005-0000-0000-0000F50E0000}"/>
    <cellStyle name="20% - Accent3 43 2 2" xfId="11779" xr:uid="{00000000-0005-0000-0000-0000F60E0000}"/>
    <cellStyle name="20% - Accent3 43 2 2 2" xfId="23067" xr:uid="{00000000-0005-0000-0000-0000F70E0000}"/>
    <cellStyle name="20% - Accent3 43 2 3" xfId="9785" xr:uid="{00000000-0005-0000-0000-0000F80E0000}"/>
    <cellStyle name="20% - Accent3 43 2 3 2" xfId="21073" xr:uid="{00000000-0005-0000-0000-0000F90E0000}"/>
    <cellStyle name="20% - Accent3 43 2 4" xfId="7791" xr:uid="{00000000-0005-0000-0000-0000FA0E0000}"/>
    <cellStyle name="20% - Accent3 43 2 4 2" xfId="19079" xr:uid="{00000000-0005-0000-0000-0000FB0E0000}"/>
    <cellStyle name="20% - Accent3 43 2 5" xfId="5797" xr:uid="{00000000-0005-0000-0000-0000FC0E0000}"/>
    <cellStyle name="20% - Accent3 43 2 5 2" xfId="17085" xr:uid="{00000000-0005-0000-0000-0000FD0E0000}"/>
    <cellStyle name="20% - Accent3 43 2 6" xfId="15091" xr:uid="{00000000-0005-0000-0000-0000FE0E0000}"/>
    <cellStyle name="20% - Accent3 43 3" xfId="10782" xr:uid="{00000000-0005-0000-0000-0000FF0E0000}"/>
    <cellStyle name="20% - Accent3 43 3 2" xfId="22070" xr:uid="{00000000-0005-0000-0000-0000000F0000}"/>
    <cellStyle name="20% - Accent3 43 4" xfId="8788" xr:uid="{00000000-0005-0000-0000-0000010F0000}"/>
    <cellStyle name="20% - Accent3 43 4 2" xfId="20076" xr:uid="{00000000-0005-0000-0000-0000020F0000}"/>
    <cellStyle name="20% - Accent3 43 5" xfId="6794" xr:uid="{00000000-0005-0000-0000-0000030F0000}"/>
    <cellStyle name="20% - Accent3 43 5 2" xfId="18082" xr:uid="{00000000-0005-0000-0000-0000040F0000}"/>
    <cellStyle name="20% - Accent3 43 6" xfId="4800" xr:uid="{00000000-0005-0000-0000-0000050F0000}"/>
    <cellStyle name="20% - Accent3 43 6 2" xfId="16088" xr:uid="{00000000-0005-0000-0000-0000060F0000}"/>
    <cellStyle name="20% - Accent3 43 7" xfId="14094" xr:uid="{00000000-0005-0000-0000-0000070F0000}"/>
    <cellStyle name="20% - Accent3 43 8" xfId="12780" xr:uid="{00000000-0005-0000-0000-0000080F0000}"/>
    <cellStyle name="20% - Accent3 44" xfId="845" xr:uid="{00000000-0005-0000-0000-0000090F0000}"/>
    <cellStyle name="20% - Accent3 44 2" xfId="3801" xr:uid="{00000000-0005-0000-0000-00000A0F0000}"/>
    <cellStyle name="20% - Accent3 44 2 2" xfId="11780" xr:uid="{00000000-0005-0000-0000-00000B0F0000}"/>
    <cellStyle name="20% - Accent3 44 2 2 2" xfId="23068" xr:uid="{00000000-0005-0000-0000-00000C0F0000}"/>
    <cellStyle name="20% - Accent3 44 2 3" xfId="9786" xr:uid="{00000000-0005-0000-0000-00000D0F0000}"/>
    <cellStyle name="20% - Accent3 44 2 3 2" xfId="21074" xr:uid="{00000000-0005-0000-0000-00000E0F0000}"/>
    <cellStyle name="20% - Accent3 44 2 4" xfId="7792" xr:uid="{00000000-0005-0000-0000-00000F0F0000}"/>
    <cellStyle name="20% - Accent3 44 2 4 2" xfId="19080" xr:uid="{00000000-0005-0000-0000-0000100F0000}"/>
    <cellStyle name="20% - Accent3 44 2 5" xfId="5798" xr:uid="{00000000-0005-0000-0000-0000110F0000}"/>
    <cellStyle name="20% - Accent3 44 2 5 2" xfId="17086" xr:uid="{00000000-0005-0000-0000-0000120F0000}"/>
    <cellStyle name="20% - Accent3 44 2 6" xfId="15092" xr:uid="{00000000-0005-0000-0000-0000130F0000}"/>
    <cellStyle name="20% - Accent3 44 3" xfId="10783" xr:uid="{00000000-0005-0000-0000-0000140F0000}"/>
    <cellStyle name="20% - Accent3 44 3 2" xfId="22071" xr:uid="{00000000-0005-0000-0000-0000150F0000}"/>
    <cellStyle name="20% - Accent3 44 4" xfId="8789" xr:uid="{00000000-0005-0000-0000-0000160F0000}"/>
    <cellStyle name="20% - Accent3 44 4 2" xfId="20077" xr:uid="{00000000-0005-0000-0000-0000170F0000}"/>
    <cellStyle name="20% - Accent3 44 5" xfId="6795" xr:uid="{00000000-0005-0000-0000-0000180F0000}"/>
    <cellStyle name="20% - Accent3 44 5 2" xfId="18083" xr:uid="{00000000-0005-0000-0000-0000190F0000}"/>
    <cellStyle name="20% - Accent3 44 6" xfId="4801" xr:uid="{00000000-0005-0000-0000-00001A0F0000}"/>
    <cellStyle name="20% - Accent3 44 6 2" xfId="16089" xr:uid="{00000000-0005-0000-0000-00001B0F0000}"/>
    <cellStyle name="20% - Accent3 44 7" xfId="14095" xr:uid="{00000000-0005-0000-0000-00001C0F0000}"/>
    <cellStyle name="20% - Accent3 44 8" xfId="12781" xr:uid="{00000000-0005-0000-0000-00001D0F0000}"/>
    <cellStyle name="20% - Accent3 45" xfId="846" xr:uid="{00000000-0005-0000-0000-00001E0F0000}"/>
    <cellStyle name="20% - Accent3 45 2" xfId="3802" xr:uid="{00000000-0005-0000-0000-00001F0F0000}"/>
    <cellStyle name="20% - Accent3 45 2 2" xfId="11781" xr:uid="{00000000-0005-0000-0000-0000200F0000}"/>
    <cellStyle name="20% - Accent3 45 2 2 2" xfId="23069" xr:uid="{00000000-0005-0000-0000-0000210F0000}"/>
    <cellStyle name="20% - Accent3 45 2 3" xfId="9787" xr:uid="{00000000-0005-0000-0000-0000220F0000}"/>
    <cellStyle name="20% - Accent3 45 2 3 2" xfId="21075" xr:uid="{00000000-0005-0000-0000-0000230F0000}"/>
    <cellStyle name="20% - Accent3 45 2 4" xfId="7793" xr:uid="{00000000-0005-0000-0000-0000240F0000}"/>
    <cellStyle name="20% - Accent3 45 2 4 2" xfId="19081" xr:uid="{00000000-0005-0000-0000-0000250F0000}"/>
    <cellStyle name="20% - Accent3 45 2 5" xfId="5799" xr:uid="{00000000-0005-0000-0000-0000260F0000}"/>
    <cellStyle name="20% - Accent3 45 2 5 2" xfId="17087" xr:uid="{00000000-0005-0000-0000-0000270F0000}"/>
    <cellStyle name="20% - Accent3 45 2 6" xfId="15093" xr:uid="{00000000-0005-0000-0000-0000280F0000}"/>
    <cellStyle name="20% - Accent3 45 3" xfId="10784" xr:uid="{00000000-0005-0000-0000-0000290F0000}"/>
    <cellStyle name="20% - Accent3 45 3 2" xfId="22072" xr:uid="{00000000-0005-0000-0000-00002A0F0000}"/>
    <cellStyle name="20% - Accent3 45 4" xfId="8790" xr:uid="{00000000-0005-0000-0000-00002B0F0000}"/>
    <cellStyle name="20% - Accent3 45 4 2" xfId="20078" xr:uid="{00000000-0005-0000-0000-00002C0F0000}"/>
    <cellStyle name="20% - Accent3 45 5" xfId="6796" xr:uid="{00000000-0005-0000-0000-00002D0F0000}"/>
    <cellStyle name="20% - Accent3 45 5 2" xfId="18084" xr:uid="{00000000-0005-0000-0000-00002E0F0000}"/>
    <cellStyle name="20% - Accent3 45 6" xfId="4802" xr:uid="{00000000-0005-0000-0000-00002F0F0000}"/>
    <cellStyle name="20% - Accent3 45 6 2" xfId="16090" xr:uid="{00000000-0005-0000-0000-0000300F0000}"/>
    <cellStyle name="20% - Accent3 45 7" xfId="14096" xr:uid="{00000000-0005-0000-0000-0000310F0000}"/>
    <cellStyle name="20% - Accent3 45 8" xfId="12782" xr:uid="{00000000-0005-0000-0000-0000320F0000}"/>
    <cellStyle name="20% - Accent3 46" xfId="847" xr:uid="{00000000-0005-0000-0000-0000330F0000}"/>
    <cellStyle name="20% - Accent3 46 2" xfId="3803" xr:uid="{00000000-0005-0000-0000-0000340F0000}"/>
    <cellStyle name="20% - Accent3 46 2 2" xfId="11782" xr:uid="{00000000-0005-0000-0000-0000350F0000}"/>
    <cellStyle name="20% - Accent3 46 2 2 2" xfId="23070" xr:uid="{00000000-0005-0000-0000-0000360F0000}"/>
    <cellStyle name="20% - Accent3 46 2 3" xfId="9788" xr:uid="{00000000-0005-0000-0000-0000370F0000}"/>
    <cellStyle name="20% - Accent3 46 2 3 2" xfId="21076" xr:uid="{00000000-0005-0000-0000-0000380F0000}"/>
    <cellStyle name="20% - Accent3 46 2 4" xfId="7794" xr:uid="{00000000-0005-0000-0000-0000390F0000}"/>
    <cellStyle name="20% - Accent3 46 2 4 2" xfId="19082" xr:uid="{00000000-0005-0000-0000-00003A0F0000}"/>
    <cellStyle name="20% - Accent3 46 2 5" xfId="5800" xr:uid="{00000000-0005-0000-0000-00003B0F0000}"/>
    <cellStyle name="20% - Accent3 46 2 5 2" xfId="17088" xr:uid="{00000000-0005-0000-0000-00003C0F0000}"/>
    <cellStyle name="20% - Accent3 46 2 6" xfId="15094" xr:uid="{00000000-0005-0000-0000-00003D0F0000}"/>
    <cellStyle name="20% - Accent3 46 3" xfId="10785" xr:uid="{00000000-0005-0000-0000-00003E0F0000}"/>
    <cellStyle name="20% - Accent3 46 3 2" xfId="22073" xr:uid="{00000000-0005-0000-0000-00003F0F0000}"/>
    <cellStyle name="20% - Accent3 46 4" xfId="8791" xr:uid="{00000000-0005-0000-0000-0000400F0000}"/>
    <cellStyle name="20% - Accent3 46 4 2" xfId="20079" xr:uid="{00000000-0005-0000-0000-0000410F0000}"/>
    <cellStyle name="20% - Accent3 46 5" xfId="6797" xr:uid="{00000000-0005-0000-0000-0000420F0000}"/>
    <cellStyle name="20% - Accent3 46 5 2" xfId="18085" xr:uid="{00000000-0005-0000-0000-0000430F0000}"/>
    <cellStyle name="20% - Accent3 46 6" xfId="4803" xr:uid="{00000000-0005-0000-0000-0000440F0000}"/>
    <cellStyle name="20% - Accent3 46 6 2" xfId="16091" xr:uid="{00000000-0005-0000-0000-0000450F0000}"/>
    <cellStyle name="20% - Accent3 46 7" xfId="14097" xr:uid="{00000000-0005-0000-0000-0000460F0000}"/>
    <cellStyle name="20% - Accent3 46 8" xfId="12783" xr:uid="{00000000-0005-0000-0000-0000470F0000}"/>
    <cellStyle name="20% - Accent3 47" xfId="848" xr:uid="{00000000-0005-0000-0000-0000480F0000}"/>
    <cellStyle name="20% - Accent3 47 2" xfId="3804" xr:uid="{00000000-0005-0000-0000-0000490F0000}"/>
    <cellStyle name="20% - Accent3 47 2 2" xfId="11783" xr:uid="{00000000-0005-0000-0000-00004A0F0000}"/>
    <cellStyle name="20% - Accent3 47 2 2 2" xfId="23071" xr:uid="{00000000-0005-0000-0000-00004B0F0000}"/>
    <cellStyle name="20% - Accent3 47 2 3" xfId="9789" xr:uid="{00000000-0005-0000-0000-00004C0F0000}"/>
    <cellStyle name="20% - Accent3 47 2 3 2" xfId="21077" xr:uid="{00000000-0005-0000-0000-00004D0F0000}"/>
    <cellStyle name="20% - Accent3 47 2 4" xfId="7795" xr:uid="{00000000-0005-0000-0000-00004E0F0000}"/>
    <cellStyle name="20% - Accent3 47 2 4 2" xfId="19083" xr:uid="{00000000-0005-0000-0000-00004F0F0000}"/>
    <cellStyle name="20% - Accent3 47 2 5" xfId="5801" xr:uid="{00000000-0005-0000-0000-0000500F0000}"/>
    <cellStyle name="20% - Accent3 47 2 5 2" xfId="17089" xr:uid="{00000000-0005-0000-0000-0000510F0000}"/>
    <cellStyle name="20% - Accent3 47 2 6" xfId="15095" xr:uid="{00000000-0005-0000-0000-0000520F0000}"/>
    <cellStyle name="20% - Accent3 47 3" xfId="10786" xr:uid="{00000000-0005-0000-0000-0000530F0000}"/>
    <cellStyle name="20% - Accent3 47 3 2" xfId="22074" xr:uid="{00000000-0005-0000-0000-0000540F0000}"/>
    <cellStyle name="20% - Accent3 47 4" xfId="8792" xr:uid="{00000000-0005-0000-0000-0000550F0000}"/>
    <cellStyle name="20% - Accent3 47 4 2" xfId="20080" xr:uid="{00000000-0005-0000-0000-0000560F0000}"/>
    <cellStyle name="20% - Accent3 47 5" xfId="6798" xr:uid="{00000000-0005-0000-0000-0000570F0000}"/>
    <cellStyle name="20% - Accent3 47 5 2" xfId="18086" xr:uid="{00000000-0005-0000-0000-0000580F0000}"/>
    <cellStyle name="20% - Accent3 47 6" xfId="4804" xr:uid="{00000000-0005-0000-0000-0000590F0000}"/>
    <cellStyle name="20% - Accent3 47 6 2" xfId="16092" xr:uid="{00000000-0005-0000-0000-00005A0F0000}"/>
    <cellStyle name="20% - Accent3 47 7" xfId="14098" xr:uid="{00000000-0005-0000-0000-00005B0F0000}"/>
    <cellStyle name="20% - Accent3 47 8" xfId="12784" xr:uid="{00000000-0005-0000-0000-00005C0F0000}"/>
    <cellStyle name="20% - Accent3 48" xfId="849" xr:uid="{00000000-0005-0000-0000-00005D0F0000}"/>
    <cellStyle name="20% - Accent3 48 2" xfId="3805" xr:uid="{00000000-0005-0000-0000-00005E0F0000}"/>
    <cellStyle name="20% - Accent3 48 2 2" xfId="11784" xr:uid="{00000000-0005-0000-0000-00005F0F0000}"/>
    <cellStyle name="20% - Accent3 48 2 2 2" xfId="23072" xr:uid="{00000000-0005-0000-0000-0000600F0000}"/>
    <cellStyle name="20% - Accent3 48 2 3" xfId="9790" xr:uid="{00000000-0005-0000-0000-0000610F0000}"/>
    <cellStyle name="20% - Accent3 48 2 3 2" xfId="21078" xr:uid="{00000000-0005-0000-0000-0000620F0000}"/>
    <cellStyle name="20% - Accent3 48 2 4" xfId="7796" xr:uid="{00000000-0005-0000-0000-0000630F0000}"/>
    <cellStyle name="20% - Accent3 48 2 4 2" xfId="19084" xr:uid="{00000000-0005-0000-0000-0000640F0000}"/>
    <cellStyle name="20% - Accent3 48 2 5" xfId="5802" xr:uid="{00000000-0005-0000-0000-0000650F0000}"/>
    <cellStyle name="20% - Accent3 48 2 5 2" xfId="17090" xr:uid="{00000000-0005-0000-0000-0000660F0000}"/>
    <cellStyle name="20% - Accent3 48 2 6" xfId="15096" xr:uid="{00000000-0005-0000-0000-0000670F0000}"/>
    <cellStyle name="20% - Accent3 48 3" xfId="10787" xr:uid="{00000000-0005-0000-0000-0000680F0000}"/>
    <cellStyle name="20% - Accent3 48 3 2" xfId="22075" xr:uid="{00000000-0005-0000-0000-0000690F0000}"/>
    <cellStyle name="20% - Accent3 48 4" xfId="8793" xr:uid="{00000000-0005-0000-0000-00006A0F0000}"/>
    <cellStyle name="20% - Accent3 48 4 2" xfId="20081" xr:uid="{00000000-0005-0000-0000-00006B0F0000}"/>
    <cellStyle name="20% - Accent3 48 5" xfId="6799" xr:uid="{00000000-0005-0000-0000-00006C0F0000}"/>
    <cellStyle name="20% - Accent3 48 5 2" xfId="18087" xr:uid="{00000000-0005-0000-0000-00006D0F0000}"/>
    <cellStyle name="20% - Accent3 48 6" xfId="4805" xr:uid="{00000000-0005-0000-0000-00006E0F0000}"/>
    <cellStyle name="20% - Accent3 48 6 2" xfId="16093" xr:uid="{00000000-0005-0000-0000-00006F0F0000}"/>
    <cellStyle name="20% - Accent3 48 7" xfId="14099" xr:uid="{00000000-0005-0000-0000-0000700F0000}"/>
    <cellStyle name="20% - Accent3 48 8" xfId="12785" xr:uid="{00000000-0005-0000-0000-0000710F0000}"/>
    <cellStyle name="20% - Accent3 49" xfId="850" xr:uid="{00000000-0005-0000-0000-0000720F0000}"/>
    <cellStyle name="20% - Accent3 49 2" xfId="3806" xr:uid="{00000000-0005-0000-0000-0000730F0000}"/>
    <cellStyle name="20% - Accent3 49 2 2" xfId="11785" xr:uid="{00000000-0005-0000-0000-0000740F0000}"/>
    <cellStyle name="20% - Accent3 49 2 2 2" xfId="23073" xr:uid="{00000000-0005-0000-0000-0000750F0000}"/>
    <cellStyle name="20% - Accent3 49 2 3" xfId="9791" xr:uid="{00000000-0005-0000-0000-0000760F0000}"/>
    <cellStyle name="20% - Accent3 49 2 3 2" xfId="21079" xr:uid="{00000000-0005-0000-0000-0000770F0000}"/>
    <cellStyle name="20% - Accent3 49 2 4" xfId="7797" xr:uid="{00000000-0005-0000-0000-0000780F0000}"/>
    <cellStyle name="20% - Accent3 49 2 4 2" xfId="19085" xr:uid="{00000000-0005-0000-0000-0000790F0000}"/>
    <cellStyle name="20% - Accent3 49 2 5" xfId="5803" xr:uid="{00000000-0005-0000-0000-00007A0F0000}"/>
    <cellStyle name="20% - Accent3 49 2 5 2" xfId="17091" xr:uid="{00000000-0005-0000-0000-00007B0F0000}"/>
    <cellStyle name="20% - Accent3 49 2 6" xfId="15097" xr:uid="{00000000-0005-0000-0000-00007C0F0000}"/>
    <cellStyle name="20% - Accent3 49 3" xfId="10788" xr:uid="{00000000-0005-0000-0000-00007D0F0000}"/>
    <cellStyle name="20% - Accent3 49 3 2" xfId="22076" xr:uid="{00000000-0005-0000-0000-00007E0F0000}"/>
    <cellStyle name="20% - Accent3 49 4" xfId="8794" xr:uid="{00000000-0005-0000-0000-00007F0F0000}"/>
    <cellStyle name="20% - Accent3 49 4 2" xfId="20082" xr:uid="{00000000-0005-0000-0000-0000800F0000}"/>
    <cellStyle name="20% - Accent3 49 5" xfId="6800" xr:uid="{00000000-0005-0000-0000-0000810F0000}"/>
    <cellStyle name="20% - Accent3 49 5 2" xfId="18088" xr:uid="{00000000-0005-0000-0000-0000820F0000}"/>
    <cellStyle name="20% - Accent3 49 6" xfId="4806" xr:uid="{00000000-0005-0000-0000-0000830F0000}"/>
    <cellStyle name="20% - Accent3 49 6 2" xfId="16094" xr:uid="{00000000-0005-0000-0000-0000840F0000}"/>
    <cellStyle name="20% - Accent3 49 7" xfId="14100" xr:uid="{00000000-0005-0000-0000-0000850F0000}"/>
    <cellStyle name="20% - Accent3 49 8" xfId="12786" xr:uid="{00000000-0005-0000-0000-0000860F0000}"/>
    <cellStyle name="20% - Accent3 5" xfId="851" xr:uid="{00000000-0005-0000-0000-0000870F0000}"/>
    <cellStyle name="20% - Accent3 5 10" xfId="24574" xr:uid="{00000000-0005-0000-0000-0000880F0000}"/>
    <cellStyle name="20% - Accent3 5 11" xfId="24964" xr:uid="{00000000-0005-0000-0000-0000890F0000}"/>
    <cellStyle name="20% - Accent3 5 2" xfId="3807" xr:uid="{00000000-0005-0000-0000-00008A0F0000}"/>
    <cellStyle name="20% - Accent3 5 2 2" xfId="11786" xr:uid="{00000000-0005-0000-0000-00008B0F0000}"/>
    <cellStyle name="20% - Accent3 5 2 2 2" xfId="23074" xr:uid="{00000000-0005-0000-0000-00008C0F0000}"/>
    <cellStyle name="20% - Accent3 5 2 3" xfId="9792" xr:uid="{00000000-0005-0000-0000-00008D0F0000}"/>
    <cellStyle name="20% - Accent3 5 2 3 2" xfId="21080" xr:uid="{00000000-0005-0000-0000-00008E0F0000}"/>
    <cellStyle name="20% - Accent3 5 2 4" xfId="7798" xr:uid="{00000000-0005-0000-0000-00008F0F0000}"/>
    <cellStyle name="20% - Accent3 5 2 4 2" xfId="19086" xr:uid="{00000000-0005-0000-0000-0000900F0000}"/>
    <cellStyle name="20% - Accent3 5 2 5" xfId="5804" xr:uid="{00000000-0005-0000-0000-0000910F0000}"/>
    <cellStyle name="20% - Accent3 5 2 5 2" xfId="17092" xr:uid="{00000000-0005-0000-0000-0000920F0000}"/>
    <cellStyle name="20% - Accent3 5 2 6" xfId="15098" xr:uid="{00000000-0005-0000-0000-0000930F0000}"/>
    <cellStyle name="20% - Accent3 5 2 7" xfId="24335" xr:uid="{00000000-0005-0000-0000-0000940F0000}"/>
    <cellStyle name="20% - Accent3 5 2 8" xfId="24799" xr:uid="{00000000-0005-0000-0000-0000950F0000}"/>
    <cellStyle name="20% - Accent3 5 2 9" xfId="25166" xr:uid="{00000000-0005-0000-0000-0000960F0000}"/>
    <cellStyle name="20% - Accent3 5 3" xfId="10789" xr:uid="{00000000-0005-0000-0000-0000970F0000}"/>
    <cellStyle name="20% - Accent3 5 3 2" xfId="22077" xr:uid="{00000000-0005-0000-0000-0000980F0000}"/>
    <cellStyle name="20% - Accent3 5 4" xfId="8795" xr:uid="{00000000-0005-0000-0000-0000990F0000}"/>
    <cellStyle name="20% - Accent3 5 4 2" xfId="20083" xr:uid="{00000000-0005-0000-0000-00009A0F0000}"/>
    <cellStyle name="20% - Accent3 5 5" xfId="6801" xr:uid="{00000000-0005-0000-0000-00009B0F0000}"/>
    <cellStyle name="20% - Accent3 5 5 2" xfId="18089" xr:uid="{00000000-0005-0000-0000-00009C0F0000}"/>
    <cellStyle name="20% - Accent3 5 6" xfId="4807" xr:uid="{00000000-0005-0000-0000-00009D0F0000}"/>
    <cellStyle name="20% - Accent3 5 6 2" xfId="16095" xr:uid="{00000000-0005-0000-0000-00009E0F0000}"/>
    <cellStyle name="20% - Accent3 5 7" xfId="14101" xr:uid="{00000000-0005-0000-0000-00009F0F0000}"/>
    <cellStyle name="20% - Accent3 5 8" xfId="12787" xr:uid="{00000000-0005-0000-0000-0000A00F0000}"/>
    <cellStyle name="20% - Accent3 5 9" xfId="23947" xr:uid="{00000000-0005-0000-0000-0000A10F0000}"/>
    <cellStyle name="20% - Accent3 50" xfId="852" xr:uid="{00000000-0005-0000-0000-0000A20F0000}"/>
    <cellStyle name="20% - Accent3 50 2" xfId="3808" xr:uid="{00000000-0005-0000-0000-0000A30F0000}"/>
    <cellStyle name="20% - Accent3 50 2 2" xfId="11787" xr:uid="{00000000-0005-0000-0000-0000A40F0000}"/>
    <cellStyle name="20% - Accent3 50 2 2 2" xfId="23075" xr:uid="{00000000-0005-0000-0000-0000A50F0000}"/>
    <cellStyle name="20% - Accent3 50 2 3" xfId="9793" xr:uid="{00000000-0005-0000-0000-0000A60F0000}"/>
    <cellStyle name="20% - Accent3 50 2 3 2" xfId="21081" xr:uid="{00000000-0005-0000-0000-0000A70F0000}"/>
    <cellStyle name="20% - Accent3 50 2 4" xfId="7799" xr:uid="{00000000-0005-0000-0000-0000A80F0000}"/>
    <cellStyle name="20% - Accent3 50 2 4 2" xfId="19087" xr:uid="{00000000-0005-0000-0000-0000A90F0000}"/>
    <cellStyle name="20% - Accent3 50 2 5" xfId="5805" xr:uid="{00000000-0005-0000-0000-0000AA0F0000}"/>
    <cellStyle name="20% - Accent3 50 2 5 2" xfId="17093" xr:uid="{00000000-0005-0000-0000-0000AB0F0000}"/>
    <cellStyle name="20% - Accent3 50 2 6" xfId="15099" xr:uid="{00000000-0005-0000-0000-0000AC0F0000}"/>
    <cellStyle name="20% - Accent3 50 3" xfId="10790" xr:uid="{00000000-0005-0000-0000-0000AD0F0000}"/>
    <cellStyle name="20% - Accent3 50 3 2" xfId="22078" xr:uid="{00000000-0005-0000-0000-0000AE0F0000}"/>
    <cellStyle name="20% - Accent3 50 4" xfId="8796" xr:uid="{00000000-0005-0000-0000-0000AF0F0000}"/>
    <cellStyle name="20% - Accent3 50 4 2" xfId="20084" xr:uid="{00000000-0005-0000-0000-0000B00F0000}"/>
    <cellStyle name="20% - Accent3 50 5" xfId="6802" xr:uid="{00000000-0005-0000-0000-0000B10F0000}"/>
    <cellStyle name="20% - Accent3 50 5 2" xfId="18090" xr:uid="{00000000-0005-0000-0000-0000B20F0000}"/>
    <cellStyle name="20% - Accent3 50 6" xfId="4808" xr:uid="{00000000-0005-0000-0000-0000B30F0000}"/>
    <cellStyle name="20% - Accent3 50 6 2" xfId="16096" xr:uid="{00000000-0005-0000-0000-0000B40F0000}"/>
    <cellStyle name="20% - Accent3 50 7" xfId="14102" xr:uid="{00000000-0005-0000-0000-0000B50F0000}"/>
    <cellStyle name="20% - Accent3 50 8" xfId="12788" xr:uid="{00000000-0005-0000-0000-0000B60F0000}"/>
    <cellStyle name="20% - Accent3 51" xfId="853" xr:uid="{00000000-0005-0000-0000-0000B70F0000}"/>
    <cellStyle name="20% - Accent3 51 2" xfId="3809" xr:uid="{00000000-0005-0000-0000-0000B80F0000}"/>
    <cellStyle name="20% - Accent3 51 2 2" xfId="11788" xr:uid="{00000000-0005-0000-0000-0000B90F0000}"/>
    <cellStyle name="20% - Accent3 51 2 2 2" xfId="23076" xr:uid="{00000000-0005-0000-0000-0000BA0F0000}"/>
    <cellStyle name="20% - Accent3 51 2 3" xfId="9794" xr:uid="{00000000-0005-0000-0000-0000BB0F0000}"/>
    <cellStyle name="20% - Accent3 51 2 3 2" xfId="21082" xr:uid="{00000000-0005-0000-0000-0000BC0F0000}"/>
    <cellStyle name="20% - Accent3 51 2 4" xfId="7800" xr:uid="{00000000-0005-0000-0000-0000BD0F0000}"/>
    <cellStyle name="20% - Accent3 51 2 4 2" xfId="19088" xr:uid="{00000000-0005-0000-0000-0000BE0F0000}"/>
    <cellStyle name="20% - Accent3 51 2 5" xfId="5806" xr:uid="{00000000-0005-0000-0000-0000BF0F0000}"/>
    <cellStyle name="20% - Accent3 51 2 5 2" xfId="17094" xr:uid="{00000000-0005-0000-0000-0000C00F0000}"/>
    <cellStyle name="20% - Accent3 51 2 6" xfId="15100" xr:uid="{00000000-0005-0000-0000-0000C10F0000}"/>
    <cellStyle name="20% - Accent3 51 3" xfId="10791" xr:uid="{00000000-0005-0000-0000-0000C20F0000}"/>
    <cellStyle name="20% - Accent3 51 3 2" xfId="22079" xr:uid="{00000000-0005-0000-0000-0000C30F0000}"/>
    <cellStyle name="20% - Accent3 51 4" xfId="8797" xr:uid="{00000000-0005-0000-0000-0000C40F0000}"/>
    <cellStyle name="20% - Accent3 51 4 2" xfId="20085" xr:uid="{00000000-0005-0000-0000-0000C50F0000}"/>
    <cellStyle name="20% - Accent3 51 5" xfId="6803" xr:uid="{00000000-0005-0000-0000-0000C60F0000}"/>
    <cellStyle name="20% - Accent3 51 5 2" xfId="18091" xr:uid="{00000000-0005-0000-0000-0000C70F0000}"/>
    <cellStyle name="20% - Accent3 51 6" xfId="4809" xr:uid="{00000000-0005-0000-0000-0000C80F0000}"/>
    <cellStyle name="20% - Accent3 51 6 2" xfId="16097" xr:uid="{00000000-0005-0000-0000-0000C90F0000}"/>
    <cellStyle name="20% - Accent3 51 7" xfId="14103" xr:uid="{00000000-0005-0000-0000-0000CA0F0000}"/>
    <cellStyle name="20% - Accent3 51 8" xfId="12789" xr:uid="{00000000-0005-0000-0000-0000CB0F0000}"/>
    <cellStyle name="20% - Accent3 52" xfId="854" xr:uid="{00000000-0005-0000-0000-0000CC0F0000}"/>
    <cellStyle name="20% - Accent3 52 2" xfId="3810" xr:uid="{00000000-0005-0000-0000-0000CD0F0000}"/>
    <cellStyle name="20% - Accent3 52 2 2" xfId="11789" xr:uid="{00000000-0005-0000-0000-0000CE0F0000}"/>
    <cellStyle name="20% - Accent3 52 2 2 2" xfId="23077" xr:uid="{00000000-0005-0000-0000-0000CF0F0000}"/>
    <cellStyle name="20% - Accent3 52 2 3" xfId="9795" xr:uid="{00000000-0005-0000-0000-0000D00F0000}"/>
    <cellStyle name="20% - Accent3 52 2 3 2" xfId="21083" xr:uid="{00000000-0005-0000-0000-0000D10F0000}"/>
    <cellStyle name="20% - Accent3 52 2 4" xfId="7801" xr:uid="{00000000-0005-0000-0000-0000D20F0000}"/>
    <cellStyle name="20% - Accent3 52 2 4 2" xfId="19089" xr:uid="{00000000-0005-0000-0000-0000D30F0000}"/>
    <cellStyle name="20% - Accent3 52 2 5" xfId="5807" xr:uid="{00000000-0005-0000-0000-0000D40F0000}"/>
    <cellStyle name="20% - Accent3 52 2 5 2" xfId="17095" xr:uid="{00000000-0005-0000-0000-0000D50F0000}"/>
    <cellStyle name="20% - Accent3 52 2 6" xfId="15101" xr:uid="{00000000-0005-0000-0000-0000D60F0000}"/>
    <cellStyle name="20% - Accent3 52 3" xfId="10792" xr:uid="{00000000-0005-0000-0000-0000D70F0000}"/>
    <cellStyle name="20% - Accent3 52 3 2" xfId="22080" xr:uid="{00000000-0005-0000-0000-0000D80F0000}"/>
    <cellStyle name="20% - Accent3 52 4" xfId="8798" xr:uid="{00000000-0005-0000-0000-0000D90F0000}"/>
    <cellStyle name="20% - Accent3 52 4 2" xfId="20086" xr:uid="{00000000-0005-0000-0000-0000DA0F0000}"/>
    <cellStyle name="20% - Accent3 52 5" xfId="6804" xr:uid="{00000000-0005-0000-0000-0000DB0F0000}"/>
    <cellStyle name="20% - Accent3 52 5 2" xfId="18092" xr:uid="{00000000-0005-0000-0000-0000DC0F0000}"/>
    <cellStyle name="20% - Accent3 52 6" xfId="4810" xr:uid="{00000000-0005-0000-0000-0000DD0F0000}"/>
    <cellStyle name="20% - Accent3 52 6 2" xfId="16098" xr:uid="{00000000-0005-0000-0000-0000DE0F0000}"/>
    <cellStyle name="20% - Accent3 52 7" xfId="14104" xr:uid="{00000000-0005-0000-0000-0000DF0F0000}"/>
    <cellStyle name="20% - Accent3 52 8" xfId="12790" xr:uid="{00000000-0005-0000-0000-0000E00F0000}"/>
    <cellStyle name="20% - Accent3 53" xfId="855" xr:uid="{00000000-0005-0000-0000-0000E10F0000}"/>
    <cellStyle name="20% - Accent3 53 2" xfId="3811" xr:uid="{00000000-0005-0000-0000-0000E20F0000}"/>
    <cellStyle name="20% - Accent3 53 2 2" xfId="11790" xr:uid="{00000000-0005-0000-0000-0000E30F0000}"/>
    <cellStyle name="20% - Accent3 53 2 2 2" xfId="23078" xr:uid="{00000000-0005-0000-0000-0000E40F0000}"/>
    <cellStyle name="20% - Accent3 53 2 3" xfId="9796" xr:uid="{00000000-0005-0000-0000-0000E50F0000}"/>
    <cellStyle name="20% - Accent3 53 2 3 2" xfId="21084" xr:uid="{00000000-0005-0000-0000-0000E60F0000}"/>
    <cellStyle name="20% - Accent3 53 2 4" xfId="7802" xr:uid="{00000000-0005-0000-0000-0000E70F0000}"/>
    <cellStyle name="20% - Accent3 53 2 4 2" xfId="19090" xr:uid="{00000000-0005-0000-0000-0000E80F0000}"/>
    <cellStyle name="20% - Accent3 53 2 5" xfId="5808" xr:uid="{00000000-0005-0000-0000-0000E90F0000}"/>
    <cellStyle name="20% - Accent3 53 2 5 2" xfId="17096" xr:uid="{00000000-0005-0000-0000-0000EA0F0000}"/>
    <cellStyle name="20% - Accent3 53 2 6" xfId="15102" xr:uid="{00000000-0005-0000-0000-0000EB0F0000}"/>
    <cellStyle name="20% - Accent3 53 3" xfId="10793" xr:uid="{00000000-0005-0000-0000-0000EC0F0000}"/>
    <cellStyle name="20% - Accent3 53 3 2" xfId="22081" xr:uid="{00000000-0005-0000-0000-0000ED0F0000}"/>
    <cellStyle name="20% - Accent3 53 4" xfId="8799" xr:uid="{00000000-0005-0000-0000-0000EE0F0000}"/>
    <cellStyle name="20% - Accent3 53 4 2" xfId="20087" xr:uid="{00000000-0005-0000-0000-0000EF0F0000}"/>
    <cellStyle name="20% - Accent3 53 5" xfId="6805" xr:uid="{00000000-0005-0000-0000-0000F00F0000}"/>
    <cellStyle name="20% - Accent3 53 5 2" xfId="18093" xr:uid="{00000000-0005-0000-0000-0000F10F0000}"/>
    <cellStyle name="20% - Accent3 53 6" xfId="4811" xr:uid="{00000000-0005-0000-0000-0000F20F0000}"/>
    <cellStyle name="20% - Accent3 53 6 2" xfId="16099" xr:uid="{00000000-0005-0000-0000-0000F30F0000}"/>
    <cellStyle name="20% - Accent3 53 7" xfId="14105" xr:uid="{00000000-0005-0000-0000-0000F40F0000}"/>
    <cellStyle name="20% - Accent3 53 8" xfId="12791" xr:uid="{00000000-0005-0000-0000-0000F50F0000}"/>
    <cellStyle name="20% - Accent3 54" xfId="856" xr:uid="{00000000-0005-0000-0000-0000F60F0000}"/>
    <cellStyle name="20% - Accent3 54 2" xfId="3812" xr:uid="{00000000-0005-0000-0000-0000F70F0000}"/>
    <cellStyle name="20% - Accent3 54 2 2" xfId="11791" xr:uid="{00000000-0005-0000-0000-0000F80F0000}"/>
    <cellStyle name="20% - Accent3 54 2 2 2" xfId="23079" xr:uid="{00000000-0005-0000-0000-0000F90F0000}"/>
    <cellStyle name="20% - Accent3 54 2 3" xfId="9797" xr:uid="{00000000-0005-0000-0000-0000FA0F0000}"/>
    <cellStyle name="20% - Accent3 54 2 3 2" xfId="21085" xr:uid="{00000000-0005-0000-0000-0000FB0F0000}"/>
    <cellStyle name="20% - Accent3 54 2 4" xfId="7803" xr:uid="{00000000-0005-0000-0000-0000FC0F0000}"/>
    <cellStyle name="20% - Accent3 54 2 4 2" xfId="19091" xr:uid="{00000000-0005-0000-0000-0000FD0F0000}"/>
    <cellStyle name="20% - Accent3 54 2 5" xfId="5809" xr:uid="{00000000-0005-0000-0000-0000FE0F0000}"/>
    <cellStyle name="20% - Accent3 54 2 5 2" xfId="17097" xr:uid="{00000000-0005-0000-0000-0000FF0F0000}"/>
    <cellStyle name="20% - Accent3 54 2 6" xfId="15103" xr:uid="{00000000-0005-0000-0000-000000100000}"/>
    <cellStyle name="20% - Accent3 54 3" xfId="10794" xr:uid="{00000000-0005-0000-0000-000001100000}"/>
    <cellStyle name="20% - Accent3 54 3 2" xfId="22082" xr:uid="{00000000-0005-0000-0000-000002100000}"/>
    <cellStyle name="20% - Accent3 54 4" xfId="8800" xr:uid="{00000000-0005-0000-0000-000003100000}"/>
    <cellStyle name="20% - Accent3 54 4 2" xfId="20088" xr:uid="{00000000-0005-0000-0000-000004100000}"/>
    <cellStyle name="20% - Accent3 54 5" xfId="6806" xr:uid="{00000000-0005-0000-0000-000005100000}"/>
    <cellStyle name="20% - Accent3 54 5 2" xfId="18094" xr:uid="{00000000-0005-0000-0000-000006100000}"/>
    <cellStyle name="20% - Accent3 54 6" xfId="4812" xr:uid="{00000000-0005-0000-0000-000007100000}"/>
    <cellStyle name="20% - Accent3 54 6 2" xfId="16100" xr:uid="{00000000-0005-0000-0000-000008100000}"/>
    <cellStyle name="20% - Accent3 54 7" xfId="14106" xr:uid="{00000000-0005-0000-0000-000009100000}"/>
    <cellStyle name="20% - Accent3 54 8" xfId="12792" xr:uid="{00000000-0005-0000-0000-00000A100000}"/>
    <cellStyle name="20% - Accent3 55" xfId="857" xr:uid="{00000000-0005-0000-0000-00000B100000}"/>
    <cellStyle name="20% - Accent3 55 2" xfId="3813" xr:uid="{00000000-0005-0000-0000-00000C100000}"/>
    <cellStyle name="20% - Accent3 55 2 2" xfId="11792" xr:uid="{00000000-0005-0000-0000-00000D100000}"/>
    <cellStyle name="20% - Accent3 55 2 2 2" xfId="23080" xr:uid="{00000000-0005-0000-0000-00000E100000}"/>
    <cellStyle name="20% - Accent3 55 2 3" xfId="9798" xr:uid="{00000000-0005-0000-0000-00000F100000}"/>
    <cellStyle name="20% - Accent3 55 2 3 2" xfId="21086" xr:uid="{00000000-0005-0000-0000-000010100000}"/>
    <cellStyle name="20% - Accent3 55 2 4" xfId="7804" xr:uid="{00000000-0005-0000-0000-000011100000}"/>
    <cellStyle name="20% - Accent3 55 2 4 2" xfId="19092" xr:uid="{00000000-0005-0000-0000-000012100000}"/>
    <cellStyle name="20% - Accent3 55 2 5" xfId="5810" xr:uid="{00000000-0005-0000-0000-000013100000}"/>
    <cellStyle name="20% - Accent3 55 2 5 2" xfId="17098" xr:uid="{00000000-0005-0000-0000-000014100000}"/>
    <cellStyle name="20% - Accent3 55 2 6" xfId="15104" xr:uid="{00000000-0005-0000-0000-000015100000}"/>
    <cellStyle name="20% - Accent3 55 3" xfId="10795" xr:uid="{00000000-0005-0000-0000-000016100000}"/>
    <cellStyle name="20% - Accent3 55 3 2" xfId="22083" xr:uid="{00000000-0005-0000-0000-000017100000}"/>
    <cellStyle name="20% - Accent3 55 4" xfId="8801" xr:uid="{00000000-0005-0000-0000-000018100000}"/>
    <cellStyle name="20% - Accent3 55 4 2" xfId="20089" xr:uid="{00000000-0005-0000-0000-000019100000}"/>
    <cellStyle name="20% - Accent3 55 5" xfId="6807" xr:uid="{00000000-0005-0000-0000-00001A100000}"/>
    <cellStyle name="20% - Accent3 55 5 2" xfId="18095" xr:uid="{00000000-0005-0000-0000-00001B100000}"/>
    <cellStyle name="20% - Accent3 55 6" xfId="4813" xr:uid="{00000000-0005-0000-0000-00001C100000}"/>
    <cellStyle name="20% - Accent3 55 6 2" xfId="16101" xr:uid="{00000000-0005-0000-0000-00001D100000}"/>
    <cellStyle name="20% - Accent3 55 7" xfId="14107" xr:uid="{00000000-0005-0000-0000-00001E100000}"/>
    <cellStyle name="20% - Accent3 55 8" xfId="12793" xr:uid="{00000000-0005-0000-0000-00001F100000}"/>
    <cellStyle name="20% - Accent3 56" xfId="858" xr:uid="{00000000-0005-0000-0000-000020100000}"/>
    <cellStyle name="20% - Accent3 56 2" xfId="3814" xr:uid="{00000000-0005-0000-0000-000021100000}"/>
    <cellStyle name="20% - Accent3 56 2 2" xfId="11793" xr:uid="{00000000-0005-0000-0000-000022100000}"/>
    <cellStyle name="20% - Accent3 56 2 2 2" xfId="23081" xr:uid="{00000000-0005-0000-0000-000023100000}"/>
    <cellStyle name="20% - Accent3 56 2 3" xfId="9799" xr:uid="{00000000-0005-0000-0000-000024100000}"/>
    <cellStyle name="20% - Accent3 56 2 3 2" xfId="21087" xr:uid="{00000000-0005-0000-0000-000025100000}"/>
    <cellStyle name="20% - Accent3 56 2 4" xfId="7805" xr:uid="{00000000-0005-0000-0000-000026100000}"/>
    <cellStyle name="20% - Accent3 56 2 4 2" xfId="19093" xr:uid="{00000000-0005-0000-0000-000027100000}"/>
    <cellStyle name="20% - Accent3 56 2 5" xfId="5811" xr:uid="{00000000-0005-0000-0000-000028100000}"/>
    <cellStyle name="20% - Accent3 56 2 5 2" xfId="17099" xr:uid="{00000000-0005-0000-0000-000029100000}"/>
    <cellStyle name="20% - Accent3 56 2 6" xfId="15105" xr:uid="{00000000-0005-0000-0000-00002A100000}"/>
    <cellStyle name="20% - Accent3 56 3" xfId="10796" xr:uid="{00000000-0005-0000-0000-00002B100000}"/>
    <cellStyle name="20% - Accent3 56 3 2" xfId="22084" xr:uid="{00000000-0005-0000-0000-00002C100000}"/>
    <cellStyle name="20% - Accent3 56 4" xfId="8802" xr:uid="{00000000-0005-0000-0000-00002D100000}"/>
    <cellStyle name="20% - Accent3 56 4 2" xfId="20090" xr:uid="{00000000-0005-0000-0000-00002E100000}"/>
    <cellStyle name="20% - Accent3 56 5" xfId="6808" xr:uid="{00000000-0005-0000-0000-00002F100000}"/>
    <cellStyle name="20% - Accent3 56 5 2" xfId="18096" xr:uid="{00000000-0005-0000-0000-000030100000}"/>
    <cellStyle name="20% - Accent3 56 6" xfId="4814" xr:uid="{00000000-0005-0000-0000-000031100000}"/>
    <cellStyle name="20% - Accent3 56 6 2" xfId="16102" xr:uid="{00000000-0005-0000-0000-000032100000}"/>
    <cellStyle name="20% - Accent3 56 7" xfId="14108" xr:uid="{00000000-0005-0000-0000-000033100000}"/>
    <cellStyle name="20% - Accent3 56 8" xfId="12794" xr:uid="{00000000-0005-0000-0000-000034100000}"/>
    <cellStyle name="20% - Accent3 57" xfId="859" xr:uid="{00000000-0005-0000-0000-000035100000}"/>
    <cellStyle name="20% - Accent3 57 2" xfId="3815" xr:uid="{00000000-0005-0000-0000-000036100000}"/>
    <cellStyle name="20% - Accent3 57 2 2" xfId="11794" xr:uid="{00000000-0005-0000-0000-000037100000}"/>
    <cellStyle name="20% - Accent3 57 2 2 2" xfId="23082" xr:uid="{00000000-0005-0000-0000-000038100000}"/>
    <cellStyle name="20% - Accent3 57 2 3" xfId="9800" xr:uid="{00000000-0005-0000-0000-000039100000}"/>
    <cellStyle name="20% - Accent3 57 2 3 2" xfId="21088" xr:uid="{00000000-0005-0000-0000-00003A100000}"/>
    <cellStyle name="20% - Accent3 57 2 4" xfId="7806" xr:uid="{00000000-0005-0000-0000-00003B100000}"/>
    <cellStyle name="20% - Accent3 57 2 4 2" xfId="19094" xr:uid="{00000000-0005-0000-0000-00003C100000}"/>
    <cellStyle name="20% - Accent3 57 2 5" xfId="5812" xr:uid="{00000000-0005-0000-0000-00003D100000}"/>
    <cellStyle name="20% - Accent3 57 2 5 2" xfId="17100" xr:uid="{00000000-0005-0000-0000-00003E100000}"/>
    <cellStyle name="20% - Accent3 57 2 6" xfId="15106" xr:uid="{00000000-0005-0000-0000-00003F100000}"/>
    <cellStyle name="20% - Accent3 57 3" xfId="10797" xr:uid="{00000000-0005-0000-0000-000040100000}"/>
    <cellStyle name="20% - Accent3 57 3 2" xfId="22085" xr:uid="{00000000-0005-0000-0000-000041100000}"/>
    <cellStyle name="20% - Accent3 57 4" xfId="8803" xr:uid="{00000000-0005-0000-0000-000042100000}"/>
    <cellStyle name="20% - Accent3 57 4 2" xfId="20091" xr:uid="{00000000-0005-0000-0000-000043100000}"/>
    <cellStyle name="20% - Accent3 57 5" xfId="6809" xr:uid="{00000000-0005-0000-0000-000044100000}"/>
    <cellStyle name="20% - Accent3 57 5 2" xfId="18097" xr:uid="{00000000-0005-0000-0000-000045100000}"/>
    <cellStyle name="20% - Accent3 57 6" xfId="4815" xr:uid="{00000000-0005-0000-0000-000046100000}"/>
    <cellStyle name="20% - Accent3 57 6 2" xfId="16103" xr:uid="{00000000-0005-0000-0000-000047100000}"/>
    <cellStyle name="20% - Accent3 57 7" xfId="14109" xr:uid="{00000000-0005-0000-0000-000048100000}"/>
    <cellStyle name="20% - Accent3 57 8" xfId="12795" xr:uid="{00000000-0005-0000-0000-000049100000}"/>
    <cellStyle name="20% - Accent3 58" xfId="860" xr:uid="{00000000-0005-0000-0000-00004A100000}"/>
    <cellStyle name="20% - Accent3 58 2" xfId="3816" xr:uid="{00000000-0005-0000-0000-00004B100000}"/>
    <cellStyle name="20% - Accent3 58 2 2" xfId="11795" xr:uid="{00000000-0005-0000-0000-00004C100000}"/>
    <cellStyle name="20% - Accent3 58 2 2 2" xfId="23083" xr:uid="{00000000-0005-0000-0000-00004D100000}"/>
    <cellStyle name="20% - Accent3 58 2 3" xfId="9801" xr:uid="{00000000-0005-0000-0000-00004E100000}"/>
    <cellStyle name="20% - Accent3 58 2 3 2" xfId="21089" xr:uid="{00000000-0005-0000-0000-00004F100000}"/>
    <cellStyle name="20% - Accent3 58 2 4" xfId="7807" xr:uid="{00000000-0005-0000-0000-000050100000}"/>
    <cellStyle name="20% - Accent3 58 2 4 2" xfId="19095" xr:uid="{00000000-0005-0000-0000-000051100000}"/>
    <cellStyle name="20% - Accent3 58 2 5" xfId="5813" xr:uid="{00000000-0005-0000-0000-000052100000}"/>
    <cellStyle name="20% - Accent3 58 2 5 2" xfId="17101" xr:uid="{00000000-0005-0000-0000-000053100000}"/>
    <cellStyle name="20% - Accent3 58 2 6" xfId="15107" xr:uid="{00000000-0005-0000-0000-000054100000}"/>
    <cellStyle name="20% - Accent3 58 3" xfId="10798" xr:uid="{00000000-0005-0000-0000-000055100000}"/>
    <cellStyle name="20% - Accent3 58 3 2" xfId="22086" xr:uid="{00000000-0005-0000-0000-000056100000}"/>
    <cellStyle name="20% - Accent3 58 4" xfId="8804" xr:uid="{00000000-0005-0000-0000-000057100000}"/>
    <cellStyle name="20% - Accent3 58 4 2" xfId="20092" xr:uid="{00000000-0005-0000-0000-000058100000}"/>
    <cellStyle name="20% - Accent3 58 5" xfId="6810" xr:uid="{00000000-0005-0000-0000-000059100000}"/>
    <cellStyle name="20% - Accent3 58 5 2" xfId="18098" xr:uid="{00000000-0005-0000-0000-00005A100000}"/>
    <cellStyle name="20% - Accent3 58 6" xfId="4816" xr:uid="{00000000-0005-0000-0000-00005B100000}"/>
    <cellStyle name="20% - Accent3 58 6 2" xfId="16104" xr:uid="{00000000-0005-0000-0000-00005C100000}"/>
    <cellStyle name="20% - Accent3 58 7" xfId="14110" xr:uid="{00000000-0005-0000-0000-00005D100000}"/>
    <cellStyle name="20% - Accent3 58 8" xfId="12796" xr:uid="{00000000-0005-0000-0000-00005E100000}"/>
    <cellStyle name="20% - Accent3 59" xfId="861" xr:uid="{00000000-0005-0000-0000-00005F100000}"/>
    <cellStyle name="20% - Accent3 59 2" xfId="3817" xr:uid="{00000000-0005-0000-0000-000060100000}"/>
    <cellStyle name="20% - Accent3 59 2 2" xfId="11796" xr:uid="{00000000-0005-0000-0000-000061100000}"/>
    <cellStyle name="20% - Accent3 59 2 2 2" xfId="23084" xr:uid="{00000000-0005-0000-0000-000062100000}"/>
    <cellStyle name="20% - Accent3 59 2 3" xfId="9802" xr:uid="{00000000-0005-0000-0000-000063100000}"/>
    <cellStyle name="20% - Accent3 59 2 3 2" xfId="21090" xr:uid="{00000000-0005-0000-0000-000064100000}"/>
    <cellStyle name="20% - Accent3 59 2 4" xfId="7808" xr:uid="{00000000-0005-0000-0000-000065100000}"/>
    <cellStyle name="20% - Accent3 59 2 4 2" xfId="19096" xr:uid="{00000000-0005-0000-0000-000066100000}"/>
    <cellStyle name="20% - Accent3 59 2 5" xfId="5814" xr:uid="{00000000-0005-0000-0000-000067100000}"/>
    <cellStyle name="20% - Accent3 59 2 5 2" xfId="17102" xr:uid="{00000000-0005-0000-0000-000068100000}"/>
    <cellStyle name="20% - Accent3 59 2 6" xfId="15108" xr:uid="{00000000-0005-0000-0000-000069100000}"/>
    <cellStyle name="20% - Accent3 59 3" xfId="10799" xr:uid="{00000000-0005-0000-0000-00006A100000}"/>
    <cellStyle name="20% - Accent3 59 3 2" xfId="22087" xr:uid="{00000000-0005-0000-0000-00006B100000}"/>
    <cellStyle name="20% - Accent3 59 4" xfId="8805" xr:uid="{00000000-0005-0000-0000-00006C100000}"/>
    <cellStyle name="20% - Accent3 59 4 2" xfId="20093" xr:uid="{00000000-0005-0000-0000-00006D100000}"/>
    <cellStyle name="20% - Accent3 59 5" xfId="6811" xr:uid="{00000000-0005-0000-0000-00006E100000}"/>
    <cellStyle name="20% - Accent3 59 5 2" xfId="18099" xr:uid="{00000000-0005-0000-0000-00006F100000}"/>
    <cellStyle name="20% - Accent3 59 6" xfId="4817" xr:uid="{00000000-0005-0000-0000-000070100000}"/>
    <cellStyle name="20% - Accent3 59 6 2" xfId="16105" xr:uid="{00000000-0005-0000-0000-000071100000}"/>
    <cellStyle name="20% - Accent3 59 7" xfId="14111" xr:uid="{00000000-0005-0000-0000-000072100000}"/>
    <cellStyle name="20% - Accent3 59 8" xfId="12797" xr:uid="{00000000-0005-0000-0000-000073100000}"/>
    <cellStyle name="20% - Accent3 6" xfId="862" xr:uid="{00000000-0005-0000-0000-000074100000}"/>
    <cellStyle name="20% - Accent3 6 10" xfId="24575" xr:uid="{00000000-0005-0000-0000-000075100000}"/>
    <cellStyle name="20% - Accent3 6 11" xfId="24965" xr:uid="{00000000-0005-0000-0000-000076100000}"/>
    <cellStyle name="20% - Accent3 6 2" xfId="3818" xr:uid="{00000000-0005-0000-0000-000077100000}"/>
    <cellStyle name="20% - Accent3 6 2 2" xfId="11797" xr:uid="{00000000-0005-0000-0000-000078100000}"/>
    <cellStyle name="20% - Accent3 6 2 2 2" xfId="23085" xr:uid="{00000000-0005-0000-0000-000079100000}"/>
    <cellStyle name="20% - Accent3 6 2 3" xfId="9803" xr:uid="{00000000-0005-0000-0000-00007A100000}"/>
    <cellStyle name="20% - Accent3 6 2 3 2" xfId="21091" xr:uid="{00000000-0005-0000-0000-00007B100000}"/>
    <cellStyle name="20% - Accent3 6 2 4" xfId="7809" xr:uid="{00000000-0005-0000-0000-00007C100000}"/>
    <cellStyle name="20% - Accent3 6 2 4 2" xfId="19097" xr:uid="{00000000-0005-0000-0000-00007D100000}"/>
    <cellStyle name="20% - Accent3 6 2 5" xfId="5815" xr:uid="{00000000-0005-0000-0000-00007E100000}"/>
    <cellStyle name="20% - Accent3 6 2 5 2" xfId="17103" xr:uid="{00000000-0005-0000-0000-00007F100000}"/>
    <cellStyle name="20% - Accent3 6 2 6" xfId="15109" xr:uid="{00000000-0005-0000-0000-000080100000}"/>
    <cellStyle name="20% - Accent3 6 2 7" xfId="24336" xr:uid="{00000000-0005-0000-0000-000081100000}"/>
    <cellStyle name="20% - Accent3 6 2 8" xfId="24800" xr:uid="{00000000-0005-0000-0000-000082100000}"/>
    <cellStyle name="20% - Accent3 6 2 9" xfId="25167" xr:uid="{00000000-0005-0000-0000-000083100000}"/>
    <cellStyle name="20% - Accent3 6 3" xfId="10800" xr:uid="{00000000-0005-0000-0000-000084100000}"/>
    <cellStyle name="20% - Accent3 6 3 2" xfId="22088" xr:uid="{00000000-0005-0000-0000-000085100000}"/>
    <cellStyle name="20% - Accent3 6 4" xfId="8806" xr:uid="{00000000-0005-0000-0000-000086100000}"/>
    <cellStyle name="20% - Accent3 6 4 2" xfId="20094" xr:uid="{00000000-0005-0000-0000-000087100000}"/>
    <cellStyle name="20% - Accent3 6 5" xfId="6812" xr:uid="{00000000-0005-0000-0000-000088100000}"/>
    <cellStyle name="20% - Accent3 6 5 2" xfId="18100" xr:uid="{00000000-0005-0000-0000-000089100000}"/>
    <cellStyle name="20% - Accent3 6 6" xfId="4818" xr:uid="{00000000-0005-0000-0000-00008A100000}"/>
    <cellStyle name="20% - Accent3 6 6 2" xfId="16106" xr:uid="{00000000-0005-0000-0000-00008B100000}"/>
    <cellStyle name="20% - Accent3 6 7" xfId="14112" xr:uid="{00000000-0005-0000-0000-00008C100000}"/>
    <cellStyle name="20% - Accent3 6 8" xfId="12798" xr:uid="{00000000-0005-0000-0000-00008D100000}"/>
    <cellStyle name="20% - Accent3 6 9" xfId="23948" xr:uid="{00000000-0005-0000-0000-00008E100000}"/>
    <cellStyle name="20% - Accent3 60" xfId="863" xr:uid="{00000000-0005-0000-0000-00008F100000}"/>
    <cellStyle name="20% - Accent3 60 2" xfId="3819" xr:uid="{00000000-0005-0000-0000-000090100000}"/>
    <cellStyle name="20% - Accent3 60 2 2" xfId="11798" xr:uid="{00000000-0005-0000-0000-000091100000}"/>
    <cellStyle name="20% - Accent3 60 2 2 2" xfId="23086" xr:uid="{00000000-0005-0000-0000-000092100000}"/>
    <cellStyle name="20% - Accent3 60 2 3" xfId="9804" xr:uid="{00000000-0005-0000-0000-000093100000}"/>
    <cellStyle name="20% - Accent3 60 2 3 2" xfId="21092" xr:uid="{00000000-0005-0000-0000-000094100000}"/>
    <cellStyle name="20% - Accent3 60 2 4" xfId="7810" xr:uid="{00000000-0005-0000-0000-000095100000}"/>
    <cellStyle name="20% - Accent3 60 2 4 2" xfId="19098" xr:uid="{00000000-0005-0000-0000-000096100000}"/>
    <cellStyle name="20% - Accent3 60 2 5" xfId="5816" xr:uid="{00000000-0005-0000-0000-000097100000}"/>
    <cellStyle name="20% - Accent3 60 2 5 2" xfId="17104" xr:uid="{00000000-0005-0000-0000-000098100000}"/>
    <cellStyle name="20% - Accent3 60 2 6" xfId="15110" xr:uid="{00000000-0005-0000-0000-000099100000}"/>
    <cellStyle name="20% - Accent3 60 3" xfId="10801" xr:uid="{00000000-0005-0000-0000-00009A100000}"/>
    <cellStyle name="20% - Accent3 60 3 2" xfId="22089" xr:uid="{00000000-0005-0000-0000-00009B100000}"/>
    <cellStyle name="20% - Accent3 60 4" xfId="8807" xr:uid="{00000000-0005-0000-0000-00009C100000}"/>
    <cellStyle name="20% - Accent3 60 4 2" xfId="20095" xr:uid="{00000000-0005-0000-0000-00009D100000}"/>
    <cellStyle name="20% - Accent3 60 5" xfId="6813" xr:uid="{00000000-0005-0000-0000-00009E100000}"/>
    <cellStyle name="20% - Accent3 60 5 2" xfId="18101" xr:uid="{00000000-0005-0000-0000-00009F100000}"/>
    <cellStyle name="20% - Accent3 60 6" xfId="4819" xr:uid="{00000000-0005-0000-0000-0000A0100000}"/>
    <cellStyle name="20% - Accent3 60 6 2" xfId="16107" xr:uid="{00000000-0005-0000-0000-0000A1100000}"/>
    <cellStyle name="20% - Accent3 60 7" xfId="14113" xr:uid="{00000000-0005-0000-0000-0000A2100000}"/>
    <cellStyle name="20% - Accent3 60 8" xfId="12799" xr:uid="{00000000-0005-0000-0000-0000A3100000}"/>
    <cellStyle name="20% - Accent3 61" xfId="864" xr:uid="{00000000-0005-0000-0000-0000A4100000}"/>
    <cellStyle name="20% - Accent3 61 2" xfId="3820" xr:uid="{00000000-0005-0000-0000-0000A5100000}"/>
    <cellStyle name="20% - Accent3 61 2 2" xfId="11799" xr:uid="{00000000-0005-0000-0000-0000A6100000}"/>
    <cellStyle name="20% - Accent3 61 2 2 2" xfId="23087" xr:uid="{00000000-0005-0000-0000-0000A7100000}"/>
    <cellStyle name="20% - Accent3 61 2 3" xfId="9805" xr:uid="{00000000-0005-0000-0000-0000A8100000}"/>
    <cellStyle name="20% - Accent3 61 2 3 2" xfId="21093" xr:uid="{00000000-0005-0000-0000-0000A9100000}"/>
    <cellStyle name="20% - Accent3 61 2 4" xfId="7811" xr:uid="{00000000-0005-0000-0000-0000AA100000}"/>
    <cellStyle name="20% - Accent3 61 2 4 2" xfId="19099" xr:uid="{00000000-0005-0000-0000-0000AB100000}"/>
    <cellStyle name="20% - Accent3 61 2 5" xfId="5817" xr:uid="{00000000-0005-0000-0000-0000AC100000}"/>
    <cellStyle name="20% - Accent3 61 2 5 2" xfId="17105" xr:uid="{00000000-0005-0000-0000-0000AD100000}"/>
    <cellStyle name="20% - Accent3 61 2 6" xfId="15111" xr:uid="{00000000-0005-0000-0000-0000AE100000}"/>
    <cellStyle name="20% - Accent3 61 3" xfId="10802" xr:uid="{00000000-0005-0000-0000-0000AF100000}"/>
    <cellStyle name="20% - Accent3 61 3 2" xfId="22090" xr:uid="{00000000-0005-0000-0000-0000B0100000}"/>
    <cellStyle name="20% - Accent3 61 4" xfId="8808" xr:uid="{00000000-0005-0000-0000-0000B1100000}"/>
    <cellStyle name="20% - Accent3 61 4 2" xfId="20096" xr:uid="{00000000-0005-0000-0000-0000B2100000}"/>
    <cellStyle name="20% - Accent3 61 5" xfId="6814" xr:uid="{00000000-0005-0000-0000-0000B3100000}"/>
    <cellStyle name="20% - Accent3 61 5 2" xfId="18102" xr:uid="{00000000-0005-0000-0000-0000B4100000}"/>
    <cellStyle name="20% - Accent3 61 6" xfId="4820" xr:uid="{00000000-0005-0000-0000-0000B5100000}"/>
    <cellStyle name="20% - Accent3 61 6 2" xfId="16108" xr:uid="{00000000-0005-0000-0000-0000B6100000}"/>
    <cellStyle name="20% - Accent3 61 7" xfId="14114" xr:uid="{00000000-0005-0000-0000-0000B7100000}"/>
    <cellStyle name="20% - Accent3 61 8" xfId="12800" xr:uid="{00000000-0005-0000-0000-0000B8100000}"/>
    <cellStyle name="20% - Accent3 62" xfId="865" xr:uid="{00000000-0005-0000-0000-0000B9100000}"/>
    <cellStyle name="20% - Accent3 62 2" xfId="3821" xr:uid="{00000000-0005-0000-0000-0000BA100000}"/>
    <cellStyle name="20% - Accent3 62 2 2" xfId="11800" xr:uid="{00000000-0005-0000-0000-0000BB100000}"/>
    <cellStyle name="20% - Accent3 62 2 2 2" xfId="23088" xr:uid="{00000000-0005-0000-0000-0000BC100000}"/>
    <cellStyle name="20% - Accent3 62 2 3" xfId="9806" xr:uid="{00000000-0005-0000-0000-0000BD100000}"/>
    <cellStyle name="20% - Accent3 62 2 3 2" xfId="21094" xr:uid="{00000000-0005-0000-0000-0000BE100000}"/>
    <cellStyle name="20% - Accent3 62 2 4" xfId="7812" xr:uid="{00000000-0005-0000-0000-0000BF100000}"/>
    <cellStyle name="20% - Accent3 62 2 4 2" xfId="19100" xr:uid="{00000000-0005-0000-0000-0000C0100000}"/>
    <cellStyle name="20% - Accent3 62 2 5" xfId="5818" xr:uid="{00000000-0005-0000-0000-0000C1100000}"/>
    <cellStyle name="20% - Accent3 62 2 5 2" xfId="17106" xr:uid="{00000000-0005-0000-0000-0000C2100000}"/>
    <cellStyle name="20% - Accent3 62 2 6" xfId="15112" xr:uid="{00000000-0005-0000-0000-0000C3100000}"/>
    <cellStyle name="20% - Accent3 62 3" xfId="10803" xr:uid="{00000000-0005-0000-0000-0000C4100000}"/>
    <cellStyle name="20% - Accent3 62 3 2" xfId="22091" xr:uid="{00000000-0005-0000-0000-0000C5100000}"/>
    <cellStyle name="20% - Accent3 62 4" xfId="8809" xr:uid="{00000000-0005-0000-0000-0000C6100000}"/>
    <cellStyle name="20% - Accent3 62 4 2" xfId="20097" xr:uid="{00000000-0005-0000-0000-0000C7100000}"/>
    <cellStyle name="20% - Accent3 62 5" xfId="6815" xr:uid="{00000000-0005-0000-0000-0000C8100000}"/>
    <cellStyle name="20% - Accent3 62 5 2" xfId="18103" xr:uid="{00000000-0005-0000-0000-0000C9100000}"/>
    <cellStyle name="20% - Accent3 62 6" xfId="4821" xr:uid="{00000000-0005-0000-0000-0000CA100000}"/>
    <cellStyle name="20% - Accent3 62 6 2" xfId="16109" xr:uid="{00000000-0005-0000-0000-0000CB100000}"/>
    <cellStyle name="20% - Accent3 62 7" xfId="14115" xr:uid="{00000000-0005-0000-0000-0000CC100000}"/>
    <cellStyle name="20% - Accent3 62 8" xfId="12801" xr:uid="{00000000-0005-0000-0000-0000CD100000}"/>
    <cellStyle name="20% - Accent3 63" xfId="866" xr:uid="{00000000-0005-0000-0000-0000CE100000}"/>
    <cellStyle name="20% - Accent3 63 2" xfId="3822" xr:uid="{00000000-0005-0000-0000-0000CF100000}"/>
    <cellStyle name="20% - Accent3 63 2 2" xfId="11801" xr:uid="{00000000-0005-0000-0000-0000D0100000}"/>
    <cellStyle name="20% - Accent3 63 2 2 2" xfId="23089" xr:uid="{00000000-0005-0000-0000-0000D1100000}"/>
    <cellStyle name="20% - Accent3 63 2 3" xfId="9807" xr:uid="{00000000-0005-0000-0000-0000D2100000}"/>
    <cellStyle name="20% - Accent3 63 2 3 2" xfId="21095" xr:uid="{00000000-0005-0000-0000-0000D3100000}"/>
    <cellStyle name="20% - Accent3 63 2 4" xfId="7813" xr:uid="{00000000-0005-0000-0000-0000D4100000}"/>
    <cellStyle name="20% - Accent3 63 2 4 2" xfId="19101" xr:uid="{00000000-0005-0000-0000-0000D5100000}"/>
    <cellStyle name="20% - Accent3 63 2 5" xfId="5819" xr:uid="{00000000-0005-0000-0000-0000D6100000}"/>
    <cellStyle name="20% - Accent3 63 2 5 2" xfId="17107" xr:uid="{00000000-0005-0000-0000-0000D7100000}"/>
    <cellStyle name="20% - Accent3 63 2 6" xfId="15113" xr:uid="{00000000-0005-0000-0000-0000D8100000}"/>
    <cellStyle name="20% - Accent3 63 3" xfId="10804" xr:uid="{00000000-0005-0000-0000-0000D9100000}"/>
    <cellStyle name="20% - Accent3 63 3 2" xfId="22092" xr:uid="{00000000-0005-0000-0000-0000DA100000}"/>
    <cellStyle name="20% - Accent3 63 4" xfId="8810" xr:uid="{00000000-0005-0000-0000-0000DB100000}"/>
    <cellStyle name="20% - Accent3 63 4 2" xfId="20098" xr:uid="{00000000-0005-0000-0000-0000DC100000}"/>
    <cellStyle name="20% - Accent3 63 5" xfId="6816" xr:uid="{00000000-0005-0000-0000-0000DD100000}"/>
    <cellStyle name="20% - Accent3 63 5 2" xfId="18104" xr:uid="{00000000-0005-0000-0000-0000DE100000}"/>
    <cellStyle name="20% - Accent3 63 6" xfId="4822" xr:uid="{00000000-0005-0000-0000-0000DF100000}"/>
    <cellStyle name="20% - Accent3 63 6 2" xfId="16110" xr:uid="{00000000-0005-0000-0000-0000E0100000}"/>
    <cellStyle name="20% - Accent3 63 7" xfId="14116" xr:uid="{00000000-0005-0000-0000-0000E1100000}"/>
    <cellStyle name="20% - Accent3 63 8" xfId="12802" xr:uid="{00000000-0005-0000-0000-0000E2100000}"/>
    <cellStyle name="20% - Accent3 64" xfId="867" xr:uid="{00000000-0005-0000-0000-0000E3100000}"/>
    <cellStyle name="20% - Accent3 64 2" xfId="3823" xr:uid="{00000000-0005-0000-0000-0000E4100000}"/>
    <cellStyle name="20% - Accent3 64 2 2" xfId="11802" xr:uid="{00000000-0005-0000-0000-0000E5100000}"/>
    <cellStyle name="20% - Accent3 64 2 2 2" xfId="23090" xr:uid="{00000000-0005-0000-0000-0000E6100000}"/>
    <cellStyle name="20% - Accent3 64 2 3" xfId="9808" xr:uid="{00000000-0005-0000-0000-0000E7100000}"/>
    <cellStyle name="20% - Accent3 64 2 3 2" xfId="21096" xr:uid="{00000000-0005-0000-0000-0000E8100000}"/>
    <cellStyle name="20% - Accent3 64 2 4" xfId="7814" xr:uid="{00000000-0005-0000-0000-0000E9100000}"/>
    <cellStyle name="20% - Accent3 64 2 4 2" xfId="19102" xr:uid="{00000000-0005-0000-0000-0000EA100000}"/>
    <cellStyle name="20% - Accent3 64 2 5" xfId="5820" xr:uid="{00000000-0005-0000-0000-0000EB100000}"/>
    <cellStyle name="20% - Accent3 64 2 5 2" xfId="17108" xr:uid="{00000000-0005-0000-0000-0000EC100000}"/>
    <cellStyle name="20% - Accent3 64 2 6" xfId="15114" xr:uid="{00000000-0005-0000-0000-0000ED100000}"/>
    <cellStyle name="20% - Accent3 64 3" xfId="10805" xr:uid="{00000000-0005-0000-0000-0000EE100000}"/>
    <cellStyle name="20% - Accent3 64 3 2" xfId="22093" xr:uid="{00000000-0005-0000-0000-0000EF100000}"/>
    <cellStyle name="20% - Accent3 64 4" xfId="8811" xr:uid="{00000000-0005-0000-0000-0000F0100000}"/>
    <cellStyle name="20% - Accent3 64 4 2" xfId="20099" xr:uid="{00000000-0005-0000-0000-0000F1100000}"/>
    <cellStyle name="20% - Accent3 64 5" xfId="6817" xr:uid="{00000000-0005-0000-0000-0000F2100000}"/>
    <cellStyle name="20% - Accent3 64 5 2" xfId="18105" xr:uid="{00000000-0005-0000-0000-0000F3100000}"/>
    <cellStyle name="20% - Accent3 64 6" xfId="4823" xr:uid="{00000000-0005-0000-0000-0000F4100000}"/>
    <cellStyle name="20% - Accent3 64 6 2" xfId="16111" xr:uid="{00000000-0005-0000-0000-0000F5100000}"/>
    <cellStyle name="20% - Accent3 64 7" xfId="14117" xr:uid="{00000000-0005-0000-0000-0000F6100000}"/>
    <cellStyle name="20% - Accent3 64 8" xfId="12803" xr:uid="{00000000-0005-0000-0000-0000F7100000}"/>
    <cellStyle name="20% - Accent3 65" xfId="868" xr:uid="{00000000-0005-0000-0000-0000F8100000}"/>
    <cellStyle name="20% - Accent3 65 2" xfId="3824" xr:uid="{00000000-0005-0000-0000-0000F9100000}"/>
    <cellStyle name="20% - Accent3 65 2 2" xfId="11803" xr:uid="{00000000-0005-0000-0000-0000FA100000}"/>
    <cellStyle name="20% - Accent3 65 2 2 2" xfId="23091" xr:uid="{00000000-0005-0000-0000-0000FB100000}"/>
    <cellStyle name="20% - Accent3 65 2 3" xfId="9809" xr:uid="{00000000-0005-0000-0000-0000FC100000}"/>
    <cellStyle name="20% - Accent3 65 2 3 2" xfId="21097" xr:uid="{00000000-0005-0000-0000-0000FD100000}"/>
    <cellStyle name="20% - Accent3 65 2 4" xfId="7815" xr:uid="{00000000-0005-0000-0000-0000FE100000}"/>
    <cellStyle name="20% - Accent3 65 2 4 2" xfId="19103" xr:uid="{00000000-0005-0000-0000-0000FF100000}"/>
    <cellStyle name="20% - Accent3 65 2 5" xfId="5821" xr:uid="{00000000-0005-0000-0000-000000110000}"/>
    <cellStyle name="20% - Accent3 65 2 5 2" xfId="17109" xr:uid="{00000000-0005-0000-0000-000001110000}"/>
    <cellStyle name="20% - Accent3 65 2 6" xfId="15115" xr:uid="{00000000-0005-0000-0000-000002110000}"/>
    <cellStyle name="20% - Accent3 65 3" xfId="10806" xr:uid="{00000000-0005-0000-0000-000003110000}"/>
    <cellStyle name="20% - Accent3 65 3 2" xfId="22094" xr:uid="{00000000-0005-0000-0000-000004110000}"/>
    <cellStyle name="20% - Accent3 65 4" xfId="8812" xr:uid="{00000000-0005-0000-0000-000005110000}"/>
    <cellStyle name="20% - Accent3 65 4 2" xfId="20100" xr:uid="{00000000-0005-0000-0000-000006110000}"/>
    <cellStyle name="20% - Accent3 65 5" xfId="6818" xr:uid="{00000000-0005-0000-0000-000007110000}"/>
    <cellStyle name="20% - Accent3 65 5 2" xfId="18106" xr:uid="{00000000-0005-0000-0000-000008110000}"/>
    <cellStyle name="20% - Accent3 65 6" xfId="4824" xr:uid="{00000000-0005-0000-0000-000009110000}"/>
    <cellStyle name="20% - Accent3 65 6 2" xfId="16112" xr:uid="{00000000-0005-0000-0000-00000A110000}"/>
    <cellStyle name="20% - Accent3 65 7" xfId="14118" xr:uid="{00000000-0005-0000-0000-00000B110000}"/>
    <cellStyle name="20% - Accent3 65 8" xfId="12804" xr:uid="{00000000-0005-0000-0000-00000C110000}"/>
    <cellStyle name="20% - Accent3 66" xfId="869" xr:uid="{00000000-0005-0000-0000-00000D110000}"/>
    <cellStyle name="20% - Accent3 66 2" xfId="3825" xr:uid="{00000000-0005-0000-0000-00000E110000}"/>
    <cellStyle name="20% - Accent3 66 2 2" xfId="11804" xr:uid="{00000000-0005-0000-0000-00000F110000}"/>
    <cellStyle name="20% - Accent3 66 2 2 2" xfId="23092" xr:uid="{00000000-0005-0000-0000-000010110000}"/>
    <cellStyle name="20% - Accent3 66 2 3" xfId="9810" xr:uid="{00000000-0005-0000-0000-000011110000}"/>
    <cellStyle name="20% - Accent3 66 2 3 2" xfId="21098" xr:uid="{00000000-0005-0000-0000-000012110000}"/>
    <cellStyle name="20% - Accent3 66 2 4" xfId="7816" xr:uid="{00000000-0005-0000-0000-000013110000}"/>
    <cellStyle name="20% - Accent3 66 2 4 2" xfId="19104" xr:uid="{00000000-0005-0000-0000-000014110000}"/>
    <cellStyle name="20% - Accent3 66 2 5" xfId="5822" xr:uid="{00000000-0005-0000-0000-000015110000}"/>
    <cellStyle name="20% - Accent3 66 2 5 2" xfId="17110" xr:uid="{00000000-0005-0000-0000-000016110000}"/>
    <cellStyle name="20% - Accent3 66 2 6" xfId="15116" xr:uid="{00000000-0005-0000-0000-000017110000}"/>
    <cellStyle name="20% - Accent3 66 3" xfId="10807" xr:uid="{00000000-0005-0000-0000-000018110000}"/>
    <cellStyle name="20% - Accent3 66 3 2" xfId="22095" xr:uid="{00000000-0005-0000-0000-000019110000}"/>
    <cellStyle name="20% - Accent3 66 4" xfId="8813" xr:uid="{00000000-0005-0000-0000-00001A110000}"/>
    <cellStyle name="20% - Accent3 66 4 2" xfId="20101" xr:uid="{00000000-0005-0000-0000-00001B110000}"/>
    <cellStyle name="20% - Accent3 66 5" xfId="6819" xr:uid="{00000000-0005-0000-0000-00001C110000}"/>
    <cellStyle name="20% - Accent3 66 5 2" xfId="18107" xr:uid="{00000000-0005-0000-0000-00001D110000}"/>
    <cellStyle name="20% - Accent3 66 6" xfId="4825" xr:uid="{00000000-0005-0000-0000-00001E110000}"/>
    <cellStyle name="20% - Accent3 66 6 2" xfId="16113" xr:uid="{00000000-0005-0000-0000-00001F110000}"/>
    <cellStyle name="20% - Accent3 66 7" xfId="14119" xr:uid="{00000000-0005-0000-0000-000020110000}"/>
    <cellStyle name="20% - Accent3 66 8" xfId="12805" xr:uid="{00000000-0005-0000-0000-000021110000}"/>
    <cellStyle name="20% - Accent3 67" xfId="870" xr:uid="{00000000-0005-0000-0000-000022110000}"/>
    <cellStyle name="20% - Accent3 67 2" xfId="3826" xr:uid="{00000000-0005-0000-0000-000023110000}"/>
    <cellStyle name="20% - Accent3 67 2 2" xfId="11805" xr:uid="{00000000-0005-0000-0000-000024110000}"/>
    <cellStyle name="20% - Accent3 67 2 2 2" xfId="23093" xr:uid="{00000000-0005-0000-0000-000025110000}"/>
    <cellStyle name="20% - Accent3 67 2 3" xfId="9811" xr:uid="{00000000-0005-0000-0000-000026110000}"/>
    <cellStyle name="20% - Accent3 67 2 3 2" xfId="21099" xr:uid="{00000000-0005-0000-0000-000027110000}"/>
    <cellStyle name="20% - Accent3 67 2 4" xfId="7817" xr:uid="{00000000-0005-0000-0000-000028110000}"/>
    <cellStyle name="20% - Accent3 67 2 4 2" xfId="19105" xr:uid="{00000000-0005-0000-0000-000029110000}"/>
    <cellStyle name="20% - Accent3 67 2 5" xfId="5823" xr:uid="{00000000-0005-0000-0000-00002A110000}"/>
    <cellStyle name="20% - Accent3 67 2 5 2" xfId="17111" xr:uid="{00000000-0005-0000-0000-00002B110000}"/>
    <cellStyle name="20% - Accent3 67 2 6" xfId="15117" xr:uid="{00000000-0005-0000-0000-00002C110000}"/>
    <cellStyle name="20% - Accent3 67 3" xfId="10808" xr:uid="{00000000-0005-0000-0000-00002D110000}"/>
    <cellStyle name="20% - Accent3 67 3 2" xfId="22096" xr:uid="{00000000-0005-0000-0000-00002E110000}"/>
    <cellStyle name="20% - Accent3 67 4" xfId="8814" xr:uid="{00000000-0005-0000-0000-00002F110000}"/>
    <cellStyle name="20% - Accent3 67 4 2" xfId="20102" xr:uid="{00000000-0005-0000-0000-000030110000}"/>
    <cellStyle name="20% - Accent3 67 5" xfId="6820" xr:uid="{00000000-0005-0000-0000-000031110000}"/>
    <cellStyle name="20% - Accent3 67 5 2" xfId="18108" xr:uid="{00000000-0005-0000-0000-000032110000}"/>
    <cellStyle name="20% - Accent3 67 6" xfId="4826" xr:uid="{00000000-0005-0000-0000-000033110000}"/>
    <cellStyle name="20% - Accent3 67 6 2" xfId="16114" xr:uid="{00000000-0005-0000-0000-000034110000}"/>
    <cellStyle name="20% - Accent3 67 7" xfId="14120" xr:uid="{00000000-0005-0000-0000-000035110000}"/>
    <cellStyle name="20% - Accent3 67 8" xfId="12806" xr:uid="{00000000-0005-0000-0000-000036110000}"/>
    <cellStyle name="20% - Accent3 68" xfId="871" xr:uid="{00000000-0005-0000-0000-000037110000}"/>
    <cellStyle name="20% - Accent3 68 2" xfId="3827" xr:uid="{00000000-0005-0000-0000-000038110000}"/>
    <cellStyle name="20% - Accent3 68 2 2" xfId="11806" xr:uid="{00000000-0005-0000-0000-000039110000}"/>
    <cellStyle name="20% - Accent3 68 2 2 2" xfId="23094" xr:uid="{00000000-0005-0000-0000-00003A110000}"/>
    <cellStyle name="20% - Accent3 68 2 3" xfId="9812" xr:uid="{00000000-0005-0000-0000-00003B110000}"/>
    <cellStyle name="20% - Accent3 68 2 3 2" xfId="21100" xr:uid="{00000000-0005-0000-0000-00003C110000}"/>
    <cellStyle name="20% - Accent3 68 2 4" xfId="7818" xr:uid="{00000000-0005-0000-0000-00003D110000}"/>
    <cellStyle name="20% - Accent3 68 2 4 2" xfId="19106" xr:uid="{00000000-0005-0000-0000-00003E110000}"/>
    <cellStyle name="20% - Accent3 68 2 5" xfId="5824" xr:uid="{00000000-0005-0000-0000-00003F110000}"/>
    <cellStyle name="20% - Accent3 68 2 5 2" xfId="17112" xr:uid="{00000000-0005-0000-0000-000040110000}"/>
    <cellStyle name="20% - Accent3 68 2 6" xfId="15118" xr:uid="{00000000-0005-0000-0000-000041110000}"/>
    <cellStyle name="20% - Accent3 68 3" xfId="10809" xr:uid="{00000000-0005-0000-0000-000042110000}"/>
    <cellStyle name="20% - Accent3 68 3 2" xfId="22097" xr:uid="{00000000-0005-0000-0000-000043110000}"/>
    <cellStyle name="20% - Accent3 68 4" xfId="8815" xr:uid="{00000000-0005-0000-0000-000044110000}"/>
    <cellStyle name="20% - Accent3 68 4 2" xfId="20103" xr:uid="{00000000-0005-0000-0000-000045110000}"/>
    <cellStyle name="20% - Accent3 68 5" xfId="6821" xr:uid="{00000000-0005-0000-0000-000046110000}"/>
    <cellStyle name="20% - Accent3 68 5 2" xfId="18109" xr:uid="{00000000-0005-0000-0000-000047110000}"/>
    <cellStyle name="20% - Accent3 68 6" xfId="4827" xr:uid="{00000000-0005-0000-0000-000048110000}"/>
    <cellStyle name="20% - Accent3 68 6 2" xfId="16115" xr:uid="{00000000-0005-0000-0000-000049110000}"/>
    <cellStyle name="20% - Accent3 68 7" xfId="14121" xr:uid="{00000000-0005-0000-0000-00004A110000}"/>
    <cellStyle name="20% - Accent3 68 8" xfId="12807" xr:uid="{00000000-0005-0000-0000-00004B110000}"/>
    <cellStyle name="20% - Accent3 69" xfId="872" xr:uid="{00000000-0005-0000-0000-00004C110000}"/>
    <cellStyle name="20% - Accent3 69 2" xfId="3828" xr:uid="{00000000-0005-0000-0000-00004D110000}"/>
    <cellStyle name="20% - Accent3 69 2 2" xfId="11807" xr:uid="{00000000-0005-0000-0000-00004E110000}"/>
    <cellStyle name="20% - Accent3 69 2 2 2" xfId="23095" xr:uid="{00000000-0005-0000-0000-00004F110000}"/>
    <cellStyle name="20% - Accent3 69 2 3" xfId="9813" xr:uid="{00000000-0005-0000-0000-000050110000}"/>
    <cellStyle name="20% - Accent3 69 2 3 2" xfId="21101" xr:uid="{00000000-0005-0000-0000-000051110000}"/>
    <cellStyle name="20% - Accent3 69 2 4" xfId="7819" xr:uid="{00000000-0005-0000-0000-000052110000}"/>
    <cellStyle name="20% - Accent3 69 2 4 2" xfId="19107" xr:uid="{00000000-0005-0000-0000-000053110000}"/>
    <cellStyle name="20% - Accent3 69 2 5" xfId="5825" xr:uid="{00000000-0005-0000-0000-000054110000}"/>
    <cellStyle name="20% - Accent3 69 2 5 2" xfId="17113" xr:uid="{00000000-0005-0000-0000-000055110000}"/>
    <cellStyle name="20% - Accent3 69 2 6" xfId="15119" xr:uid="{00000000-0005-0000-0000-000056110000}"/>
    <cellStyle name="20% - Accent3 69 3" xfId="10810" xr:uid="{00000000-0005-0000-0000-000057110000}"/>
    <cellStyle name="20% - Accent3 69 3 2" xfId="22098" xr:uid="{00000000-0005-0000-0000-000058110000}"/>
    <cellStyle name="20% - Accent3 69 4" xfId="8816" xr:uid="{00000000-0005-0000-0000-000059110000}"/>
    <cellStyle name="20% - Accent3 69 4 2" xfId="20104" xr:uid="{00000000-0005-0000-0000-00005A110000}"/>
    <cellStyle name="20% - Accent3 69 5" xfId="6822" xr:uid="{00000000-0005-0000-0000-00005B110000}"/>
    <cellStyle name="20% - Accent3 69 5 2" xfId="18110" xr:uid="{00000000-0005-0000-0000-00005C110000}"/>
    <cellStyle name="20% - Accent3 69 6" xfId="4828" xr:uid="{00000000-0005-0000-0000-00005D110000}"/>
    <cellStyle name="20% - Accent3 69 6 2" xfId="16116" xr:uid="{00000000-0005-0000-0000-00005E110000}"/>
    <cellStyle name="20% - Accent3 69 7" xfId="14122" xr:uid="{00000000-0005-0000-0000-00005F110000}"/>
    <cellStyle name="20% - Accent3 69 8" xfId="12808" xr:uid="{00000000-0005-0000-0000-000060110000}"/>
    <cellStyle name="20% - Accent3 7" xfId="873" xr:uid="{00000000-0005-0000-0000-000061110000}"/>
    <cellStyle name="20% - Accent3 7 10" xfId="24576" xr:uid="{00000000-0005-0000-0000-000062110000}"/>
    <cellStyle name="20% - Accent3 7 11" xfId="24966" xr:uid="{00000000-0005-0000-0000-000063110000}"/>
    <cellStyle name="20% - Accent3 7 2" xfId="3829" xr:uid="{00000000-0005-0000-0000-000064110000}"/>
    <cellStyle name="20% - Accent3 7 2 2" xfId="11808" xr:uid="{00000000-0005-0000-0000-000065110000}"/>
    <cellStyle name="20% - Accent3 7 2 2 2" xfId="23096" xr:uid="{00000000-0005-0000-0000-000066110000}"/>
    <cellStyle name="20% - Accent3 7 2 3" xfId="9814" xr:uid="{00000000-0005-0000-0000-000067110000}"/>
    <cellStyle name="20% - Accent3 7 2 3 2" xfId="21102" xr:uid="{00000000-0005-0000-0000-000068110000}"/>
    <cellStyle name="20% - Accent3 7 2 4" xfId="7820" xr:uid="{00000000-0005-0000-0000-000069110000}"/>
    <cellStyle name="20% - Accent3 7 2 4 2" xfId="19108" xr:uid="{00000000-0005-0000-0000-00006A110000}"/>
    <cellStyle name="20% - Accent3 7 2 5" xfId="5826" xr:uid="{00000000-0005-0000-0000-00006B110000}"/>
    <cellStyle name="20% - Accent3 7 2 5 2" xfId="17114" xr:uid="{00000000-0005-0000-0000-00006C110000}"/>
    <cellStyle name="20% - Accent3 7 2 6" xfId="15120" xr:uid="{00000000-0005-0000-0000-00006D110000}"/>
    <cellStyle name="20% - Accent3 7 2 7" xfId="24337" xr:uid="{00000000-0005-0000-0000-00006E110000}"/>
    <cellStyle name="20% - Accent3 7 2 8" xfId="24801" xr:uid="{00000000-0005-0000-0000-00006F110000}"/>
    <cellStyle name="20% - Accent3 7 2 9" xfId="25168" xr:uid="{00000000-0005-0000-0000-000070110000}"/>
    <cellStyle name="20% - Accent3 7 3" xfId="10811" xr:uid="{00000000-0005-0000-0000-000071110000}"/>
    <cellStyle name="20% - Accent3 7 3 2" xfId="22099" xr:uid="{00000000-0005-0000-0000-000072110000}"/>
    <cellStyle name="20% - Accent3 7 4" xfId="8817" xr:uid="{00000000-0005-0000-0000-000073110000}"/>
    <cellStyle name="20% - Accent3 7 4 2" xfId="20105" xr:uid="{00000000-0005-0000-0000-000074110000}"/>
    <cellStyle name="20% - Accent3 7 5" xfId="6823" xr:uid="{00000000-0005-0000-0000-000075110000}"/>
    <cellStyle name="20% - Accent3 7 5 2" xfId="18111" xr:uid="{00000000-0005-0000-0000-000076110000}"/>
    <cellStyle name="20% - Accent3 7 6" xfId="4829" xr:uid="{00000000-0005-0000-0000-000077110000}"/>
    <cellStyle name="20% - Accent3 7 6 2" xfId="16117" xr:uid="{00000000-0005-0000-0000-000078110000}"/>
    <cellStyle name="20% - Accent3 7 7" xfId="14123" xr:uid="{00000000-0005-0000-0000-000079110000}"/>
    <cellStyle name="20% - Accent3 7 8" xfId="12809" xr:uid="{00000000-0005-0000-0000-00007A110000}"/>
    <cellStyle name="20% - Accent3 7 9" xfId="23949" xr:uid="{00000000-0005-0000-0000-00007B110000}"/>
    <cellStyle name="20% - Accent3 70" xfId="874" xr:uid="{00000000-0005-0000-0000-00007C110000}"/>
    <cellStyle name="20% - Accent3 70 2" xfId="3830" xr:uid="{00000000-0005-0000-0000-00007D110000}"/>
    <cellStyle name="20% - Accent3 70 2 2" xfId="11809" xr:uid="{00000000-0005-0000-0000-00007E110000}"/>
    <cellStyle name="20% - Accent3 70 2 2 2" xfId="23097" xr:uid="{00000000-0005-0000-0000-00007F110000}"/>
    <cellStyle name="20% - Accent3 70 2 3" xfId="9815" xr:uid="{00000000-0005-0000-0000-000080110000}"/>
    <cellStyle name="20% - Accent3 70 2 3 2" xfId="21103" xr:uid="{00000000-0005-0000-0000-000081110000}"/>
    <cellStyle name="20% - Accent3 70 2 4" xfId="7821" xr:uid="{00000000-0005-0000-0000-000082110000}"/>
    <cellStyle name="20% - Accent3 70 2 4 2" xfId="19109" xr:uid="{00000000-0005-0000-0000-000083110000}"/>
    <cellStyle name="20% - Accent3 70 2 5" xfId="5827" xr:uid="{00000000-0005-0000-0000-000084110000}"/>
    <cellStyle name="20% - Accent3 70 2 5 2" xfId="17115" xr:uid="{00000000-0005-0000-0000-000085110000}"/>
    <cellStyle name="20% - Accent3 70 2 6" xfId="15121" xr:uid="{00000000-0005-0000-0000-000086110000}"/>
    <cellStyle name="20% - Accent3 70 3" xfId="10812" xr:uid="{00000000-0005-0000-0000-000087110000}"/>
    <cellStyle name="20% - Accent3 70 3 2" xfId="22100" xr:uid="{00000000-0005-0000-0000-000088110000}"/>
    <cellStyle name="20% - Accent3 70 4" xfId="8818" xr:uid="{00000000-0005-0000-0000-000089110000}"/>
    <cellStyle name="20% - Accent3 70 4 2" xfId="20106" xr:uid="{00000000-0005-0000-0000-00008A110000}"/>
    <cellStyle name="20% - Accent3 70 5" xfId="6824" xr:uid="{00000000-0005-0000-0000-00008B110000}"/>
    <cellStyle name="20% - Accent3 70 5 2" xfId="18112" xr:uid="{00000000-0005-0000-0000-00008C110000}"/>
    <cellStyle name="20% - Accent3 70 6" xfId="4830" xr:uid="{00000000-0005-0000-0000-00008D110000}"/>
    <cellStyle name="20% - Accent3 70 6 2" xfId="16118" xr:uid="{00000000-0005-0000-0000-00008E110000}"/>
    <cellStyle name="20% - Accent3 70 7" xfId="14124" xr:uid="{00000000-0005-0000-0000-00008F110000}"/>
    <cellStyle name="20% - Accent3 70 8" xfId="12810" xr:uid="{00000000-0005-0000-0000-000090110000}"/>
    <cellStyle name="20% - Accent3 71" xfId="875" xr:uid="{00000000-0005-0000-0000-000091110000}"/>
    <cellStyle name="20% - Accent3 71 2" xfId="3831" xr:uid="{00000000-0005-0000-0000-000092110000}"/>
    <cellStyle name="20% - Accent3 71 2 2" xfId="11810" xr:uid="{00000000-0005-0000-0000-000093110000}"/>
    <cellStyle name="20% - Accent3 71 2 2 2" xfId="23098" xr:uid="{00000000-0005-0000-0000-000094110000}"/>
    <cellStyle name="20% - Accent3 71 2 3" xfId="9816" xr:uid="{00000000-0005-0000-0000-000095110000}"/>
    <cellStyle name="20% - Accent3 71 2 3 2" xfId="21104" xr:uid="{00000000-0005-0000-0000-000096110000}"/>
    <cellStyle name="20% - Accent3 71 2 4" xfId="7822" xr:uid="{00000000-0005-0000-0000-000097110000}"/>
    <cellStyle name="20% - Accent3 71 2 4 2" xfId="19110" xr:uid="{00000000-0005-0000-0000-000098110000}"/>
    <cellStyle name="20% - Accent3 71 2 5" xfId="5828" xr:uid="{00000000-0005-0000-0000-000099110000}"/>
    <cellStyle name="20% - Accent3 71 2 5 2" xfId="17116" xr:uid="{00000000-0005-0000-0000-00009A110000}"/>
    <cellStyle name="20% - Accent3 71 2 6" xfId="15122" xr:uid="{00000000-0005-0000-0000-00009B110000}"/>
    <cellStyle name="20% - Accent3 71 3" xfId="10813" xr:uid="{00000000-0005-0000-0000-00009C110000}"/>
    <cellStyle name="20% - Accent3 71 3 2" xfId="22101" xr:uid="{00000000-0005-0000-0000-00009D110000}"/>
    <cellStyle name="20% - Accent3 71 4" xfId="8819" xr:uid="{00000000-0005-0000-0000-00009E110000}"/>
    <cellStyle name="20% - Accent3 71 4 2" xfId="20107" xr:uid="{00000000-0005-0000-0000-00009F110000}"/>
    <cellStyle name="20% - Accent3 71 5" xfId="6825" xr:uid="{00000000-0005-0000-0000-0000A0110000}"/>
    <cellStyle name="20% - Accent3 71 5 2" xfId="18113" xr:uid="{00000000-0005-0000-0000-0000A1110000}"/>
    <cellStyle name="20% - Accent3 71 6" xfId="4831" xr:uid="{00000000-0005-0000-0000-0000A2110000}"/>
    <cellStyle name="20% - Accent3 71 6 2" xfId="16119" xr:uid="{00000000-0005-0000-0000-0000A3110000}"/>
    <cellStyle name="20% - Accent3 71 7" xfId="14125" xr:uid="{00000000-0005-0000-0000-0000A4110000}"/>
    <cellStyle name="20% - Accent3 71 8" xfId="12811" xr:uid="{00000000-0005-0000-0000-0000A5110000}"/>
    <cellStyle name="20% - Accent3 72" xfId="876" xr:uid="{00000000-0005-0000-0000-0000A6110000}"/>
    <cellStyle name="20% - Accent3 72 2" xfId="3832" xr:uid="{00000000-0005-0000-0000-0000A7110000}"/>
    <cellStyle name="20% - Accent3 72 2 2" xfId="11811" xr:uid="{00000000-0005-0000-0000-0000A8110000}"/>
    <cellStyle name="20% - Accent3 72 2 2 2" xfId="23099" xr:uid="{00000000-0005-0000-0000-0000A9110000}"/>
    <cellStyle name="20% - Accent3 72 2 3" xfId="9817" xr:uid="{00000000-0005-0000-0000-0000AA110000}"/>
    <cellStyle name="20% - Accent3 72 2 3 2" xfId="21105" xr:uid="{00000000-0005-0000-0000-0000AB110000}"/>
    <cellStyle name="20% - Accent3 72 2 4" xfId="7823" xr:uid="{00000000-0005-0000-0000-0000AC110000}"/>
    <cellStyle name="20% - Accent3 72 2 4 2" xfId="19111" xr:uid="{00000000-0005-0000-0000-0000AD110000}"/>
    <cellStyle name="20% - Accent3 72 2 5" xfId="5829" xr:uid="{00000000-0005-0000-0000-0000AE110000}"/>
    <cellStyle name="20% - Accent3 72 2 5 2" xfId="17117" xr:uid="{00000000-0005-0000-0000-0000AF110000}"/>
    <cellStyle name="20% - Accent3 72 2 6" xfId="15123" xr:uid="{00000000-0005-0000-0000-0000B0110000}"/>
    <cellStyle name="20% - Accent3 72 3" xfId="10814" xr:uid="{00000000-0005-0000-0000-0000B1110000}"/>
    <cellStyle name="20% - Accent3 72 3 2" xfId="22102" xr:uid="{00000000-0005-0000-0000-0000B2110000}"/>
    <cellStyle name="20% - Accent3 72 4" xfId="8820" xr:uid="{00000000-0005-0000-0000-0000B3110000}"/>
    <cellStyle name="20% - Accent3 72 4 2" xfId="20108" xr:uid="{00000000-0005-0000-0000-0000B4110000}"/>
    <cellStyle name="20% - Accent3 72 5" xfId="6826" xr:uid="{00000000-0005-0000-0000-0000B5110000}"/>
    <cellStyle name="20% - Accent3 72 5 2" xfId="18114" xr:uid="{00000000-0005-0000-0000-0000B6110000}"/>
    <cellStyle name="20% - Accent3 72 6" xfId="4832" xr:uid="{00000000-0005-0000-0000-0000B7110000}"/>
    <cellStyle name="20% - Accent3 72 6 2" xfId="16120" xr:uid="{00000000-0005-0000-0000-0000B8110000}"/>
    <cellStyle name="20% - Accent3 72 7" xfId="14126" xr:uid="{00000000-0005-0000-0000-0000B9110000}"/>
    <cellStyle name="20% - Accent3 72 8" xfId="12812" xr:uid="{00000000-0005-0000-0000-0000BA110000}"/>
    <cellStyle name="20% - Accent3 8" xfId="877" xr:uid="{00000000-0005-0000-0000-0000BB110000}"/>
    <cellStyle name="20% - Accent3 8 2" xfId="3833" xr:uid="{00000000-0005-0000-0000-0000BC110000}"/>
    <cellStyle name="20% - Accent3 8 2 2" xfId="11812" xr:uid="{00000000-0005-0000-0000-0000BD110000}"/>
    <cellStyle name="20% - Accent3 8 2 2 2" xfId="23100" xr:uid="{00000000-0005-0000-0000-0000BE110000}"/>
    <cellStyle name="20% - Accent3 8 2 3" xfId="9818" xr:uid="{00000000-0005-0000-0000-0000BF110000}"/>
    <cellStyle name="20% - Accent3 8 2 3 2" xfId="21106" xr:uid="{00000000-0005-0000-0000-0000C0110000}"/>
    <cellStyle name="20% - Accent3 8 2 4" xfId="7824" xr:uid="{00000000-0005-0000-0000-0000C1110000}"/>
    <cellStyle name="20% - Accent3 8 2 4 2" xfId="19112" xr:uid="{00000000-0005-0000-0000-0000C2110000}"/>
    <cellStyle name="20% - Accent3 8 2 5" xfId="5830" xr:uid="{00000000-0005-0000-0000-0000C3110000}"/>
    <cellStyle name="20% - Accent3 8 2 5 2" xfId="17118" xr:uid="{00000000-0005-0000-0000-0000C4110000}"/>
    <cellStyle name="20% - Accent3 8 2 6" xfId="15124" xr:uid="{00000000-0005-0000-0000-0000C5110000}"/>
    <cellStyle name="20% - Accent3 8 3" xfId="10815" xr:uid="{00000000-0005-0000-0000-0000C6110000}"/>
    <cellStyle name="20% - Accent3 8 3 2" xfId="22103" xr:uid="{00000000-0005-0000-0000-0000C7110000}"/>
    <cellStyle name="20% - Accent3 8 4" xfId="8821" xr:uid="{00000000-0005-0000-0000-0000C8110000}"/>
    <cellStyle name="20% - Accent3 8 4 2" xfId="20109" xr:uid="{00000000-0005-0000-0000-0000C9110000}"/>
    <cellStyle name="20% - Accent3 8 5" xfId="6827" xr:uid="{00000000-0005-0000-0000-0000CA110000}"/>
    <cellStyle name="20% - Accent3 8 5 2" xfId="18115" xr:uid="{00000000-0005-0000-0000-0000CB110000}"/>
    <cellStyle name="20% - Accent3 8 6" xfId="4833" xr:uid="{00000000-0005-0000-0000-0000CC110000}"/>
    <cellStyle name="20% - Accent3 8 6 2" xfId="16121" xr:uid="{00000000-0005-0000-0000-0000CD110000}"/>
    <cellStyle name="20% - Accent3 8 7" xfId="14127" xr:uid="{00000000-0005-0000-0000-0000CE110000}"/>
    <cellStyle name="20% - Accent3 8 8" xfId="12813" xr:uid="{00000000-0005-0000-0000-0000CF110000}"/>
    <cellStyle name="20% - Accent3 9" xfId="878" xr:uid="{00000000-0005-0000-0000-0000D0110000}"/>
    <cellStyle name="20% - Accent3 9 2" xfId="3834" xr:uid="{00000000-0005-0000-0000-0000D1110000}"/>
    <cellStyle name="20% - Accent3 9 2 2" xfId="11813" xr:uid="{00000000-0005-0000-0000-0000D2110000}"/>
    <cellStyle name="20% - Accent3 9 2 2 2" xfId="23101" xr:uid="{00000000-0005-0000-0000-0000D3110000}"/>
    <cellStyle name="20% - Accent3 9 2 3" xfId="9819" xr:uid="{00000000-0005-0000-0000-0000D4110000}"/>
    <cellStyle name="20% - Accent3 9 2 3 2" xfId="21107" xr:uid="{00000000-0005-0000-0000-0000D5110000}"/>
    <cellStyle name="20% - Accent3 9 2 4" xfId="7825" xr:uid="{00000000-0005-0000-0000-0000D6110000}"/>
    <cellStyle name="20% - Accent3 9 2 4 2" xfId="19113" xr:uid="{00000000-0005-0000-0000-0000D7110000}"/>
    <cellStyle name="20% - Accent3 9 2 5" xfId="5831" xr:uid="{00000000-0005-0000-0000-0000D8110000}"/>
    <cellStyle name="20% - Accent3 9 2 5 2" xfId="17119" xr:uid="{00000000-0005-0000-0000-0000D9110000}"/>
    <cellStyle name="20% - Accent3 9 2 6" xfId="15125" xr:uid="{00000000-0005-0000-0000-0000DA110000}"/>
    <cellStyle name="20% - Accent3 9 3" xfId="10816" xr:uid="{00000000-0005-0000-0000-0000DB110000}"/>
    <cellStyle name="20% - Accent3 9 3 2" xfId="22104" xr:uid="{00000000-0005-0000-0000-0000DC110000}"/>
    <cellStyle name="20% - Accent3 9 4" xfId="8822" xr:uid="{00000000-0005-0000-0000-0000DD110000}"/>
    <cellStyle name="20% - Accent3 9 4 2" xfId="20110" xr:uid="{00000000-0005-0000-0000-0000DE110000}"/>
    <cellStyle name="20% - Accent3 9 5" xfId="6828" xr:uid="{00000000-0005-0000-0000-0000DF110000}"/>
    <cellStyle name="20% - Accent3 9 5 2" xfId="18116" xr:uid="{00000000-0005-0000-0000-0000E0110000}"/>
    <cellStyle name="20% - Accent3 9 6" xfId="4834" xr:uid="{00000000-0005-0000-0000-0000E1110000}"/>
    <cellStyle name="20% - Accent3 9 6 2" xfId="16122" xr:uid="{00000000-0005-0000-0000-0000E2110000}"/>
    <cellStyle name="20% - Accent3 9 7" xfId="14128" xr:uid="{00000000-0005-0000-0000-0000E3110000}"/>
    <cellStyle name="20% - Accent3 9 8" xfId="12814" xr:uid="{00000000-0005-0000-0000-0000E4110000}"/>
    <cellStyle name="20% - Accent4 10" xfId="879" xr:uid="{00000000-0005-0000-0000-0000E5110000}"/>
    <cellStyle name="20% - Accent4 10 2" xfId="3835" xr:uid="{00000000-0005-0000-0000-0000E6110000}"/>
    <cellStyle name="20% - Accent4 10 2 2" xfId="11814" xr:uid="{00000000-0005-0000-0000-0000E7110000}"/>
    <cellStyle name="20% - Accent4 10 2 2 2" xfId="23102" xr:uid="{00000000-0005-0000-0000-0000E8110000}"/>
    <cellStyle name="20% - Accent4 10 2 3" xfId="9820" xr:uid="{00000000-0005-0000-0000-0000E9110000}"/>
    <cellStyle name="20% - Accent4 10 2 3 2" xfId="21108" xr:uid="{00000000-0005-0000-0000-0000EA110000}"/>
    <cellStyle name="20% - Accent4 10 2 4" xfId="7826" xr:uid="{00000000-0005-0000-0000-0000EB110000}"/>
    <cellStyle name="20% - Accent4 10 2 4 2" xfId="19114" xr:uid="{00000000-0005-0000-0000-0000EC110000}"/>
    <cellStyle name="20% - Accent4 10 2 5" xfId="5832" xr:uid="{00000000-0005-0000-0000-0000ED110000}"/>
    <cellStyle name="20% - Accent4 10 2 5 2" xfId="17120" xr:uid="{00000000-0005-0000-0000-0000EE110000}"/>
    <cellStyle name="20% - Accent4 10 2 6" xfId="15126" xr:uid="{00000000-0005-0000-0000-0000EF110000}"/>
    <cellStyle name="20% - Accent4 10 3" xfId="10817" xr:uid="{00000000-0005-0000-0000-0000F0110000}"/>
    <cellStyle name="20% - Accent4 10 3 2" xfId="22105" xr:uid="{00000000-0005-0000-0000-0000F1110000}"/>
    <cellStyle name="20% - Accent4 10 4" xfId="8823" xr:uid="{00000000-0005-0000-0000-0000F2110000}"/>
    <cellStyle name="20% - Accent4 10 4 2" xfId="20111" xr:uid="{00000000-0005-0000-0000-0000F3110000}"/>
    <cellStyle name="20% - Accent4 10 5" xfId="6829" xr:uid="{00000000-0005-0000-0000-0000F4110000}"/>
    <cellStyle name="20% - Accent4 10 5 2" xfId="18117" xr:uid="{00000000-0005-0000-0000-0000F5110000}"/>
    <cellStyle name="20% - Accent4 10 6" xfId="4835" xr:uid="{00000000-0005-0000-0000-0000F6110000}"/>
    <cellStyle name="20% - Accent4 10 6 2" xfId="16123" xr:uid="{00000000-0005-0000-0000-0000F7110000}"/>
    <cellStyle name="20% - Accent4 10 7" xfId="14129" xr:uid="{00000000-0005-0000-0000-0000F8110000}"/>
    <cellStyle name="20% - Accent4 10 8" xfId="12815" xr:uid="{00000000-0005-0000-0000-0000F9110000}"/>
    <cellStyle name="20% - Accent4 11" xfId="880" xr:uid="{00000000-0005-0000-0000-0000FA110000}"/>
    <cellStyle name="20% - Accent4 11 2" xfId="3836" xr:uid="{00000000-0005-0000-0000-0000FB110000}"/>
    <cellStyle name="20% - Accent4 11 2 2" xfId="11815" xr:uid="{00000000-0005-0000-0000-0000FC110000}"/>
    <cellStyle name="20% - Accent4 11 2 2 2" xfId="23103" xr:uid="{00000000-0005-0000-0000-0000FD110000}"/>
    <cellStyle name="20% - Accent4 11 2 3" xfId="9821" xr:uid="{00000000-0005-0000-0000-0000FE110000}"/>
    <cellStyle name="20% - Accent4 11 2 3 2" xfId="21109" xr:uid="{00000000-0005-0000-0000-0000FF110000}"/>
    <cellStyle name="20% - Accent4 11 2 4" xfId="7827" xr:uid="{00000000-0005-0000-0000-000000120000}"/>
    <cellStyle name="20% - Accent4 11 2 4 2" xfId="19115" xr:uid="{00000000-0005-0000-0000-000001120000}"/>
    <cellStyle name="20% - Accent4 11 2 5" xfId="5833" xr:uid="{00000000-0005-0000-0000-000002120000}"/>
    <cellStyle name="20% - Accent4 11 2 5 2" xfId="17121" xr:uid="{00000000-0005-0000-0000-000003120000}"/>
    <cellStyle name="20% - Accent4 11 2 6" xfId="15127" xr:uid="{00000000-0005-0000-0000-000004120000}"/>
    <cellStyle name="20% - Accent4 11 3" xfId="10818" xr:uid="{00000000-0005-0000-0000-000005120000}"/>
    <cellStyle name="20% - Accent4 11 3 2" xfId="22106" xr:uid="{00000000-0005-0000-0000-000006120000}"/>
    <cellStyle name="20% - Accent4 11 4" xfId="8824" xr:uid="{00000000-0005-0000-0000-000007120000}"/>
    <cellStyle name="20% - Accent4 11 4 2" xfId="20112" xr:uid="{00000000-0005-0000-0000-000008120000}"/>
    <cellStyle name="20% - Accent4 11 5" xfId="6830" xr:uid="{00000000-0005-0000-0000-000009120000}"/>
    <cellStyle name="20% - Accent4 11 5 2" xfId="18118" xr:uid="{00000000-0005-0000-0000-00000A120000}"/>
    <cellStyle name="20% - Accent4 11 6" xfId="4836" xr:uid="{00000000-0005-0000-0000-00000B120000}"/>
    <cellStyle name="20% - Accent4 11 6 2" xfId="16124" xr:uid="{00000000-0005-0000-0000-00000C120000}"/>
    <cellStyle name="20% - Accent4 11 7" xfId="14130" xr:uid="{00000000-0005-0000-0000-00000D120000}"/>
    <cellStyle name="20% - Accent4 11 8" xfId="12816" xr:uid="{00000000-0005-0000-0000-00000E120000}"/>
    <cellStyle name="20% - Accent4 12" xfId="881" xr:uid="{00000000-0005-0000-0000-00000F120000}"/>
    <cellStyle name="20% - Accent4 12 2" xfId="3837" xr:uid="{00000000-0005-0000-0000-000010120000}"/>
    <cellStyle name="20% - Accent4 12 2 2" xfId="11816" xr:uid="{00000000-0005-0000-0000-000011120000}"/>
    <cellStyle name="20% - Accent4 12 2 2 2" xfId="23104" xr:uid="{00000000-0005-0000-0000-000012120000}"/>
    <cellStyle name="20% - Accent4 12 2 3" xfId="9822" xr:uid="{00000000-0005-0000-0000-000013120000}"/>
    <cellStyle name="20% - Accent4 12 2 3 2" xfId="21110" xr:uid="{00000000-0005-0000-0000-000014120000}"/>
    <cellStyle name="20% - Accent4 12 2 4" xfId="7828" xr:uid="{00000000-0005-0000-0000-000015120000}"/>
    <cellStyle name="20% - Accent4 12 2 4 2" xfId="19116" xr:uid="{00000000-0005-0000-0000-000016120000}"/>
    <cellStyle name="20% - Accent4 12 2 5" xfId="5834" xr:uid="{00000000-0005-0000-0000-000017120000}"/>
    <cellStyle name="20% - Accent4 12 2 5 2" xfId="17122" xr:uid="{00000000-0005-0000-0000-000018120000}"/>
    <cellStyle name="20% - Accent4 12 2 6" xfId="15128" xr:uid="{00000000-0005-0000-0000-000019120000}"/>
    <cellStyle name="20% - Accent4 12 3" xfId="10819" xr:uid="{00000000-0005-0000-0000-00001A120000}"/>
    <cellStyle name="20% - Accent4 12 3 2" xfId="22107" xr:uid="{00000000-0005-0000-0000-00001B120000}"/>
    <cellStyle name="20% - Accent4 12 4" xfId="8825" xr:uid="{00000000-0005-0000-0000-00001C120000}"/>
    <cellStyle name="20% - Accent4 12 4 2" xfId="20113" xr:uid="{00000000-0005-0000-0000-00001D120000}"/>
    <cellStyle name="20% - Accent4 12 5" xfId="6831" xr:uid="{00000000-0005-0000-0000-00001E120000}"/>
    <cellStyle name="20% - Accent4 12 5 2" xfId="18119" xr:uid="{00000000-0005-0000-0000-00001F120000}"/>
    <cellStyle name="20% - Accent4 12 6" xfId="4837" xr:uid="{00000000-0005-0000-0000-000020120000}"/>
    <cellStyle name="20% - Accent4 12 6 2" xfId="16125" xr:uid="{00000000-0005-0000-0000-000021120000}"/>
    <cellStyle name="20% - Accent4 12 7" xfId="14131" xr:uid="{00000000-0005-0000-0000-000022120000}"/>
    <cellStyle name="20% - Accent4 12 8" xfId="12817" xr:uid="{00000000-0005-0000-0000-000023120000}"/>
    <cellStyle name="20% - Accent4 13" xfId="882" xr:uid="{00000000-0005-0000-0000-000024120000}"/>
    <cellStyle name="20% - Accent4 13 2" xfId="3838" xr:uid="{00000000-0005-0000-0000-000025120000}"/>
    <cellStyle name="20% - Accent4 13 2 2" xfId="11817" xr:uid="{00000000-0005-0000-0000-000026120000}"/>
    <cellStyle name="20% - Accent4 13 2 2 2" xfId="23105" xr:uid="{00000000-0005-0000-0000-000027120000}"/>
    <cellStyle name="20% - Accent4 13 2 3" xfId="9823" xr:uid="{00000000-0005-0000-0000-000028120000}"/>
    <cellStyle name="20% - Accent4 13 2 3 2" xfId="21111" xr:uid="{00000000-0005-0000-0000-000029120000}"/>
    <cellStyle name="20% - Accent4 13 2 4" xfId="7829" xr:uid="{00000000-0005-0000-0000-00002A120000}"/>
    <cellStyle name="20% - Accent4 13 2 4 2" xfId="19117" xr:uid="{00000000-0005-0000-0000-00002B120000}"/>
    <cellStyle name="20% - Accent4 13 2 5" xfId="5835" xr:uid="{00000000-0005-0000-0000-00002C120000}"/>
    <cellStyle name="20% - Accent4 13 2 5 2" xfId="17123" xr:uid="{00000000-0005-0000-0000-00002D120000}"/>
    <cellStyle name="20% - Accent4 13 2 6" xfId="15129" xr:uid="{00000000-0005-0000-0000-00002E120000}"/>
    <cellStyle name="20% - Accent4 13 3" xfId="10820" xr:uid="{00000000-0005-0000-0000-00002F120000}"/>
    <cellStyle name="20% - Accent4 13 3 2" xfId="22108" xr:uid="{00000000-0005-0000-0000-000030120000}"/>
    <cellStyle name="20% - Accent4 13 4" xfId="8826" xr:uid="{00000000-0005-0000-0000-000031120000}"/>
    <cellStyle name="20% - Accent4 13 4 2" xfId="20114" xr:uid="{00000000-0005-0000-0000-000032120000}"/>
    <cellStyle name="20% - Accent4 13 5" xfId="6832" xr:uid="{00000000-0005-0000-0000-000033120000}"/>
    <cellStyle name="20% - Accent4 13 5 2" xfId="18120" xr:uid="{00000000-0005-0000-0000-000034120000}"/>
    <cellStyle name="20% - Accent4 13 6" xfId="4838" xr:uid="{00000000-0005-0000-0000-000035120000}"/>
    <cellStyle name="20% - Accent4 13 6 2" xfId="16126" xr:uid="{00000000-0005-0000-0000-000036120000}"/>
    <cellStyle name="20% - Accent4 13 7" xfId="14132" xr:uid="{00000000-0005-0000-0000-000037120000}"/>
    <cellStyle name="20% - Accent4 13 8" xfId="12818" xr:uid="{00000000-0005-0000-0000-000038120000}"/>
    <cellStyle name="20% - Accent4 14" xfId="883" xr:uid="{00000000-0005-0000-0000-000039120000}"/>
    <cellStyle name="20% - Accent4 14 2" xfId="3839" xr:uid="{00000000-0005-0000-0000-00003A120000}"/>
    <cellStyle name="20% - Accent4 14 2 2" xfId="11818" xr:uid="{00000000-0005-0000-0000-00003B120000}"/>
    <cellStyle name="20% - Accent4 14 2 2 2" xfId="23106" xr:uid="{00000000-0005-0000-0000-00003C120000}"/>
    <cellStyle name="20% - Accent4 14 2 3" xfId="9824" xr:uid="{00000000-0005-0000-0000-00003D120000}"/>
    <cellStyle name="20% - Accent4 14 2 3 2" xfId="21112" xr:uid="{00000000-0005-0000-0000-00003E120000}"/>
    <cellStyle name="20% - Accent4 14 2 4" xfId="7830" xr:uid="{00000000-0005-0000-0000-00003F120000}"/>
    <cellStyle name="20% - Accent4 14 2 4 2" xfId="19118" xr:uid="{00000000-0005-0000-0000-000040120000}"/>
    <cellStyle name="20% - Accent4 14 2 5" xfId="5836" xr:uid="{00000000-0005-0000-0000-000041120000}"/>
    <cellStyle name="20% - Accent4 14 2 5 2" xfId="17124" xr:uid="{00000000-0005-0000-0000-000042120000}"/>
    <cellStyle name="20% - Accent4 14 2 6" xfId="15130" xr:uid="{00000000-0005-0000-0000-000043120000}"/>
    <cellStyle name="20% - Accent4 14 3" xfId="10821" xr:uid="{00000000-0005-0000-0000-000044120000}"/>
    <cellStyle name="20% - Accent4 14 3 2" xfId="22109" xr:uid="{00000000-0005-0000-0000-000045120000}"/>
    <cellStyle name="20% - Accent4 14 4" xfId="8827" xr:uid="{00000000-0005-0000-0000-000046120000}"/>
    <cellStyle name="20% - Accent4 14 4 2" xfId="20115" xr:uid="{00000000-0005-0000-0000-000047120000}"/>
    <cellStyle name="20% - Accent4 14 5" xfId="6833" xr:uid="{00000000-0005-0000-0000-000048120000}"/>
    <cellStyle name="20% - Accent4 14 5 2" xfId="18121" xr:uid="{00000000-0005-0000-0000-000049120000}"/>
    <cellStyle name="20% - Accent4 14 6" xfId="4839" xr:uid="{00000000-0005-0000-0000-00004A120000}"/>
    <cellStyle name="20% - Accent4 14 6 2" xfId="16127" xr:uid="{00000000-0005-0000-0000-00004B120000}"/>
    <cellStyle name="20% - Accent4 14 7" xfId="14133" xr:uid="{00000000-0005-0000-0000-00004C120000}"/>
    <cellStyle name="20% - Accent4 14 8" xfId="12819" xr:uid="{00000000-0005-0000-0000-00004D120000}"/>
    <cellStyle name="20% - Accent4 15" xfId="884" xr:uid="{00000000-0005-0000-0000-00004E120000}"/>
    <cellStyle name="20% - Accent4 15 2" xfId="3840" xr:uid="{00000000-0005-0000-0000-00004F120000}"/>
    <cellStyle name="20% - Accent4 15 2 2" xfId="11819" xr:uid="{00000000-0005-0000-0000-000050120000}"/>
    <cellStyle name="20% - Accent4 15 2 2 2" xfId="23107" xr:uid="{00000000-0005-0000-0000-000051120000}"/>
    <cellStyle name="20% - Accent4 15 2 3" xfId="9825" xr:uid="{00000000-0005-0000-0000-000052120000}"/>
    <cellStyle name="20% - Accent4 15 2 3 2" xfId="21113" xr:uid="{00000000-0005-0000-0000-000053120000}"/>
    <cellStyle name="20% - Accent4 15 2 4" xfId="7831" xr:uid="{00000000-0005-0000-0000-000054120000}"/>
    <cellStyle name="20% - Accent4 15 2 4 2" xfId="19119" xr:uid="{00000000-0005-0000-0000-000055120000}"/>
    <cellStyle name="20% - Accent4 15 2 5" xfId="5837" xr:uid="{00000000-0005-0000-0000-000056120000}"/>
    <cellStyle name="20% - Accent4 15 2 5 2" xfId="17125" xr:uid="{00000000-0005-0000-0000-000057120000}"/>
    <cellStyle name="20% - Accent4 15 2 6" xfId="15131" xr:uid="{00000000-0005-0000-0000-000058120000}"/>
    <cellStyle name="20% - Accent4 15 3" xfId="10822" xr:uid="{00000000-0005-0000-0000-000059120000}"/>
    <cellStyle name="20% - Accent4 15 3 2" xfId="22110" xr:uid="{00000000-0005-0000-0000-00005A120000}"/>
    <cellStyle name="20% - Accent4 15 4" xfId="8828" xr:uid="{00000000-0005-0000-0000-00005B120000}"/>
    <cellStyle name="20% - Accent4 15 4 2" xfId="20116" xr:uid="{00000000-0005-0000-0000-00005C120000}"/>
    <cellStyle name="20% - Accent4 15 5" xfId="6834" xr:uid="{00000000-0005-0000-0000-00005D120000}"/>
    <cellStyle name="20% - Accent4 15 5 2" xfId="18122" xr:uid="{00000000-0005-0000-0000-00005E120000}"/>
    <cellStyle name="20% - Accent4 15 6" xfId="4840" xr:uid="{00000000-0005-0000-0000-00005F120000}"/>
    <cellStyle name="20% - Accent4 15 6 2" xfId="16128" xr:uid="{00000000-0005-0000-0000-000060120000}"/>
    <cellStyle name="20% - Accent4 15 7" xfId="14134" xr:uid="{00000000-0005-0000-0000-000061120000}"/>
    <cellStyle name="20% - Accent4 15 8" xfId="12820" xr:uid="{00000000-0005-0000-0000-000062120000}"/>
    <cellStyle name="20% - Accent4 16" xfId="885" xr:uid="{00000000-0005-0000-0000-000063120000}"/>
    <cellStyle name="20% - Accent4 16 2" xfId="3841" xr:uid="{00000000-0005-0000-0000-000064120000}"/>
    <cellStyle name="20% - Accent4 16 2 2" xfId="11820" xr:uid="{00000000-0005-0000-0000-000065120000}"/>
    <cellStyle name="20% - Accent4 16 2 2 2" xfId="23108" xr:uid="{00000000-0005-0000-0000-000066120000}"/>
    <cellStyle name="20% - Accent4 16 2 3" xfId="9826" xr:uid="{00000000-0005-0000-0000-000067120000}"/>
    <cellStyle name="20% - Accent4 16 2 3 2" xfId="21114" xr:uid="{00000000-0005-0000-0000-000068120000}"/>
    <cellStyle name="20% - Accent4 16 2 4" xfId="7832" xr:uid="{00000000-0005-0000-0000-000069120000}"/>
    <cellStyle name="20% - Accent4 16 2 4 2" xfId="19120" xr:uid="{00000000-0005-0000-0000-00006A120000}"/>
    <cellStyle name="20% - Accent4 16 2 5" xfId="5838" xr:uid="{00000000-0005-0000-0000-00006B120000}"/>
    <cellStyle name="20% - Accent4 16 2 5 2" xfId="17126" xr:uid="{00000000-0005-0000-0000-00006C120000}"/>
    <cellStyle name="20% - Accent4 16 2 6" xfId="15132" xr:uid="{00000000-0005-0000-0000-00006D120000}"/>
    <cellStyle name="20% - Accent4 16 3" xfId="10823" xr:uid="{00000000-0005-0000-0000-00006E120000}"/>
    <cellStyle name="20% - Accent4 16 3 2" xfId="22111" xr:uid="{00000000-0005-0000-0000-00006F120000}"/>
    <cellStyle name="20% - Accent4 16 4" xfId="8829" xr:uid="{00000000-0005-0000-0000-000070120000}"/>
    <cellStyle name="20% - Accent4 16 4 2" xfId="20117" xr:uid="{00000000-0005-0000-0000-000071120000}"/>
    <cellStyle name="20% - Accent4 16 5" xfId="6835" xr:uid="{00000000-0005-0000-0000-000072120000}"/>
    <cellStyle name="20% - Accent4 16 5 2" xfId="18123" xr:uid="{00000000-0005-0000-0000-000073120000}"/>
    <cellStyle name="20% - Accent4 16 6" xfId="4841" xr:uid="{00000000-0005-0000-0000-000074120000}"/>
    <cellStyle name="20% - Accent4 16 6 2" xfId="16129" xr:uid="{00000000-0005-0000-0000-000075120000}"/>
    <cellStyle name="20% - Accent4 16 7" xfId="14135" xr:uid="{00000000-0005-0000-0000-000076120000}"/>
    <cellStyle name="20% - Accent4 16 8" xfId="12821" xr:uid="{00000000-0005-0000-0000-000077120000}"/>
    <cellStyle name="20% - Accent4 17" xfId="886" xr:uid="{00000000-0005-0000-0000-000078120000}"/>
    <cellStyle name="20% - Accent4 17 2" xfId="3842" xr:uid="{00000000-0005-0000-0000-000079120000}"/>
    <cellStyle name="20% - Accent4 17 2 2" xfId="11821" xr:uid="{00000000-0005-0000-0000-00007A120000}"/>
    <cellStyle name="20% - Accent4 17 2 2 2" xfId="23109" xr:uid="{00000000-0005-0000-0000-00007B120000}"/>
    <cellStyle name="20% - Accent4 17 2 3" xfId="9827" xr:uid="{00000000-0005-0000-0000-00007C120000}"/>
    <cellStyle name="20% - Accent4 17 2 3 2" xfId="21115" xr:uid="{00000000-0005-0000-0000-00007D120000}"/>
    <cellStyle name="20% - Accent4 17 2 4" xfId="7833" xr:uid="{00000000-0005-0000-0000-00007E120000}"/>
    <cellStyle name="20% - Accent4 17 2 4 2" xfId="19121" xr:uid="{00000000-0005-0000-0000-00007F120000}"/>
    <cellStyle name="20% - Accent4 17 2 5" xfId="5839" xr:uid="{00000000-0005-0000-0000-000080120000}"/>
    <cellStyle name="20% - Accent4 17 2 5 2" xfId="17127" xr:uid="{00000000-0005-0000-0000-000081120000}"/>
    <cellStyle name="20% - Accent4 17 2 6" xfId="15133" xr:uid="{00000000-0005-0000-0000-000082120000}"/>
    <cellStyle name="20% - Accent4 17 3" xfId="10824" xr:uid="{00000000-0005-0000-0000-000083120000}"/>
    <cellStyle name="20% - Accent4 17 3 2" xfId="22112" xr:uid="{00000000-0005-0000-0000-000084120000}"/>
    <cellStyle name="20% - Accent4 17 4" xfId="8830" xr:uid="{00000000-0005-0000-0000-000085120000}"/>
    <cellStyle name="20% - Accent4 17 4 2" xfId="20118" xr:uid="{00000000-0005-0000-0000-000086120000}"/>
    <cellStyle name="20% - Accent4 17 5" xfId="6836" xr:uid="{00000000-0005-0000-0000-000087120000}"/>
    <cellStyle name="20% - Accent4 17 5 2" xfId="18124" xr:uid="{00000000-0005-0000-0000-000088120000}"/>
    <cellStyle name="20% - Accent4 17 6" xfId="4842" xr:uid="{00000000-0005-0000-0000-000089120000}"/>
    <cellStyle name="20% - Accent4 17 6 2" xfId="16130" xr:uid="{00000000-0005-0000-0000-00008A120000}"/>
    <cellStyle name="20% - Accent4 17 7" xfId="14136" xr:uid="{00000000-0005-0000-0000-00008B120000}"/>
    <cellStyle name="20% - Accent4 17 8" xfId="12822" xr:uid="{00000000-0005-0000-0000-00008C120000}"/>
    <cellStyle name="20% - Accent4 18" xfId="887" xr:uid="{00000000-0005-0000-0000-00008D120000}"/>
    <cellStyle name="20% - Accent4 18 2" xfId="3843" xr:uid="{00000000-0005-0000-0000-00008E120000}"/>
    <cellStyle name="20% - Accent4 18 2 2" xfId="11822" xr:uid="{00000000-0005-0000-0000-00008F120000}"/>
    <cellStyle name="20% - Accent4 18 2 2 2" xfId="23110" xr:uid="{00000000-0005-0000-0000-000090120000}"/>
    <cellStyle name="20% - Accent4 18 2 3" xfId="9828" xr:uid="{00000000-0005-0000-0000-000091120000}"/>
    <cellStyle name="20% - Accent4 18 2 3 2" xfId="21116" xr:uid="{00000000-0005-0000-0000-000092120000}"/>
    <cellStyle name="20% - Accent4 18 2 4" xfId="7834" xr:uid="{00000000-0005-0000-0000-000093120000}"/>
    <cellStyle name="20% - Accent4 18 2 4 2" xfId="19122" xr:uid="{00000000-0005-0000-0000-000094120000}"/>
    <cellStyle name="20% - Accent4 18 2 5" xfId="5840" xr:uid="{00000000-0005-0000-0000-000095120000}"/>
    <cellStyle name="20% - Accent4 18 2 5 2" xfId="17128" xr:uid="{00000000-0005-0000-0000-000096120000}"/>
    <cellStyle name="20% - Accent4 18 2 6" xfId="15134" xr:uid="{00000000-0005-0000-0000-000097120000}"/>
    <cellStyle name="20% - Accent4 18 3" xfId="10825" xr:uid="{00000000-0005-0000-0000-000098120000}"/>
    <cellStyle name="20% - Accent4 18 3 2" xfId="22113" xr:uid="{00000000-0005-0000-0000-000099120000}"/>
    <cellStyle name="20% - Accent4 18 4" xfId="8831" xr:uid="{00000000-0005-0000-0000-00009A120000}"/>
    <cellStyle name="20% - Accent4 18 4 2" xfId="20119" xr:uid="{00000000-0005-0000-0000-00009B120000}"/>
    <cellStyle name="20% - Accent4 18 5" xfId="6837" xr:uid="{00000000-0005-0000-0000-00009C120000}"/>
    <cellStyle name="20% - Accent4 18 5 2" xfId="18125" xr:uid="{00000000-0005-0000-0000-00009D120000}"/>
    <cellStyle name="20% - Accent4 18 6" xfId="4843" xr:uid="{00000000-0005-0000-0000-00009E120000}"/>
    <cellStyle name="20% - Accent4 18 6 2" xfId="16131" xr:uid="{00000000-0005-0000-0000-00009F120000}"/>
    <cellStyle name="20% - Accent4 18 7" xfId="14137" xr:uid="{00000000-0005-0000-0000-0000A0120000}"/>
    <cellStyle name="20% - Accent4 18 8" xfId="12823" xr:uid="{00000000-0005-0000-0000-0000A1120000}"/>
    <cellStyle name="20% - Accent4 19" xfId="888" xr:uid="{00000000-0005-0000-0000-0000A2120000}"/>
    <cellStyle name="20% - Accent4 19 2" xfId="3844" xr:uid="{00000000-0005-0000-0000-0000A3120000}"/>
    <cellStyle name="20% - Accent4 19 2 2" xfId="11823" xr:uid="{00000000-0005-0000-0000-0000A4120000}"/>
    <cellStyle name="20% - Accent4 19 2 2 2" xfId="23111" xr:uid="{00000000-0005-0000-0000-0000A5120000}"/>
    <cellStyle name="20% - Accent4 19 2 3" xfId="9829" xr:uid="{00000000-0005-0000-0000-0000A6120000}"/>
    <cellStyle name="20% - Accent4 19 2 3 2" xfId="21117" xr:uid="{00000000-0005-0000-0000-0000A7120000}"/>
    <cellStyle name="20% - Accent4 19 2 4" xfId="7835" xr:uid="{00000000-0005-0000-0000-0000A8120000}"/>
    <cellStyle name="20% - Accent4 19 2 4 2" xfId="19123" xr:uid="{00000000-0005-0000-0000-0000A9120000}"/>
    <cellStyle name="20% - Accent4 19 2 5" xfId="5841" xr:uid="{00000000-0005-0000-0000-0000AA120000}"/>
    <cellStyle name="20% - Accent4 19 2 5 2" xfId="17129" xr:uid="{00000000-0005-0000-0000-0000AB120000}"/>
    <cellStyle name="20% - Accent4 19 2 6" xfId="15135" xr:uid="{00000000-0005-0000-0000-0000AC120000}"/>
    <cellStyle name="20% - Accent4 19 3" xfId="10826" xr:uid="{00000000-0005-0000-0000-0000AD120000}"/>
    <cellStyle name="20% - Accent4 19 3 2" xfId="22114" xr:uid="{00000000-0005-0000-0000-0000AE120000}"/>
    <cellStyle name="20% - Accent4 19 4" xfId="8832" xr:uid="{00000000-0005-0000-0000-0000AF120000}"/>
    <cellStyle name="20% - Accent4 19 4 2" xfId="20120" xr:uid="{00000000-0005-0000-0000-0000B0120000}"/>
    <cellStyle name="20% - Accent4 19 5" xfId="6838" xr:uid="{00000000-0005-0000-0000-0000B1120000}"/>
    <cellStyle name="20% - Accent4 19 5 2" xfId="18126" xr:uid="{00000000-0005-0000-0000-0000B2120000}"/>
    <cellStyle name="20% - Accent4 19 6" xfId="4844" xr:uid="{00000000-0005-0000-0000-0000B3120000}"/>
    <cellStyle name="20% - Accent4 19 6 2" xfId="16132" xr:uid="{00000000-0005-0000-0000-0000B4120000}"/>
    <cellStyle name="20% - Accent4 19 7" xfId="14138" xr:uid="{00000000-0005-0000-0000-0000B5120000}"/>
    <cellStyle name="20% - Accent4 19 8" xfId="12824" xr:uid="{00000000-0005-0000-0000-0000B6120000}"/>
    <cellStyle name="20% - Accent4 2" xfId="889" xr:uid="{00000000-0005-0000-0000-0000B7120000}"/>
    <cellStyle name="20% - Accent4 2 10" xfId="24577" xr:uid="{00000000-0005-0000-0000-0000B8120000}"/>
    <cellStyle name="20% - Accent4 2 11" xfId="24967" xr:uid="{00000000-0005-0000-0000-0000B9120000}"/>
    <cellStyle name="20% - Accent4 2 2" xfId="3845" xr:uid="{00000000-0005-0000-0000-0000BA120000}"/>
    <cellStyle name="20% - Accent4 2 2 2" xfId="11824" xr:uid="{00000000-0005-0000-0000-0000BB120000}"/>
    <cellStyle name="20% - Accent4 2 2 2 2" xfId="23112" xr:uid="{00000000-0005-0000-0000-0000BC120000}"/>
    <cellStyle name="20% - Accent4 2 2 3" xfId="9830" xr:uid="{00000000-0005-0000-0000-0000BD120000}"/>
    <cellStyle name="20% - Accent4 2 2 3 2" xfId="21118" xr:uid="{00000000-0005-0000-0000-0000BE120000}"/>
    <cellStyle name="20% - Accent4 2 2 4" xfId="7836" xr:uid="{00000000-0005-0000-0000-0000BF120000}"/>
    <cellStyle name="20% - Accent4 2 2 4 2" xfId="19124" xr:uid="{00000000-0005-0000-0000-0000C0120000}"/>
    <cellStyle name="20% - Accent4 2 2 5" xfId="5842" xr:uid="{00000000-0005-0000-0000-0000C1120000}"/>
    <cellStyle name="20% - Accent4 2 2 5 2" xfId="17130" xr:uid="{00000000-0005-0000-0000-0000C2120000}"/>
    <cellStyle name="20% - Accent4 2 2 6" xfId="15136" xr:uid="{00000000-0005-0000-0000-0000C3120000}"/>
    <cellStyle name="20% - Accent4 2 2 7" xfId="24338" xr:uid="{00000000-0005-0000-0000-0000C4120000}"/>
    <cellStyle name="20% - Accent4 2 2 8" xfId="24802" xr:uid="{00000000-0005-0000-0000-0000C5120000}"/>
    <cellStyle name="20% - Accent4 2 2 9" xfId="25169" xr:uid="{00000000-0005-0000-0000-0000C6120000}"/>
    <cellStyle name="20% - Accent4 2 3" xfId="10827" xr:uid="{00000000-0005-0000-0000-0000C7120000}"/>
    <cellStyle name="20% - Accent4 2 3 2" xfId="22115" xr:uid="{00000000-0005-0000-0000-0000C8120000}"/>
    <cellStyle name="20% - Accent4 2 4" xfId="8833" xr:uid="{00000000-0005-0000-0000-0000C9120000}"/>
    <cellStyle name="20% - Accent4 2 4 2" xfId="20121" xr:uid="{00000000-0005-0000-0000-0000CA120000}"/>
    <cellStyle name="20% - Accent4 2 5" xfId="6839" xr:uid="{00000000-0005-0000-0000-0000CB120000}"/>
    <cellStyle name="20% - Accent4 2 5 2" xfId="18127" xr:uid="{00000000-0005-0000-0000-0000CC120000}"/>
    <cellStyle name="20% - Accent4 2 6" xfId="4845" xr:uid="{00000000-0005-0000-0000-0000CD120000}"/>
    <cellStyle name="20% - Accent4 2 6 2" xfId="16133" xr:uid="{00000000-0005-0000-0000-0000CE120000}"/>
    <cellStyle name="20% - Accent4 2 7" xfId="14139" xr:uid="{00000000-0005-0000-0000-0000CF120000}"/>
    <cellStyle name="20% - Accent4 2 8" xfId="12825" xr:uid="{00000000-0005-0000-0000-0000D0120000}"/>
    <cellStyle name="20% - Accent4 2 9" xfId="23950" xr:uid="{00000000-0005-0000-0000-0000D1120000}"/>
    <cellStyle name="20% - Accent4 20" xfId="890" xr:uid="{00000000-0005-0000-0000-0000D2120000}"/>
    <cellStyle name="20% - Accent4 20 2" xfId="3846" xr:uid="{00000000-0005-0000-0000-0000D3120000}"/>
    <cellStyle name="20% - Accent4 20 2 2" xfId="11825" xr:uid="{00000000-0005-0000-0000-0000D4120000}"/>
    <cellStyle name="20% - Accent4 20 2 2 2" xfId="23113" xr:uid="{00000000-0005-0000-0000-0000D5120000}"/>
    <cellStyle name="20% - Accent4 20 2 3" xfId="9831" xr:uid="{00000000-0005-0000-0000-0000D6120000}"/>
    <cellStyle name="20% - Accent4 20 2 3 2" xfId="21119" xr:uid="{00000000-0005-0000-0000-0000D7120000}"/>
    <cellStyle name="20% - Accent4 20 2 4" xfId="7837" xr:uid="{00000000-0005-0000-0000-0000D8120000}"/>
    <cellStyle name="20% - Accent4 20 2 4 2" xfId="19125" xr:uid="{00000000-0005-0000-0000-0000D9120000}"/>
    <cellStyle name="20% - Accent4 20 2 5" xfId="5843" xr:uid="{00000000-0005-0000-0000-0000DA120000}"/>
    <cellStyle name="20% - Accent4 20 2 5 2" xfId="17131" xr:uid="{00000000-0005-0000-0000-0000DB120000}"/>
    <cellStyle name="20% - Accent4 20 2 6" xfId="15137" xr:uid="{00000000-0005-0000-0000-0000DC120000}"/>
    <cellStyle name="20% - Accent4 20 3" xfId="10828" xr:uid="{00000000-0005-0000-0000-0000DD120000}"/>
    <cellStyle name="20% - Accent4 20 3 2" xfId="22116" xr:uid="{00000000-0005-0000-0000-0000DE120000}"/>
    <cellStyle name="20% - Accent4 20 4" xfId="8834" xr:uid="{00000000-0005-0000-0000-0000DF120000}"/>
    <cellStyle name="20% - Accent4 20 4 2" xfId="20122" xr:uid="{00000000-0005-0000-0000-0000E0120000}"/>
    <cellStyle name="20% - Accent4 20 5" xfId="6840" xr:uid="{00000000-0005-0000-0000-0000E1120000}"/>
    <cellStyle name="20% - Accent4 20 5 2" xfId="18128" xr:uid="{00000000-0005-0000-0000-0000E2120000}"/>
    <cellStyle name="20% - Accent4 20 6" xfId="4846" xr:uid="{00000000-0005-0000-0000-0000E3120000}"/>
    <cellStyle name="20% - Accent4 20 6 2" xfId="16134" xr:uid="{00000000-0005-0000-0000-0000E4120000}"/>
    <cellStyle name="20% - Accent4 20 7" xfId="14140" xr:uid="{00000000-0005-0000-0000-0000E5120000}"/>
    <cellStyle name="20% - Accent4 20 8" xfId="12826" xr:uid="{00000000-0005-0000-0000-0000E6120000}"/>
    <cellStyle name="20% - Accent4 21" xfId="891" xr:uid="{00000000-0005-0000-0000-0000E7120000}"/>
    <cellStyle name="20% - Accent4 21 2" xfId="3847" xr:uid="{00000000-0005-0000-0000-0000E8120000}"/>
    <cellStyle name="20% - Accent4 21 2 2" xfId="11826" xr:uid="{00000000-0005-0000-0000-0000E9120000}"/>
    <cellStyle name="20% - Accent4 21 2 2 2" xfId="23114" xr:uid="{00000000-0005-0000-0000-0000EA120000}"/>
    <cellStyle name="20% - Accent4 21 2 3" xfId="9832" xr:uid="{00000000-0005-0000-0000-0000EB120000}"/>
    <cellStyle name="20% - Accent4 21 2 3 2" xfId="21120" xr:uid="{00000000-0005-0000-0000-0000EC120000}"/>
    <cellStyle name="20% - Accent4 21 2 4" xfId="7838" xr:uid="{00000000-0005-0000-0000-0000ED120000}"/>
    <cellStyle name="20% - Accent4 21 2 4 2" xfId="19126" xr:uid="{00000000-0005-0000-0000-0000EE120000}"/>
    <cellStyle name="20% - Accent4 21 2 5" xfId="5844" xr:uid="{00000000-0005-0000-0000-0000EF120000}"/>
    <cellStyle name="20% - Accent4 21 2 5 2" xfId="17132" xr:uid="{00000000-0005-0000-0000-0000F0120000}"/>
    <cellStyle name="20% - Accent4 21 2 6" xfId="15138" xr:uid="{00000000-0005-0000-0000-0000F1120000}"/>
    <cellStyle name="20% - Accent4 21 3" xfId="10829" xr:uid="{00000000-0005-0000-0000-0000F2120000}"/>
    <cellStyle name="20% - Accent4 21 3 2" xfId="22117" xr:uid="{00000000-0005-0000-0000-0000F3120000}"/>
    <cellStyle name="20% - Accent4 21 4" xfId="8835" xr:uid="{00000000-0005-0000-0000-0000F4120000}"/>
    <cellStyle name="20% - Accent4 21 4 2" xfId="20123" xr:uid="{00000000-0005-0000-0000-0000F5120000}"/>
    <cellStyle name="20% - Accent4 21 5" xfId="6841" xr:uid="{00000000-0005-0000-0000-0000F6120000}"/>
    <cellStyle name="20% - Accent4 21 5 2" xfId="18129" xr:uid="{00000000-0005-0000-0000-0000F7120000}"/>
    <cellStyle name="20% - Accent4 21 6" xfId="4847" xr:uid="{00000000-0005-0000-0000-0000F8120000}"/>
    <cellStyle name="20% - Accent4 21 6 2" xfId="16135" xr:uid="{00000000-0005-0000-0000-0000F9120000}"/>
    <cellStyle name="20% - Accent4 21 7" xfId="14141" xr:uid="{00000000-0005-0000-0000-0000FA120000}"/>
    <cellStyle name="20% - Accent4 21 8" xfId="12827" xr:uid="{00000000-0005-0000-0000-0000FB120000}"/>
    <cellStyle name="20% - Accent4 22" xfId="892" xr:uid="{00000000-0005-0000-0000-0000FC120000}"/>
    <cellStyle name="20% - Accent4 22 2" xfId="3848" xr:uid="{00000000-0005-0000-0000-0000FD120000}"/>
    <cellStyle name="20% - Accent4 22 2 2" xfId="11827" xr:uid="{00000000-0005-0000-0000-0000FE120000}"/>
    <cellStyle name="20% - Accent4 22 2 2 2" xfId="23115" xr:uid="{00000000-0005-0000-0000-0000FF120000}"/>
    <cellStyle name="20% - Accent4 22 2 3" xfId="9833" xr:uid="{00000000-0005-0000-0000-000000130000}"/>
    <cellStyle name="20% - Accent4 22 2 3 2" xfId="21121" xr:uid="{00000000-0005-0000-0000-000001130000}"/>
    <cellStyle name="20% - Accent4 22 2 4" xfId="7839" xr:uid="{00000000-0005-0000-0000-000002130000}"/>
    <cellStyle name="20% - Accent4 22 2 4 2" xfId="19127" xr:uid="{00000000-0005-0000-0000-000003130000}"/>
    <cellStyle name="20% - Accent4 22 2 5" xfId="5845" xr:uid="{00000000-0005-0000-0000-000004130000}"/>
    <cellStyle name="20% - Accent4 22 2 5 2" xfId="17133" xr:uid="{00000000-0005-0000-0000-000005130000}"/>
    <cellStyle name="20% - Accent4 22 2 6" xfId="15139" xr:uid="{00000000-0005-0000-0000-000006130000}"/>
    <cellStyle name="20% - Accent4 22 3" xfId="10830" xr:uid="{00000000-0005-0000-0000-000007130000}"/>
    <cellStyle name="20% - Accent4 22 3 2" xfId="22118" xr:uid="{00000000-0005-0000-0000-000008130000}"/>
    <cellStyle name="20% - Accent4 22 4" xfId="8836" xr:uid="{00000000-0005-0000-0000-000009130000}"/>
    <cellStyle name="20% - Accent4 22 4 2" xfId="20124" xr:uid="{00000000-0005-0000-0000-00000A130000}"/>
    <cellStyle name="20% - Accent4 22 5" xfId="6842" xr:uid="{00000000-0005-0000-0000-00000B130000}"/>
    <cellStyle name="20% - Accent4 22 5 2" xfId="18130" xr:uid="{00000000-0005-0000-0000-00000C130000}"/>
    <cellStyle name="20% - Accent4 22 6" xfId="4848" xr:uid="{00000000-0005-0000-0000-00000D130000}"/>
    <cellStyle name="20% - Accent4 22 6 2" xfId="16136" xr:uid="{00000000-0005-0000-0000-00000E130000}"/>
    <cellStyle name="20% - Accent4 22 7" xfId="14142" xr:uid="{00000000-0005-0000-0000-00000F130000}"/>
    <cellStyle name="20% - Accent4 22 8" xfId="12828" xr:uid="{00000000-0005-0000-0000-000010130000}"/>
    <cellStyle name="20% - Accent4 23" xfId="893" xr:uid="{00000000-0005-0000-0000-000011130000}"/>
    <cellStyle name="20% - Accent4 23 2" xfId="3849" xr:uid="{00000000-0005-0000-0000-000012130000}"/>
    <cellStyle name="20% - Accent4 23 2 2" xfId="11828" xr:uid="{00000000-0005-0000-0000-000013130000}"/>
    <cellStyle name="20% - Accent4 23 2 2 2" xfId="23116" xr:uid="{00000000-0005-0000-0000-000014130000}"/>
    <cellStyle name="20% - Accent4 23 2 3" xfId="9834" xr:uid="{00000000-0005-0000-0000-000015130000}"/>
    <cellStyle name="20% - Accent4 23 2 3 2" xfId="21122" xr:uid="{00000000-0005-0000-0000-000016130000}"/>
    <cellStyle name="20% - Accent4 23 2 4" xfId="7840" xr:uid="{00000000-0005-0000-0000-000017130000}"/>
    <cellStyle name="20% - Accent4 23 2 4 2" xfId="19128" xr:uid="{00000000-0005-0000-0000-000018130000}"/>
    <cellStyle name="20% - Accent4 23 2 5" xfId="5846" xr:uid="{00000000-0005-0000-0000-000019130000}"/>
    <cellStyle name="20% - Accent4 23 2 5 2" xfId="17134" xr:uid="{00000000-0005-0000-0000-00001A130000}"/>
    <cellStyle name="20% - Accent4 23 2 6" xfId="15140" xr:uid="{00000000-0005-0000-0000-00001B130000}"/>
    <cellStyle name="20% - Accent4 23 3" xfId="10831" xr:uid="{00000000-0005-0000-0000-00001C130000}"/>
    <cellStyle name="20% - Accent4 23 3 2" xfId="22119" xr:uid="{00000000-0005-0000-0000-00001D130000}"/>
    <cellStyle name="20% - Accent4 23 4" xfId="8837" xr:uid="{00000000-0005-0000-0000-00001E130000}"/>
    <cellStyle name="20% - Accent4 23 4 2" xfId="20125" xr:uid="{00000000-0005-0000-0000-00001F130000}"/>
    <cellStyle name="20% - Accent4 23 5" xfId="6843" xr:uid="{00000000-0005-0000-0000-000020130000}"/>
    <cellStyle name="20% - Accent4 23 5 2" xfId="18131" xr:uid="{00000000-0005-0000-0000-000021130000}"/>
    <cellStyle name="20% - Accent4 23 6" xfId="4849" xr:uid="{00000000-0005-0000-0000-000022130000}"/>
    <cellStyle name="20% - Accent4 23 6 2" xfId="16137" xr:uid="{00000000-0005-0000-0000-000023130000}"/>
    <cellStyle name="20% - Accent4 23 7" xfId="14143" xr:uid="{00000000-0005-0000-0000-000024130000}"/>
    <cellStyle name="20% - Accent4 23 8" xfId="12829" xr:uid="{00000000-0005-0000-0000-000025130000}"/>
    <cellStyle name="20% - Accent4 24" xfId="894" xr:uid="{00000000-0005-0000-0000-000026130000}"/>
    <cellStyle name="20% - Accent4 24 2" xfId="3850" xr:uid="{00000000-0005-0000-0000-000027130000}"/>
    <cellStyle name="20% - Accent4 24 2 2" xfId="11829" xr:uid="{00000000-0005-0000-0000-000028130000}"/>
    <cellStyle name="20% - Accent4 24 2 2 2" xfId="23117" xr:uid="{00000000-0005-0000-0000-000029130000}"/>
    <cellStyle name="20% - Accent4 24 2 3" xfId="9835" xr:uid="{00000000-0005-0000-0000-00002A130000}"/>
    <cellStyle name="20% - Accent4 24 2 3 2" xfId="21123" xr:uid="{00000000-0005-0000-0000-00002B130000}"/>
    <cellStyle name="20% - Accent4 24 2 4" xfId="7841" xr:uid="{00000000-0005-0000-0000-00002C130000}"/>
    <cellStyle name="20% - Accent4 24 2 4 2" xfId="19129" xr:uid="{00000000-0005-0000-0000-00002D130000}"/>
    <cellStyle name="20% - Accent4 24 2 5" xfId="5847" xr:uid="{00000000-0005-0000-0000-00002E130000}"/>
    <cellStyle name="20% - Accent4 24 2 5 2" xfId="17135" xr:uid="{00000000-0005-0000-0000-00002F130000}"/>
    <cellStyle name="20% - Accent4 24 2 6" xfId="15141" xr:uid="{00000000-0005-0000-0000-000030130000}"/>
    <cellStyle name="20% - Accent4 24 3" xfId="10832" xr:uid="{00000000-0005-0000-0000-000031130000}"/>
    <cellStyle name="20% - Accent4 24 3 2" xfId="22120" xr:uid="{00000000-0005-0000-0000-000032130000}"/>
    <cellStyle name="20% - Accent4 24 4" xfId="8838" xr:uid="{00000000-0005-0000-0000-000033130000}"/>
    <cellStyle name="20% - Accent4 24 4 2" xfId="20126" xr:uid="{00000000-0005-0000-0000-000034130000}"/>
    <cellStyle name="20% - Accent4 24 5" xfId="6844" xr:uid="{00000000-0005-0000-0000-000035130000}"/>
    <cellStyle name="20% - Accent4 24 5 2" xfId="18132" xr:uid="{00000000-0005-0000-0000-000036130000}"/>
    <cellStyle name="20% - Accent4 24 6" xfId="4850" xr:uid="{00000000-0005-0000-0000-000037130000}"/>
    <cellStyle name="20% - Accent4 24 6 2" xfId="16138" xr:uid="{00000000-0005-0000-0000-000038130000}"/>
    <cellStyle name="20% - Accent4 24 7" xfId="14144" xr:uid="{00000000-0005-0000-0000-000039130000}"/>
    <cellStyle name="20% - Accent4 24 8" xfId="12830" xr:uid="{00000000-0005-0000-0000-00003A130000}"/>
    <cellStyle name="20% - Accent4 25" xfId="895" xr:uid="{00000000-0005-0000-0000-00003B130000}"/>
    <cellStyle name="20% - Accent4 25 2" xfId="3851" xr:uid="{00000000-0005-0000-0000-00003C130000}"/>
    <cellStyle name="20% - Accent4 25 2 2" xfId="11830" xr:uid="{00000000-0005-0000-0000-00003D130000}"/>
    <cellStyle name="20% - Accent4 25 2 2 2" xfId="23118" xr:uid="{00000000-0005-0000-0000-00003E130000}"/>
    <cellStyle name="20% - Accent4 25 2 3" xfId="9836" xr:uid="{00000000-0005-0000-0000-00003F130000}"/>
    <cellStyle name="20% - Accent4 25 2 3 2" xfId="21124" xr:uid="{00000000-0005-0000-0000-000040130000}"/>
    <cellStyle name="20% - Accent4 25 2 4" xfId="7842" xr:uid="{00000000-0005-0000-0000-000041130000}"/>
    <cellStyle name="20% - Accent4 25 2 4 2" xfId="19130" xr:uid="{00000000-0005-0000-0000-000042130000}"/>
    <cellStyle name="20% - Accent4 25 2 5" xfId="5848" xr:uid="{00000000-0005-0000-0000-000043130000}"/>
    <cellStyle name="20% - Accent4 25 2 5 2" xfId="17136" xr:uid="{00000000-0005-0000-0000-000044130000}"/>
    <cellStyle name="20% - Accent4 25 2 6" xfId="15142" xr:uid="{00000000-0005-0000-0000-000045130000}"/>
    <cellStyle name="20% - Accent4 25 3" xfId="10833" xr:uid="{00000000-0005-0000-0000-000046130000}"/>
    <cellStyle name="20% - Accent4 25 3 2" xfId="22121" xr:uid="{00000000-0005-0000-0000-000047130000}"/>
    <cellStyle name="20% - Accent4 25 4" xfId="8839" xr:uid="{00000000-0005-0000-0000-000048130000}"/>
    <cellStyle name="20% - Accent4 25 4 2" xfId="20127" xr:uid="{00000000-0005-0000-0000-000049130000}"/>
    <cellStyle name="20% - Accent4 25 5" xfId="6845" xr:uid="{00000000-0005-0000-0000-00004A130000}"/>
    <cellStyle name="20% - Accent4 25 5 2" xfId="18133" xr:uid="{00000000-0005-0000-0000-00004B130000}"/>
    <cellStyle name="20% - Accent4 25 6" xfId="4851" xr:uid="{00000000-0005-0000-0000-00004C130000}"/>
    <cellStyle name="20% - Accent4 25 6 2" xfId="16139" xr:uid="{00000000-0005-0000-0000-00004D130000}"/>
    <cellStyle name="20% - Accent4 25 7" xfId="14145" xr:uid="{00000000-0005-0000-0000-00004E130000}"/>
    <cellStyle name="20% - Accent4 25 8" xfId="12831" xr:uid="{00000000-0005-0000-0000-00004F130000}"/>
    <cellStyle name="20% - Accent4 26" xfId="896" xr:uid="{00000000-0005-0000-0000-000050130000}"/>
    <cellStyle name="20% - Accent4 26 2" xfId="3852" xr:uid="{00000000-0005-0000-0000-000051130000}"/>
    <cellStyle name="20% - Accent4 26 2 2" xfId="11831" xr:uid="{00000000-0005-0000-0000-000052130000}"/>
    <cellStyle name="20% - Accent4 26 2 2 2" xfId="23119" xr:uid="{00000000-0005-0000-0000-000053130000}"/>
    <cellStyle name="20% - Accent4 26 2 3" xfId="9837" xr:uid="{00000000-0005-0000-0000-000054130000}"/>
    <cellStyle name="20% - Accent4 26 2 3 2" xfId="21125" xr:uid="{00000000-0005-0000-0000-000055130000}"/>
    <cellStyle name="20% - Accent4 26 2 4" xfId="7843" xr:uid="{00000000-0005-0000-0000-000056130000}"/>
    <cellStyle name="20% - Accent4 26 2 4 2" xfId="19131" xr:uid="{00000000-0005-0000-0000-000057130000}"/>
    <cellStyle name="20% - Accent4 26 2 5" xfId="5849" xr:uid="{00000000-0005-0000-0000-000058130000}"/>
    <cellStyle name="20% - Accent4 26 2 5 2" xfId="17137" xr:uid="{00000000-0005-0000-0000-000059130000}"/>
    <cellStyle name="20% - Accent4 26 2 6" xfId="15143" xr:uid="{00000000-0005-0000-0000-00005A130000}"/>
    <cellStyle name="20% - Accent4 26 3" xfId="10834" xr:uid="{00000000-0005-0000-0000-00005B130000}"/>
    <cellStyle name="20% - Accent4 26 3 2" xfId="22122" xr:uid="{00000000-0005-0000-0000-00005C130000}"/>
    <cellStyle name="20% - Accent4 26 4" xfId="8840" xr:uid="{00000000-0005-0000-0000-00005D130000}"/>
    <cellStyle name="20% - Accent4 26 4 2" xfId="20128" xr:uid="{00000000-0005-0000-0000-00005E130000}"/>
    <cellStyle name="20% - Accent4 26 5" xfId="6846" xr:uid="{00000000-0005-0000-0000-00005F130000}"/>
    <cellStyle name="20% - Accent4 26 5 2" xfId="18134" xr:uid="{00000000-0005-0000-0000-000060130000}"/>
    <cellStyle name="20% - Accent4 26 6" xfId="4852" xr:uid="{00000000-0005-0000-0000-000061130000}"/>
    <cellStyle name="20% - Accent4 26 6 2" xfId="16140" xr:uid="{00000000-0005-0000-0000-000062130000}"/>
    <cellStyle name="20% - Accent4 26 7" xfId="14146" xr:uid="{00000000-0005-0000-0000-000063130000}"/>
    <cellStyle name="20% - Accent4 26 8" xfId="12832" xr:uid="{00000000-0005-0000-0000-000064130000}"/>
    <cellStyle name="20% - Accent4 27" xfId="897" xr:uid="{00000000-0005-0000-0000-000065130000}"/>
    <cellStyle name="20% - Accent4 27 2" xfId="3853" xr:uid="{00000000-0005-0000-0000-000066130000}"/>
    <cellStyle name="20% - Accent4 27 2 2" xfId="11832" xr:uid="{00000000-0005-0000-0000-000067130000}"/>
    <cellStyle name="20% - Accent4 27 2 2 2" xfId="23120" xr:uid="{00000000-0005-0000-0000-000068130000}"/>
    <cellStyle name="20% - Accent4 27 2 3" xfId="9838" xr:uid="{00000000-0005-0000-0000-000069130000}"/>
    <cellStyle name="20% - Accent4 27 2 3 2" xfId="21126" xr:uid="{00000000-0005-0000-0000-00006A130000}"/>
    <cellStyle name="20% - Accent4 27 2 4" xfId="7844" xr:uid="{00000000-0005-0000-0000-00006B130000}"/>
    <cellStyle name="20% - Accent4 27 2 4 2" xfId="19132" xr:uid="{00000000-0005-0000-0000-00006C130000}"/>
    <cellStyle name="20% - Accent4 27 2 5" xfId="5850" xr:uid="{00000000-0005-0000-0000-00006D130000}"/>
    <cellStyle name="20% - Accent4 27 2 5 2" xfId="17138" xr:uid="{00000000-0005-0000-0000-00006E130000}"/>
    <cellStyle name="20% - Accent4 27 2 6" xfId="15144" xr:uid="{00000000-0005-0000-0000-00006F130000}"/>
    <cellStyle name="20% - Accent4 27 3" xfId="10835" xr:uid="{00000000-0005-0000-0000-000070130000}"/>
    <cellStyle name="20% - Accent4 27 3 2" xfId="22123" xr:uid="{00000000-0005-0000-0000-000071130000}"/>
    <cellStyle name="20% - Accent4 27 4" xfId="8841" xr:uid="{00000000-0005-0000-0000-000072130000}"/>
    <cellStyle name="20% - Accent4 27 4 2" xfId="20129" xr:uid="{00000000-0005-0000-0000-000073130000}"/>
    <cellStyle name="20% - Accent4 27 5" xfId="6847" xr:uid="{00000000-0005-0000-0000-000074130000}"/>
    <cellStyle name="20% - Accent4 27 5 2" xfId="18135" xr:uid="{00000000-0005-0000-0000-000075130000}"/>
    <cellStyle name="20% - Accent4 27 6" xfId="4853" xr:uid="{00000000-0005-0000-0000-000076130000}"/>
    <cellStyle name="20% - Accent4 27 6 2" xfId="16141" xr:uid="{00000000-0005-0000-0000-000077130000}"/>
    <cellStyle name="20% - Accent4 27 7" xfId="14147" xr:uid="{00000000-0005-0000-0000-000078130000}"/>
    <cellStyle name="20% - Accent4 27 8" xfId="12833" xr:uid="{00000000-0005-0000-0000-000079130000}"/>
    <cellStyle name="20% - Accent4 28" xfId="898" xr:uid="{00000000-0005-0000-0000-00007A130000}"/>
    <cellStyle name="20% - Accent4 28 2" xfId="3854" xr:uid="{00000000-0005-0000-0000-00007B130000}"/>
    <cellStyle name="20% - Accent4 28 2 2" xfId="11833" xr:uid="{00000000-0005-0000-0000-00007C130000}"/>
    <cellStyle name="20% - Accent4 28 2 2 2" xfId="23121" xr:uid="{00000000-0005-0000-0000-00007D130000}"/>
    <cellStyle name="20% - Accent4 28 2 3" xfId="9839" xr:uid="{00000000-0005-0000-0000-00007E130000}"/>
    <cellStyle name="20% - Accent4 28 2 3 2" xfId="21127" xr:uid="{00000000-0005-0000-0000-00007F130000}"/>
    <cellStyle name="20% - Accent4 28 2 4" xfId="7845" xr:uid="{00000000-0005-0000-0000-000080130000}"/>
    <cellStyle name="20% - Accent4 28 2 4 2" xfId="19133" xr:uid="{00000000-0005-0000-0000-000081130000}"/>
    <cellStyle name="20% - Accent4 28 2 5" xfId="5851" xr:uid="{00000000-0005-0000-0000-000082130000}"/>
    <cellStyle name="20% - Accent4 28 2 5 2" xfId="17139" xr:uid="{00000000-0005-0000-0000-000083130000}"/>
    <cellStyle name="20% - Accent4 28 2 6" xfId="15145" xr:uid="{00000000-0005-0000-0000-000084130000}"/>
    <cellStyle name="20% - Accent4 28 3" xfId="10836" xr:uid="{00000000-0005-0000-0000-000085130000}"/>
    <cellStyle name="20% - Accent4 28 3 2" xfId="22124" xr:uid="{00000000-0005-0000-0000-000086130000}"/>
    <cellStyle name="20% - Accent4 28 4" xfId="8842" xr:uid="{00000000-0005-0000-0000-000087130000}"/>
    <cellStyle name="20% - Accent4 28 4 2" xfId="20130" xr:uid="{00000000-0005-0000-0000-000088130000}"/>
    <cellStyle name="20% - Accent4 28 5" xfId="6848" xr:uid="{00000000-0005-0000-0000-000089130000}"/>
    <cellStyle name="20% - Accent4 28 5 2" xfId="18136" xr:uid="{00000000-0005-0000-0000-00008A130000}"/>
    <cellStyle name="20% - Accent4 28 6" xfId="4854" xr:uid="{00000000-0005-0000-0000-00008B130000}"/>
    <cellStyle name="20% - Accent4 28 6 2" xfId="16142" xr:uid="{00000000-0005-0000-0000-00008C130000}"/>
    <cellStyle name="20% - Accent4 28 7" xfId="14148" xr:uid="{00000000-0005-0000-0000-00008D130000}"/>
    <cellStyle name="20% - Accent4 28 8" xfId="12834" xr:uid="{00000000-0005-0000-0000-00008E130000}"/>
    <cellStyle name="20% - Accent4 29" xfId="899" xr:uid="{00000000-0005-0000-0000-00008F130000}"/>
    <cellStyle name="20% - Accent4 29 2" xfId="3855" xr:uid="{00000000-0005-0000-0000-000090130000}"/>
    <cellStyle name="20% - Accent4 29 2 2" xfId="11834" xr:uid="{00000000-0005-0000-0000-000091130000}"/>
    <cellStyle name="20% - Accent4 29 2 2 2" xfId="23122" xr:uid="{00000000-0005-0000-0000-000092130000}"/>
    <cellStyle name="20% - Accent4 29 2 3" xfId="9840" xr:uid="{00000000-0005-0000-0000-000093130000}"/>
    <cellStyle name="20% - Accent4 29 2 3 2" xfId="21128" xr:uid="{00000000-0005-0000-0000-000094130000}"/>
    <cellStyle name="20% - Accent4 29 2 4" xfId="7846" xr:uid="{00000000-0005-0000-0000-000095130000}"/>
    <cellStyle name="20% - Accent4 29 2 4 2" xfId="19134" xr:uid="{00000000-0005-0000-0000-000096130000}"/>
    <cellStyle name="20% - Accent4 29 2 5" xfId="5852" xr:uid="{00000000-0005-0000-0000-000097130000}"/>
    <cellStyle name="20% - Accent4 29 2 5 2" xfId="17140" xr:uid="{00000000-0005-0000-0000-000098130000}"/>
    <cellStyle name="20% - Accent4 29 2 6" xfId="15146" xr:uid="{00000000-0005-0000-0000-000099130000}"/>
    <cellStyle name="20% - Accent4 29 3" xfId="10837" xr:uid="{00000000-0005-0000-0000-00009A130000}"/>
    <cellStyle name="20% - Accent4 29 3 2" xfId="22125" xr:uid="{00000000-0005-0000-0000-00009B130000}"/>
    <cellStyle name="20% - Accent4 29 4" xfId="8843" xr:uid="{00000000-0005-0000-0000-00009C130000}"/>
    <cellStyle name="20% - Accent4 29 4 2" xfId="20131" xr:uid="{00000000-0005-0000-0000-00009D130000}"/>
    <cellStyle name="20% - Accent4 29 5" xfId="6849" xr:uid="{00000000-0005-0000-0000-00009E130000}"/>
    <cellStyle name="20% - Accent4 29 5 2" xfId="18137" xr:uid="{00000000-0005-0000-0000-00009F130000}"/>
    <cellStyle name="20% - Accent4 29 6" xfId="4855" xr:uid="{00000000-0005-0000-0000-0000A0130000}"/>
    <cellStyle name="20% - Accent4 29 6 2" xfId="16143" xr:uid="{00000000-0005-0000-0000-0000A1130000}"/>
    <cellStyle name="20% - Accent4 29 7" xfId="14149" xr:uid="{00000000-0005-0000-0000-0000A2130000}"/>
    <cellStyle name="20% - Accent4 29 8" xfId="12835" xr:uid="{00000000-0005-0000-0000-0000A3130000}"/>
    <cellStyle name="20% - Accent4 3" xfId="900" xr:uid="{00000000-0005-0000-0000-0000A4130000}"/>
    <cellStyle name="20% - Accent4 3 10" xfId="24578" xr:uid="{00000000-0005-0000-0000-0000A5130000}"/>
    <cellStyle name="20% - Accent4 3 11" xfId="24968" xr:uid="{00000000-0005-0000-0000-0000A6130000}"/>
    <cellStyle name="20% - Accent4 3 2" xfId="3856" xr:uid="{00000000-0005-0000-0000-0000A7130000}"/>
    <cellStyle name="20% - Accent4 3 2 2" xfId="11835" xr:uid="{00000000-0005-0000-0000-0000A8130000}"/>
    <cellStyle name="20% - Accent4 3 2 2 2" xfId="23123" xr:uid="{00000000-0005-0000-0000-0000A9130000}"/>
    <cellStyle name="20% - Accent4 3 2 3" xfId="9841" xr:uid="{00000000-0005-0000-0000-0000AA130000}"/>
    <cellStyle name="20% - Accent4 3 2 3 2" xfId="21129" xr:uid="{00000000-0005-0000-0000-0000AB130000}"/>
    <cellStyle name="20% - Accent4 3 2 4" xfId="7847" xr:uid="{00000000-0005-0000-0000-0000AC130000}"/>
    <cellStyle name="20% - Accent4 3 2 4 2" xfId="19135" xr:uid="{00000000-0005-0000-0000-0000AD130000}"/>
    <cellStyle name="20% - Accent4 3 2 5" xfId="5853" xr:uid="{00000000-0005-0000-0000-0000AE130000}"/>
    <cellStyle name="20% - Accent4 3 2 5 2" xfId="17141" xr:uid="{00000000-0005-0000-0000-0000AF130000}"/>
    <cellStyle name="20% - Accent4 3 2 6" xfId="15147" xr:uid="{00000000-0005-0000-0000-0000B0130000}"/>
    <cellStyle name="20% - Accent4 3 2 7" xfId="24339" xr:uid="{00000000-0005-0000-0000-0000B1130000}"/>
    <cellStyle name="20% - Accent4 3 2 8" xfId="24803" xr:uid="{00000000-0005-0000-0000-0000B2130000}"/>
    <cellStyle name="20% - Accent4 3 2 9" xfId="25170" xr:uid="{00000000-0005-0000-0000-0000B3130000}"/>
    <cellStyle name="20% - Accent4 3 3" xfId="10838" xr:uid="{00000000-0005-0000-0000-0000B4130000}"/>
    <cellStyle name="20% - Accent4 3 3 2" xfId="22126" xr:uid="{00000000-0005-0000-0000-0000B5130000}"/>
    <cellStyle name="20% - Accent4 3 4" xfId="8844" xr:uid="{00000000-0005-0000-0000-0000B6130000}"/>
    <cellStyle name="20% - Accent4 3 4 2" xfId="20132" xr:uid="{00000000-0005-0000-0000-0000B7130000}"/>
    <cellStyle name="20% - Accent4 3 5" xfId="6850" xr:uid="{00000000-0005-0000-0000-0000B8130000}"/>
    <cellStyle name="20% - Accent4 3 5 2" xfId="18138" xr:uid="{00000000-0005-0000-0000-0000B9130000}"/>
    <cellStyle name="20% - Accent4 3 6" xfId="4856" xr:uid="{00000000-0005-0000-0000-0000BA130000}"/>
    <cellStyle name="20% - Accent4 3 6 2" xfId="16144" xr:uid="{00000000-0005-0000-0000-0000BB130000}"/>
    <cellStyle name="20% - Accent4 3 7" xfId="14150" xr:uid="{00000000-0005-0000-0000-0000BC130000}"/>
    <cellStyle name="20% - Accent4 3 8" xfId="12836" xr:uid="{00000000-0005-0000-0000-0000BD130000}"/>
    <cellStyle name="20% - Accent4 3 9" xfId="23951" xr:uid="{00000000-0005-0000-0000-0000BE130000}"/>
    <cellStyle name="20% - Accent4 30" xfId="901" xr:uid="{00000000-0005-0000-0000-0000BF130000}"/>
    <cellStyle name="20% - Accent4 30 2" xfId="3857" xr:uid="{00000000-0005-0000-0000-0000C0130000}"/>
    <cellStyle name="20% - Accent4 30 2 2" xfId="11836" xr:uid="{00000000-0005-0000-0000-0000C1130000}"/>
    <cellStyle name="20% - Accent4 30 2 2 2" xfId="23124" xr:uid="{00000000-0005-0000-0000-0000C2130000}"/>
    <cellStyle name="20% - Accent4 30 2 3" xfId="9842" xr:uid="{00000000-0005-0000-0000-0000C3130000}"/>
    <cellStyle name="20% - Accent4 30 2 3 2" xfId="21130" xr:uid="{00000000-0005-0000-0000-0000C4130000}"/>
    <cellStyle name="20% - Accent4 30 2 4" xfId="7848" xr:uid="{00000000-0005-0000-0000-0000C5130000}"/>
    <cellStyle name="20% - Accent4 30 2 4 2" xfId="19136" xr:uid="{00000000-0005-0000-0000-0000C6130000}"/>
    <cellStyle name="20% - Accent4 30 2 5" xfId="5854" xr:uid="{00000000-0005-0000-0000-0000C7130000}"/>
    <cellStyle name="20% - Accent4 30 2 5 2" xfId="17142" xr:uid="{00000000-0005-0000-0000-0000C8130000}"/>
    <cellStyle name="20% - Accent4 30 2 6" xfId="15148" xr:uid="{00000000-0005-0000-0000-0000C9130000}"/>
    <cellStyle name="20% - Accent4 30 3" xfId="10839" xr:uid="{00000000-0005-0000-0000-0000CA130000}"/>
    <cellStyle name="20% - Accent4 30 3 2" xfId="22127" xr:uid="{00000000-0005-0000-0000-0000CB130000}"/>
    <cellStyle name="20% - Accent4 30 4" xfId="8845" xr:uid="{00000000-0005-0000-0000-0000CC130000}"/>
    <cellStyle name="20% - Accent4 30 4 2" xfId="20133" xr:uid="{00000000-0005-0000-0000-0000CD130000}"/>
    <cellStyle name="20% - Accent4 30 5" xfId="6851" xr:uid="{00000000-0005-0000-0000-0000CE130000}"/>
    <cellStyle name="20% - Accent4 30 5 2" xfId="18139" xr:uid="{00000000-0005-0000-0000-0000CF130000}"/>
    <cellStyle name="20% - Accent4 30 6" xfId="4857" xr:uid="{00000000-0005-0000-0000-0000D0130000}"/>
    <cellStyle name="20% - Accent4 30 6 2" xfId="16145" xr:uid="{00000000-0005-0000-0000-0000D1130000}"/>
    <cellStyle name="20% - Accent4 30 7" xfId="14151" xr:uid="{00000000-0005-0000-0000-0000D2130000}"/>
    <cellStyle name="20% - Accent4 30 8" xfId="12837" xr:uid="{00000000-0005-0000-0000-0000D3130000}"/>
    <cellStyle name="20% - Accent4 31" xfId="902" xr:uid="{00000000-0005-0000-0000-0000D4130000}"/>
    <cellStyle name="20% - Accent4 31 2" xfId="3858" xr:uid="{00000000-0005-0000-0000-0000D5130000}"/>
    <cellStyle name="20% - Accent4 31 2 2" xfId="11837" xr:uid="{00000000-0005-0000-0000-0000D6130000}"/>
    <cellStyle name="20% - Accent4 31 2 2 2" xfId="23125" xr:uid="{00000000-0005-0000-0000-0000D7130000}"/>
    <cellStyle name="20% - Accent4 31 2 3" xfId="9843" xr:uid="{00000000-0005-0000-0000-0000D8130000}"/>
    <cellStyle name="20% - Accent4 31 2 3 2" xfId="21131" xr:uid="{00000000-0005-0000-0000-0000D9130000}"/>
    <cellStyle name="20% - Accent4 31 2 4" xfId="7849" xr:uid="{00000000-0005-0000-0000-0000DA130000}"/>
    <cellStyle name="20% - Accent4 31 2 4 2" xfId="19137" xr:uid="{00000000-0005-0000-0000-0000DB130000}"/>
    <cellStyle name="20% - Accent4 31 2 5" xfId="5855" xr:uid="{00000000-0005-0000-0000-0000DC130000}"/>
    <cellStyle name="20% - Accent4 31 2 5 2" xfId="17143" xr:uid="{00000000-0005-0000-0000-0000DD130000}"/>
    <cellStyle name="20% - Accent4 31 2 6" xfId="15149" xr:uid="{00000000-0005-0000-0000-0000DE130000}"/>
    <cellStyle name="20% - Accent4 31 3" xfId="10840" xr:uid="{00000000-0005-0000-0000-0000DF130000}"/>
    <cellStyle name="20% - Accent4 31 3 2" xfId="22128" xr:uid="{00000000-0005-0000-0000-0000E0130000}"/>
    <cellStyle name="20% - Accent4 31 4" xfId="8846" xr:uid="{00000000-0005-0000-0000-0000E1130000}"/>
    <cellStyle name="20% - Accent4 31 4 2" xfId="20134" xr:uid="{00000000-0005-0000-0000-0000E2130000}"/>
    <cellStyle name="20% - Accent4 31 5" xfId="6852" xr:uid="{00000000-0005-0000-0000-0000E3130000}"/>
    <cellStyle name="20% - Accent4 31 5 2" xfId="18140" xr:uid="{00000000-0005-0000-0000-0000E4130000}"/>
    <cellStyle name="20% - Accent4 31 6" xfId="4858" xr:uid="{00000000-0005-0000-0000-0000E5130000}"/>
    <cellStyle name="20% - Accent4 31 6 2" xfId="16146" xr:uid="{00000000-0005-0000-0000-0000E6130000}"/>
    <cellStyle name="20% - Accent4 31 7" xfId="14152" xr:uid="{00000000-0005-0000-0000-0000E7130000}"/>
    <cellStyle name="20% - Accent4 31 8" xfId="12838" xr:uid="{00000000-0005-0000-0000-0000E8130000}"/>
    <cellStyle name="20% - Accent4 32" xfId="903" xr:uid="{00000000-0005-0000-0000-0000E9130000}"/>
    <cellStyle name="20% - Accent4 32 2" xfId="3859" xr:uid="{00000000-0005-0000-0000-0000EA130000}"/>
    <cellStyle name="20% - Accent4 32 2 2" xfId="11838" xr:uid="{00000000-0005-0000-0000-0000EB130000}"/>
    <cellStyle name="20% - Accent4 32 2 2 2" xfId="23126" xr:uid="{00000000-0005-0000-0000-0000EC130000}"/>
    <cellStyle name="20% - Accent4 32 2 3" xfId="9844" xr:uid="{00000000-0005-0000-0000-0000ED130000}"/>
    <cellStyle name="20% - Accent4 32 2 3 2" xfId="21132" xr:uid="{00000000-0005-0000-0000-0000EE130000}"/>
    <cellStyle name="20% - Accent4 32 2 4" xfId="7850" xr:uid="{00000000-0005-0000-0000-0000EF130000}"/>
    <cellStyle name="20% - Accent4 32 2 4 2" xfId="19138" xr:uid="{00000000-0005-0000-0000-0000F0130000}"/>
    <cellStyle name="20% - Accent4 32 2 5" xfId="5856" xr:uid="{00000000-0005-0000-0000-0000F1130000}"/>
    <cellStyle name="20% - Accent4 32 2 5 2" xfId="17144" xr:uid="{00000000-0005-0000-0000-0000F2130000}"/>
    <cellStyle name="20% - Accent4 32 2 6" xfId="15150" xr:uid="{00000000-0005-0000-0000-0000F3130000}"/>
    <cellStyle name="20% - Accent4 32 3" xfId="10841" xr:uid="{00000000-0005-0000-0000-0000F4130000}"/>
    <cellStyle name="20% - Accent4 32 3 2" xfId="22129" xr:uid="{00000000-0005-0000-0000-0000F5130000}"/>
    <cellStyle name="20% - Accent4 32 4" xfId="8847" xr:uid="{00000000-0005-0000-0000-0000F6130000}"/>
    <cellStyle name="20% - Accent4 32 4 2" xfId="20135" xr:uid="{00000000-0005-0000-0000-0000F7130000}"/>
    <cellStyle name="20% - Accent4 32 5" xfId="6853" xr:uid="{00000000-0005-0000-0000-0000F8130000}"/>
    <cellStyle name="20% - Accent4 32 5 2" xfId="18141" xr:uid="{00000000-0005-0000-0000-0000F9130000}"/>
    <cellStyle name="20% - Accent4 32 6" xfId="4859" xr:uid="{00000000-0005-0000-0000-0000FA130000}"/>
    <cellStyle name="20% - Accent4 32 6 2" xfId="16147" xr:uid="{00000000-0005-0000-0000-0000FB130000}"/>
    <cellStyle name="20% - Accent4 32 7" xfId="14153" xr:uid="{00000000-0005-0000-0000-0000FC130000}"/>
    <cellStyle name="20% - Accent4 32 8" xfId="12839" xr:uid="{00000000-0005-0000-0000-0000FD130000}"/>
    <cellStyle name="20% - Accent4 33" xfId="904" xr:uid="{00000000-0005-0000-0000-0000FE130000}"/>
    <cellStyle name="20% - Accent4 33 2" xfId="3860" xr:uid="{00000000-0005-0000-0000-0000FF130000}"/>
    <cellStyle name="20% - Accent4 33 2 2" xfId="11839" xr:uid="{00000000-0005-0000-0000-000000140000}"/>
    <cellStyle name="20% - Accent4 33 2 2 2" xfId="23127" xr:uid="{00000000-0005-0000-0000-000001140000}"/>
    <cellStyle name="20% - Accent4 33 2 3" xfId="9845" xr:uid="{00000000-0005-0000-0000-000002140000}"/>
    <cellStyle name="20% - Accent4 33 2 3 2" xfId="21133" xr:uid="{00000000-0005-0000-0000-000003140000}"/>
    <cellStyle name="20% - Accent4 33 2 4" xfId="7851" xr:uid="{00000000-0005-0000-0000-000004140000}"/>
    <cellStyle name="20% - Accent4 33 2 4 2" xfId="19139" xr:uid="{00000000-0005-0000-0000-000005140000}"/>
    <cellStyle name="20% - Accent4 33 2 5" xfId="5857" xr:uid="{00000000-0005-0000-0000-000006140000}"/>
    <cellStyle name="20% - Accent4 33 2 5 2" xfId="17145" xr:uid="{00000000-0005-0000-0000-000007140000}"/>
    <cellStyle name="20% - Accent4 33 2 6" xfId="15151" xr:uid="{00000000-0005-0000-0000-000008140000}"/>
    <cellStyle name="20% - Accent4 33 3" xfId="10842" xr:uid="{00000000-0005-0000-0000-000009140000}"/>
    <cellStyle name="20% - Accent4 33 3 2" xfId="22130" xr:uid="{00000000-0005-0000-0000-00000A140000}"/>
    <cellStyle name="20% - Accent4 33 4" xfId="8848" xr:uid="{00000000-0005-0000-0000-00000B140000}"/>
    <cellStyle name="20% - Accent4 33 4 2" xfId="20136" xr:uid="{00000000-0005-0000-0000-00000C140000}"/>
    <cellStyle name="20% - Accent4 33 5" xfId="6854" xr:uid="{00000000-0005-0000-0000-00000D140000}"/>
    <cellStyle name="20% - Accent4 33 5 2" xfId="18142" xr:uid="{00000000-0005-0000-0000-00000E140000}"/>
    <cellStyle name="20% - Accent4 33 6" xfId="4860" xr:uid="{00000000-0005-0000-0000-00000F140000}"/>
    <cellStyle name="20% - Accent4 33 6 2" xfId="16148" xr:uid="{00000000-0005-0000-0000-000010140000}"/>
    <cellStyle name="20% - Accent4 33 7" xfId="14154" xr:uid="{00000000-0005-0000-0000-000011140000}"/>
    <cellStyle name="20% - Accent4 33 8" xfId="12840" xr:uid="{00000000-0005-0000-0000-000012140000}"/>
    <cellStyle name="20% - Accent4 34" xfId="905" xr:uid="{00000000-0005-0000-0000-000013140000}"/>
    <cellStyle name="20% - Accent4 34 2" xfId="3861" xr:uid="{00000000-0005-0000-0000-000014140000}"/>
    <cellStyle name="20% - Accent4 34 2 2" xfId="11840" xr:uid="{00000000-0005-0000-0000-000015140000}"/>
    <cellStyle name="20% - Accent4 34 2 2 2" xfId="23128" xr:uid="{00000000-0005-0000-0000-000016140000}"/>
    <cellStyle name="20% - Accent4 34 2 3" xfId="9846" xr:uid="{00000000-0005-0000-0000-000017140000}"/>
    <cellStyle name="20% - Accent4 34 2 3 2" xfId="21134" xr:uid="{00000000-0005-0000-0000-000018140000}"/>
    <cellStyle name="20% - Accent4 34 2 4" xfId="7852" xr:uid="{00000000-0005-0000-0000-000019140000}"/>
    <cellStyle name="20% - Accent4 34 2 4 2" xfId="19140" xr:uid="{00000000-0005-0000-0000-00001A140000}"/>
    <cellStyle name="20% - Accent4 34 2 5" xfId="5858" xr:uid="{00000000-0005-0000-0000-00001B140000}"/>
    <cellStyle name="20% - Accent4 34 2 5 2" xfId="17146" xr:uid="{00000000-0005-0000-0000-00001C140000}"/>
    <cellStyle name="20% - Accent4 34 2 6" xfId="15152" xr:uid="{00000000-0005-0000-0000-00001D140000}"/>
    <cellStyle name="20% - Accent4 34 3" xfId="10843" xr:uid="{00000000-0005-0000-0000-00001E140000}"/>
    <cellStyle name="20% - Accent4 34 3 2" xfId="22131" xr:uid="{00000000-0005-0000-0000-00001F140000}"/>
    <cellStyle name="20% - Accent4 34 4" xfId="8849" xr:uid="{00000000-0005-0000-0000-000020140000}"/>
    <cellStyle name="20% - Accent4 34 4 2" xfId="20137" xr:uid="{00000000-0005-0000-0000-000021140000}"/>
    <cellStyle name="20% - Accent4 34 5" xfId="6855" xr:uid="{00000000-0005-0000-0000-000022140000}"/>
    <cellStyle name="20% - Accent4 34 5 2" xfId="18143" xr:uid="{00000000-0005-0000-0000-000023140000}"/>
    <cellStyle name="20% - Accent4 34 6" xfId="4861" xr:uid="{00000000-0005-0000-0000-000024140000}"/>
    <cellStyle name="20% - Accent4 34 6 2" xfId="16149" xr:uid="{00000000-0005-0000-0000-000025140000}"/>
    <cellStyle name="20% - Accent4 34 7" xfId="14155" xr:uid="{00000000-0005-0000-0000-000026140000}"/>
    <cellStyle name="20% - Accent4 34 8" xfId="12841" xr:uid="{00000000-0005-0000-0000-000027140000}"/>
    <cellStyle name="20% - Accent4 35" xfId="906" xr:uid="{00000000-0005-0000-0000-000028140000}"/>
    <cellStyle name="20% - Accent4 35 2" xfId="3862" xr:uid="{00000000-0005-0000-0000-000029140000}"/>
    <cellStyle name="20% - Accent4 35 2 2" xfId="11841" xr:uid="{00000000-0005-0000-0000-00002A140000}"/>
    <cellStyle name="20% - Accent4 35 2 2 2" xfId="23129" xr:uid="{00000000-0005-0000-0000-00002B140000}"/>
    <cellStyle name="20% - Accent4 35 2 3" xfId="9847" xr:uid="{00000000-0005-0000-0000-00002C140000}"/>
    <cellStyle name="20% - Accent4 35 2 3 2" xfId="21135" xr:uid="{00000000-0005-0000-0000-00002D140000}"/>
    <cellStyle name="20% - Accent4 35 2 4" xfId="7853" xr:uid="{00000000-0005-0000-0000-00002E140000}"/>
    <cellStyle name="20% - Accent4 35 2 4 2" xfId="19141" xr:uid="{00000000-0005-0000-0000-00002F140000}"/>
    <cellStyle name="20% - Accent4 35 2 5" xfId="5859" xr:uid="{00000000-0005-0000-0000-000030140000}"/>
    <cellStyle name="20% - Accent4 35 2 5 2" xfId="17147" xr:uid="{00000000-0005-0000-0000-000031140000}"/>
    <cellStyle name="20% - Accent4 35 2 6" xfId="15153" xr:uid="{00000000-0005-0000-0000-000032140000}"/>
    <cellStyle name="20% - Accent4 35 3" xfId="10844" xr:uid="{00000000-0005-0000-0000-000033140000}"/>
    <cellStyle name="20% - Accent4 35 3 2" xfId="22132" xr:uid="{00000000-0005-0000-0000-000034140000}"/>
    <cellStyle name="20% - Accent4 35 4" xfId="8850" xr:uid="{00000000-0005-0000-0000-000035140000}"/>
    <cellStyle name="20% - Accent4 35 4 2" xfId="20138" xr:uid="{00000000-0005-0000-0000-000036140000}"/>
    <cellStyle name="20% - Accent4 35 5" xfId="6856" xr:uid="{00000000-0005-0000-0000-000037140000}"/>
    <cellStyle name="20% - Accent4 35 5 2" xfId="18144" xr:uid="{00000000-0005-0000-0000-000038140000}"/>
    <cellStyle name="20% - Accent4 35 6" xfId="4862" xr:uid="{00000000-0005-0000-0000-000039140000}"/>
    <cellStyle name="20% - Accent4 35 6 2" xfId="16150" xr:uid="{00000000-0005-0000-0000-00003A140000}"/>
    <cellStyle name="20% - Accent4 35 7" xfId="14156" xr:uid="{00000000-0005-0000-0000-00003B140000}"/>
    <cellStyle name="20% - Accent4 35 8" xfId="12842" xr:uid="{00000000-0005-0000-0000-00003C140000}"/>
    <cellStyle name="20% - Accent4 36" xfId="907" xr:uid="{00000000-0005-0000-0000-00003D140000}"/>
    <cellStyle name="20% - Accent4 36 2" xfId="3863" xr:uid="{00000000-0005-0000-0000-00003E140000}"/>
    <cellStyle name="20% - Accent4 36 2 2" xfId="11842" xr:uid="{00000000-0005-0000-0000-00003F140000}"/>
    <cellStyle name="20% - Accent4 36 2 2 2" xfId="23130" xr:uid="{00000000-0005-0000-0000-000040140000}"/>
    <cellStyle name="20% - Accent4 36 2 3" xfId="9848" xr:uid="{00000000-0005-0000-0000-000041140000}"/>
    <cellStyle name="20% - Accent4 36 2 3 2" xfId="21136" xr:uid="{00000000-0005-0000-0000-000042140000}"/>
    <cellStyle name="20% - Accent4 36 2 4" xfId="7854" xr:uid="{00000000-0005-0000-0000-000043140000}"/>
    <cellStyle name="20% - Accent4 36 2 4 2" xfId="19142" xr:uid="{00000000-0005-0000-0000-000044140000}"/>
    <cellStyle name="20% - Accent4 36 2 5" xfId="5860" xr:uid="{00000000-0005-0000-0000-000045140000}"/>
    <cellStyle name="20% - Accent4 36 2 5 2" xfId="17148" xr:uid="{00000000-0005-0000-0000-000046140000}"/>
    <cellStyle name="20% - Accent4 36 2 6" xfId="15154" xr:uid="{00000000-0005-0000-0000-000047140000}"/>
    <cellStyle name="20% - Accent4 36 3" xfId="10845" xr:uid="{00000000-0005-0000-0000-000048140000}"/>
    <cellStyle name="20% - Accent4 36 3 2" xfId="22133" xr:uid="{00000000-0005-0000-0000-000049140000}"/>
    <cellStyle name="20% - Accent4 36 4" xfId="8851" xr:uid="{00000000-0005-0000-0000-00004A140000}"/>
    <cellStyle name="20% - Accent4 36 4 2" xfId="20139" xr:uid="{00000000-0005-0000-0000-00004B140000}"/>
    <cellStyle name="20% - Accent4 36 5" xfId="6857" xr:uid="{00000000-0005-0000-0000-00004C140000}"/>
    <cellStyle name="20% - Accent4 36 5 2" xfId="18145" xr:uid="{00000000-0005-0000-0000-00004D140000}"/>
    <cellStyle name="20% - Accent4 36 6" xfId="4863" xr:uid="{00000000-0005-0000-0000-00004E140000}"/>
    <cellStyle name="20% - Accent4 36 6 2" xfId="16151" xr:uid="{00000000-0005-0000-0000-00004F140000}"/>
    <cellStyle name="20% - Accent4 36 7" xfId="14157" xr:uid="{00000000-0005-0000-0000-000050140000}"/>
    <cellStyle name="20% - Accent4 36 8" xfId="12843" xr:uid="{00000000-0005-0000-0000-000051140000}"/>
    <cellStyle name="20% - Accent4 37" xfId="908" xr:uid="{00000000-0005-0000-0000-000052140000}"/>
    <cellStyle name="20% - Accent4 37 2" xfId="3864" xr:uid="{00000000-0005-0000-0000-000053140000}"/>
    <cellStyle name="20% - Accent4 37 2 2" xfId="11843" xr:uid="{00000000-0005-0000-0000-000054140000}"/>
    <cellStyle name="20% - Accent4 37 2 2 2" xfId="23131" xr:uid="{00000000-0005-0000-0000-000055140000}"/>
    <cellStyle name="20% - Accent4 37 2 3" xfId="9849" xr:uid="{00000000-0005-0000-0000-000056140000}"/>
    <cellStyle name="20% - Accent4 37 2 3 2" xfId="21137" xr:uid="{00000000-0005-0000-0000-000057140000}"/>
    <cellStyle name="20% - Accent4 37 2 4" xfId="7855" xr:uid="{00000000-0005-0000-0000-000058140000}"/>
    <cellStyle name="20% - Accent4 37 2 4 2" xfId="19143" xr:uid="{00000000-0005-0000-0000-000059140000}"/>
    <cellStyle name="20% - Accent4 37 2 5" xfId="5861" xr:uid="{00000000-0005-0000-0000-00005A140000}"/>
    <cellStyle name="20% - Accent4 37 2 5 2" xfId="17149" xr:uid="{00000000-0005-0000-0000-00005B140000}"/>
    <cellStyle name="20% - Accent4 37 2 6" xfId="15155" xr:uid="{00000000-0005-0000-0000-00005C140000}"/>
    <cellStyle name="20% - Accent4 37 3" xfId="10846" xr:uid="{00000000-0005-0000-0000-00005D140000}"/>
    <cellStyle name="20% - Accent4 37 3 2" xfId="22134" xr:uid="{00000000-0005-0000-0000-00005E140000}"/>
    <cellStyle name="20% - Accent4 37 4" xfId="8852" xr:uid="{00000000-0005-0000-0000-00005F140000}"/>
    <cellStyle name="20% - Accent4 37 4 2" xfId="20140" xr:uid="{00000000-0005-0000-0000-000060140000}"/>
    <cellStyle name="20% - Accent4 37 5" xfId="6858" xr:uid="{00000000-0005-0000-0000-000061140000}"/>
    <cellStyle name="20% - Accent4 37 5 2" xfId="18146" xr:uid="{00000000-0005-0000-0000-000062140000}"/>
    <cellStyle name="20% - Accent4 37 6" xfId="4864" xr:uid="{00000000-0005-0000-0000-000063140000}"/>
    <cellStyle name="20% - Accent4 37 6 2" xfId="16152" xr:uid="{00000000-0005-0000-0000-000064140000}"/>
    <cellStyle name="20% - Accent4 37 7" xfId="14158" xr:uid="{00000000-0005-0000-0000-000065140000}"/>
    <cellStyle name="20% - Accent4 37 8" xfId="12844" xr:uid="{00000000-0005-0000-0000-000066140000}"/>
    <cellStyle name="20% - Accent4 38" xfId="909" xr:uid="{00000000-0005-0000-0000-000067140000}"/>
    <cellStyle name="20% - Accent4 38 2" xfId="3865" xr:uid="{00000000-0005-0000-0000-000068140000}"/>
    <cellStyle name="20% - Accent4 38 2 2" xfId="11844" xr:uid="{00000000-0005-0000-0000-000069140000}"/>
    <cellStyle name="20% - Accent4 38 2 2 2" xfId="23132" xr:uid="{00000000-0005-0000-0000-00006A140000}"/>
    <cellStyle name="20% - Accent4 38 2 3" xfId="9850" xr:uid="{00000000-0005-0000-0000-00006B140000}"/>
    <cellStyle name="20% - Accent4 38 2 3 2" xfId="21138" xr:uid="{00000000-0005-0000-0000-00006C140000}"/>
    <cellStyle name="20% - Accent4 38 2 4" xfId="7856" xr:uid="{00000000-0005-0000-0000-00006D140000}"/>
    <cellStyle name="20% - Accent4 38 2 4 2" xfId="19144" xr:uid="{00000000-0005-0000-0000-00006E140000}"/>
    <cellStyle name="20% - Accent4 38 2 5" xfId="5862" xr:uid="{00000000-0005-0000-0000-00006F140000}"/>
    <cellStyle name="20% - Accent4 38 2 5 2" xfId="17150" xr:uid="{00000000-0005-0000-0000-000070140000}"/>
    <cellStyle name="20% - Accent4 38 2 6" xfId="15156" xr:uid="{00000000-0005-0000-0000-000071140000}"/>
    <cellStyle name="20% - Accent4 38 3" xfId="10847" xr:uid="{00000000-0005-0000-0000-000072140000}"/>
    <cellStyle name="20% - Accent4 38 3 2" xfId="22135" xr:uid="{00000000-0005-0000-0000-000073140000}"/>
    <cellStyle name="20% - Accent4 38 4" xfId="8853" xr:uid="{00000000-0005-0000-0000-000074140000}"/>
    <cellStyle name="20% - Accent4 38 4 2" xfId="20141" xr:uid="{00000000-0005-0000-0000-000075140000}"/>
    <cellStyle name="20% - Accent4 38 5" xfId="6859" xr:uid="{00000000-0005-0000-0000-000076140000}"/>
    <cellStyle name="20% - Accent4 38 5 2" xfId="18147" xr:uid="{00000000-0005-0000-0000-000077140000}"/>
    <cellStyle name="20% - Accent4 38 6" xfId="4865" xr:uid="{00000000-0005-0000-0000-000078140000}"/>
    <cellStyle name="20% - Accent4 38 6 2" xfId="16153" xr:uid="{00000000-0005-0000-0000-000079140000}"/>
    <cellStyle name="20% - Accent4 38 7" xfId="14159" xr:uid="{00000000-0005-0000-0000-00007A140000}"/>
    <cellStyle name="20% - Accent4 38 8" xfId="12845" xr:uid="{00000000-0005-0000-0000-00007B140000}"/>
    <cellStyle name="20% - Accent4 39" xfId="910" xr:uid="{00000000-0005-0000-0000-00007C140000}"/>
    <cellStyle name="20% - Accent4 39 2" xfId="3866" xr:uid="{00000000-0005-0000-0000-00007D140000}"/>
    <cellStyle name="20% - Accent4 39 2 2" xfId="11845" xr:uid="{00000000-0005-0000-0000-00007E140000}"/>
    <cellStyle name="20% - Accent4 39 2 2 2" xfId="23133" xr:uid="{00000000-0005-0000-0000-00007F140000}"/>
    <cellStyle name="20% - Accent4 39 2 3" xfId="9851" xr:uid="{00000000-0005-0000-0000-000080140000}"/>
    <cellStyle name="20% - Accent4 39 2 3 2" xfId="21139" xr:uid="{00000000-0005-0000-0000-000081140000}"/>
    <cellStyle name="20% - Accent4 39 2 4" xfId="7857" xr:uid="{00000000-0005-0000-0000-000082140000}"/>
    <cellStyle name="20% - Accent4 39 2 4 2" xfId="19145" xr:uid="{00000000-0005-0000-0000-000083140000}"/>
    <cellStyle name="20% - Accent4 39 2 5" xfId="5863" xr:uid="{00000000-0005-0000-0000-000084140000}"/>
    <cellStyle name="20% - Accent4 39 2 5 2" xfId="17151" xr:uid="{00000000-0005-0000-0000-000085140000}"/>
    <cellStyle name="20% - Accent4 39 2 6" xfId="15157" xr:uid="{00000000-0005-0000-0000-000086140000}"/>
    <cellStyle name="20% - Accent4 39 3" xfId="10848" xr:uid="{00000000-0005-0000-0000-000087140000}"/>
    <cellStyle name="20% - Accent4 39 3 2" xfId="22136" xr:uid="{00000000-0005-0000-0000-000088140000}"/>
    <cellStyle name="20% - Accent4 39 4" xfId="8854" xr:uid="{00000000-0005-0000-0000-000089140000}"/>
    <cellStyle name="20% - Accent4 39 4 2" xfId="20142" xr:uid="{00000000-0005-0000-0000-00008A140000}"/>
    <cellStyle name="20% - Accent4 39 5" xfId="6860" xr:uid="{00000000-0005-0000-0000-00008B140000}"/>
    <cellStyle name="20% - Accent4 39 5 2" xfId="18148" xr:uid="{00000000-0005-0000-0000-00008C140000}"/>
    <cellStyle name="20% - Accent4 39 6" xfId="4866" xr:uid="{00000000-0005-0000-0000-00008D140000}"/>
    <cellStyle name="20% - Accent4 39 6 2" xfId="16154" xr:uid="{00000000-0005-0000-0000-00008E140000}"/>
    <cellStyle name="20% - Accent4 39 7" xfId="14160" xr:uid="{00000000-0005-0000-0000-00008F140000}"/>
    <cellStyle name="20% - Accent4 39 8" xfId="12846" xr:uid="{00000000-0005-0000-0000-000090140000}"/>
    <cellStyle name="20% - Accent4 4" xfId="911" xr:uid="{00000000-0005-0000-0000-000091140000}"/>
    <cellStyle name="20% - Accent4 4 10" xfId="24579" xr:uid="{00000000-0005-0000-0000-000092140000}"/>
    <cellStyle name="20% - Accent4 4 11" xfId="24969" xr:uid="{00000000-0005-0000-0000-000093140000}"/>
    <cellStyle name="20% - Accent4 4 2" xfId="3867" xr:uid="{00000000-0005-0000-0000-000094140000}"/>
    <cellStyle name="20% - Accent4 4 2 2" xfId="11846" xr:uid="{00000000-0005-0000-0000-000095140000}"/>
    <cellStyle name="20% - Accent4 4 2 2 2" xfId="23134" xr:uid="{00000000-0005-0000-0000-000096140000}"/>
    <cellStyle name="20% - Accent4 4 2 3" xfId="9852" xr:uid="{00000000-0005-0000-0000-000097140000}"/>
    <cellStyle name="20% - Accent4 4 2 3 2" xfId="21140" xr:uid="{00000000-0005-0000-0000-000098140000}"/>
    <cellStyle name="20% - Accent4 4 2 4" xfId="7858" xr:uid="{00000000-0005-0000-0000-000099140000}"/>
    <cellStyle name="20% - Accent4 4 2 4 2" xfId="19146" xr:uid="{00000000-0005-0000-0000-00009A140000}"/>
    <cellStyle name="20% - Accent4 4 2 5" xfId="5864" xr:uid="{00000000-0005-0000-0000-00009B140000}"/>
    <cellStyle name="20% - Accent4 4 2 5 2" xfId="17152" xr:uid="{00000000-0005-0000-0000-00009C140000}"/>
    <cellStyle name="20% - Accent4 4 2 6" xfId="15158" xr:uid="{00000000-0005-0000-0000-00009D140000}"/>
    <cellStyle name="20% - Accent4 4 2 7" xfId="24340" xr:uid="{00000000-0005-0000-0000-00009E140000}"/>
    <cellStyle name="20% - Accent4 4 2 8" xfId="24804" xr:uid="{00000000-0005-0000-0000-00009F140000}"/>
    <cellStyle name="20% - Accent4 4 2 9" xfId="25171" xr:uid="{00000000-0005-0000-0000-0000A0140000}"/>
    <cellStyle name="20% - Accent4 4 3" xfId="10849" xr:uid="{00000000-0005-0000-0000-0000A1140000}"/>
    <cellStyle name="20% - Accent4 4 3 2" xfId="22137" xr:uid="{00000000-0005-0000-0000-0000A2140000}"/>
    <cellStyle name="20% - Accent4 4 4" xfId="8855" xr:uid="{00000000-0005-0000-0000-0000A3140000}"/>
    <cellStyle name="20% - Accent4 4 4 2" xfId="20143" xr:uid="{00000000-0005-0000-0000-0000A4140000}"/>
    <cellStyle name="20% - Accent4 4 5" xfId="6861" xr:uid="{00000000-0005-0000-0000-0000A5140000}"/>
    <cellStyle name="20% - Accent4 4 5 2" xfId="18149" xr:uid="{00000000-0005-0000-0000-0000A6140000}"/>
    <cellStyle name="20% - Accent4 4 6" xfId="4867" xr:uid="{00000000-0005-0000-0000-0000A7140000}"/>
    <cellStyle name="20% - Accent4 4 6 2" xfId="16155" xr:uid="{00000000-0005-0000-0000-0000A8140000}"/>
    <cellStyle name="20% - Accent4 4 7" xfId="14161" xr:uid="{00000000-0005-0000-0000-0000A9140000}"/>
    <cellStyle name="20% - Accent4 4 8" xfId="12847" xr:uid="{00000000-0005-0000-0000-0000AA140000}"/>
    <cellStyle name="20% - Accent4 4 9" xfId="23952" xr:uid="{00000000-0005-0000-0000-0000AB140000}"/>
    <cellStyle name="20% - Accent4 40" xfId="912" xr:uid="{00000000-0005-0000-0000-0000AC140000}"/>
    <cellStyle name="20% - Accent4 40 2" xfId="3868" xr:uid="{00000000-0005-0000-0000-0000AD140000}"/>
    <cellStyle name="20% - Accent4 40 2 2" xfId="11847" xr:uid="{00000000-0005-0000-0000-0000AE140000}"/>
    <cellStyle name="20% - Accent4 40 2 2 2" xfId="23135" xr:uid="{00000000-0005-0000-0000-0000AF140000}"/>
    <cellStyle name="20% - Accent4 40 2 3" xfId="9853" xr:uid="{00000000-0005-0000-0000-0000B0140000}"/>
    <cellStyle name="20% - Accent4 40 2 3 2" xfId="21141" xr:uid="{00000000-0005-0000-0000-0000B1140000}"/>
    <cellStyle name="20% - Accent4 40 2 4" xfId="7859" xr:uid="{00000000-0005-0000-0000-0000B2140000}"/>
    <cellStyle name="20% - Accent4 40 2 4 2" xfId="19147" xr:uid="{00000000-0005-0000-0000-0000B3140000}"/>
    <cellStyle name="20% - Accent4 40 2 5" xfId="5865" xr:uid="{00000000-0005-0000-0000-0000B4140000}"/>
    <cellStyle name="20% - Accent4 40 2 5 2" xfId="17153" xr:uid="{00000000-0005-0000-0000-0000B5140000}"/>
    <cellStyle name="20% - Accent4 40 2 6" xfId="15159" xr:uid="{00000000-0005-0000-0000-0000B6140000}"/>
    <cellStyle name="20% - Accent4 40 3" xfId="10850" xr:uid="{00000000-0005-0000-0000-0000B7140000}"/>
    <cellStyle name="20% - Accent4 40 3 2" xfId="22138" xr:uid="{00000000-0005-0000-0000-0000B8140000}"/>
    <cellStyle name="20% - Accent4 40 4" xfId="8856" xr:uid="{00000000-0005-0000-0000-0000B9140000}"/>
    <cellStyle name="20% - Accent4 40 4 2" xfId="20144" xr:uid="{00000000-0005-0000-0000-0000BA140000}"/>
    <cellStyle name="20% - Accent4 40 5" xfId="6862" xr:uid="{00000000-0005-0000-0000-0000BB140000}"/>
    <cellStyle name="20% - Accent4 40 5 2" xfId="18150" xr:uid="{00000000-0005-0000-0000-0000BC140000}"/>
    <cellStyle name="20% - Accent4 40 6" xfId="4868" xr:uid="{00000000-0005-0000-0000-0000BD140000}"/>
    <cellStyle name="20% - Accent4 40 6 2" xfId="16156" xr:uid="{00000000-0005-0000-0000-0000BE140000}"/>
    <cellStyle name="20% - Accent4 40 7" xfId="14162" xr:uid="{00000000-0005-0000-0000-0000BF140000}"/>
    <cellStyle name="20% - Accent4 40 8" xfId="12848" xr:uid="{00000000-0005-0000-0000-0000C0140000}"/>
    <cellStyle name="20% - Accent4 41" xfId="913" xr:uid="{00000000-0005-0000-0000-0000C1140000}"/>
    <cellStyle name="20% - Accent4 41 2" xfId="3869" xr:uid="{00000000-0005-0000-0000-0000C2140000}"/>
    <cellStyle name="20% - Accent4 41 2 2" xfId="11848" xr:uid="{00000000-0005-0000-0000-0000C3140000}"/>
    <cellStyle name="20% - Accent4 41 2 2 2" xfId="23136" xr:uid="{00000000-0005-0000-0000-0000C4140000}"/>
    <cellStyle name="20% - Accent4 41 2 3" xfId="9854" xr:uid="{00000000-0005-0000-0000-0000C5140000}"/>
    <cellStyle name="20% - Accent4 41 2 3 2" xfId="21142" xr:uid="{00000000-0005-0000-0000-0000C6140000}"/>
    <cellStyle name="20% - Accent4 41 2 4" xfId="7860" xr:uid="{00000000-0005-0000-0000-0000C7140000}"/>
    <cellStyle name="20% - Accent4 41 2 4 2" xfId="19148" xr:uid="{00000000-0005-0000-0000-0000C8140000}"/>
    <cellStyle name="20% - Accent4 41 2 5" xfId="5866" xr:uid="{00000000-0005-0000-0000-0000C9140000}"/>
    <cellStyle name="20% - Accent4 41 2 5 2" xfId="17154" xr:uid="{00000000-0005-0000-0000-0000CA140000}"/>
    <cellStyle name="20% - Accent4 41 2 6" xfId="15160" xr:uid="{00000000-0005-0000-0000-0000CB140000}"/>
    <cellStyle name="20% - Accent4 41 3" xfId="10851" xr:uid="{00000000-0005-0000-0000-0000CC140000}"/>
    <cellStyle name="20% - Accent4 41 3 2" xfId="22139" xr:uid="{00000000-0005-0000-0000-0000CD140000}"/>
    <cellStyle name="20% - Accent4 41 4" xfId="8857" xr:uid="{00000000-0005-0000-0000-0000CE140000}"/>
    <cellStyle name="20% - Accent4 41 4 2" xfId="20145" xr:uid="{00000000-0005-0000-0000-0000CF140000}"/>
    <cellStyle name="20% - Accent4 41 5" xfId="6863" xr:uid="{00000000-0005-0000-0000-0000D0140000}"/>
    <cellStyle name="20% - Accent4 41 5 2" xfId="18151" xr:uid="{00000000-0005-0000-0000-0000D1140000}"/>
    <cellStyle name="20% - Accent4 41 6" xfId="4869" xr:uid="{00000000-0005-0000-0000-0000D2140000}"/>
    <cellStyle name="20% - Accent4 41 6 2" xfId="16157" xr:uid="{00000000-0005-0000-0000-0000D3140000}"/>
    <cellStyle name="20% - Accent4 41 7" xfId="14163" xr:uid="{00000000-0005-0000-0000-0000D4140000}"/>
    <cellStyle name="20% - Accent4 41 8" xfId="12849" xr:uid="{00000000-0005-0000-0000-0000D5140000}"/>
    <cellStyle name="20% - Accent4 42" xfId="914" xr:uid="{00000000-0005-0000-0000-0000D6140000}"/>
    <cellStyle name="20% - Accent4 42 2" xfId="3870" xr:uid="{00000000-0005-0000-0000-0000D7140000}"/>
    <cellStyle name="20% - Accent4 42 2 2" xfId="11849" xr:uid="{00000000-0005-0000-0000-0000D8140000}"/>
    <cellStyle name="20% - Accent4 42 2 2 2" xfId="23137" xr:uid="{00000000-0005-0000-0000-0000D9140000}"/>
    <cellStyle name="20% - Accent4 42 2 3" xfId="9855" xr:uid="{00000000-0005-0000-0000-0000DA140000}"/>
    <cellStyle name="20% - Accent4 42 2 3 2" xfId="21143" xr:uid="{00000000-0005-0000-0000-0000DB140000}"/>
    <cellStyle name="20% - Accent4 42 2 4" xfId="7861" xr:uid="{00000000-0005-0000-0000-0000DC140000}"/>
    <cellStyle name="20% - Accent4 42 2 4 2" xfId="19149" xr:uid="{00000000-0005-0000-0000-0000DD140000}"/>
    <cellStyle name="20% - Accent4 42 2 5" xfId="5867" xr:uid="{00000000-0005-0000-0000-0000DE140000}"/>
    <cellStyle name="20% - Accent4 42 2 5 2" xfId="17155" xr:uid="{00000000-0005-0000-0000-0000DF140000}"/>
    <cellStyle name="20% - Accent4 42 2 6" xfId="15161" xr:uid="{00000000-0005-0000-0000-0000E0140000}"/>
    <cellStyle name="20% - Accent4 42 3" xfId="10852" xr:uid="{00000000-0005-0000-0000-0000E1140000}"/>
    <cellStyle name="20% - Accent4 42 3 2" xfId="22140" xr:uid="{00000000-0005-0000-0000-0000E2140000}"/>
    <cellStyle name="20% - Accent4 42 4" xfId="8858" xr:uid="{00000000-0005-0000-0000-0000E3140000}"/>
    <cellStyle name="20% - Accent4 42 4 2" xfId="20146" xr:uid="{00000000-0005-0000-0000-0000E4140000}"/>
    <cellStyle name="20% - Accent4 42 5" xfId="6864" xr:uid="{00000000-0005-0000-0000-0000E5140000}"/>
    <cellStyle name="20% - Accent4 42 5 2" xfId="18152" xr:uid="{00000000-0005-0000-0000-0000E6140000}"/>
    <cellStyle name="20% - Accent4 42 6" xfId="4870" xr:uid="{00000000-0005-0000-0000-0000E7140000}"/>
    <cellStyle name="20% - Accent4 42 6 2" xfId="16158" xr:uid="{00000000-0005-0000-0000-0000E8140000}"/>
    <cellStyle name="20% - Accent4 42 7" xfId="14164" xr:uid="{00000000-0005-0000-0000-0000E9140000}"/>
    <cellStyle name="20% - Accent4 42 8" xfId="12850" xr:uid="{00000000-0005-0000-0000-0000EA140000}"/>
    <cellStyle name="20% - Accent4 43" xfId="915" xr:uid="{00000000-0005-0000-0000-0000EB140000}"/>
    <cellStyle name="20% - Accent4 43 2" xfId="3871" xr:uid="{00000000-0005-0000-0000-0000EC140000}"/>
    <cellStyle name="20% - Accent4 43 2 2" xfId="11850" xr:uid="{00000000-0005-0000-0000-0000ED140000}"/>
    <cellStyle name="20% - Accent4 43 2 2 2" xfId="23138" xr:uid="{00000000-0005-0000-0000-0000EE140000}"/>
    <cellStyle name="20% - Accent4 43 2 3" xfId="9856" xr:uid="{00000000-0005-0000-0000-0000EF140000}"/>
    <cellStyle name="20% - Accent4 43 2 3 2" xfId="21144" xr:uid="{00000000-0005-0000-0000-0000F0140000}"/>
    <cellStyle name="20% - Accent4 43 2 4" xfId="7862" xr:uid="{00000000-0005-0000-0000-0000F1140000}"/>
    <cellStyle name="20% - Accent4 43 2 4 2" xfId="19150" xr:uid="{00000000-0005-0000-0000-0000F2140000}"/>
    <cellStyle name="20% - Accent4 43 2 5" xfId="5868" xr:uid="{00000000-0005-0000-0000-0000F3140000}"/>
    <cellStyle name="20% - Accent4 43 2 5 2" xfId="17156" xr:uid="{00000000-0005-0000-0000-0000F4140000}"/>
    <cellStyle name="20% - Accent4 43 2 6" xfId="15162" xr:uid="{00000000-0005-0000-0000-0000F5140000}"/>
    <cellStyle name="20% - Accent4 43 3" xfId="10853" xr:uid="{00000000-0005-0000-0000-0000F6140000}"/>
    <cellStyle name="20% - Accent4 43 3 2" xfId="22141" xr:uid="{00000000-0005-0000-0000-0000F7140000}"/>
    <cellStyle name="20% - Accent4 43 4" xfId="8859" xr:uid="{00000000-0005-0000-0000-0000F8140000}"/>
    <cellStyle name="20% - Accent4 43 4 2" xfId="20147" xr:uid="{00000000-0005-0000-0000-0000F9140000}"/>
    <cellStyle name="20% - Accent4 43 5" xfId="6865" xr:uid="{00000000-0005-0000-0000-0000FA140000}"/>
    <cellStyle name="20% - Accent4 43 5 2" xfId="18153" xr:uid="{00000000-0005-0000-0000-0000FB140000}"/>
    <cellStyle name="20% - Accent4 43 6" xfId="4871" xr:uid="{00000000-0005-0000-0000-0000FC140000}"/>
    <cellStyle name="20% - Accent4 43 6 2" xfId="16159" xr:uid="{00000000-0005-0000-0000-0000FD140000}"/>
    <cellStyle name="20% - Accent4 43 7" xfId="14165" xr:uid="{00000000-0005-0000-0000-0000FE140000}"/>
    <cellStyle name="20% - Accent4 43 8" xfId="12851" xr:uid="{00000000-0005-0000-0000-0000FF140000}"/>
    <cellStyle name="20% - Accent4 44" xfId="916" xr:uid="{00000000-0005-0000-0000-000000150000}"/>
    <cellStyle name="20% - Accent4 44 2" xfId="3872" xr:uid="{00000000-0005-0000-0000-000001150000}"/>
    <cellStyle name="20% - Accent4 44 2 2" xfId="11851" xr:uid="{00000000-0005-0000-0000-000002150000}"/>
    <cellStyle name="20% - Accent4 44 2 2 2" xfId="23139" xr:uid="{00000000-0005-0000-0000-000003150000}"/>
    <cellStyle name="20% - Accent4 44 2 3" xfId="9857" xr:uid="{00000000-0005-0000-0000-000004150000}"/>
    <cellStyle name="20% - Accent4 44 2 3 2" xfId="21145" xr:uid="{00000000-0005-0000-0000-000005150000}"/>
    <cellStyle name="20% - Accent4 44 2 4" xfId="7863" xr:uid="{00000000-0005-0000-0000-000006150000}"/>
    <cellStyle name="20% - Accent4 44 2 4 2" xfId="19151" xr:uid="{00000000-0005-0000-0000-000007150000}"/>
    <cellStyle name="20% - Accent4 44 2 5" xfId="5869" xr:uid="{00000000-0005-0000-0000-000008150000}"/>
    <cellStyle name="20% - Accent4 44 2 5 2" xfId="17157" xr:uid="{00000000-0005-0000-0000-000009150000}"/>
    <cellStyle name="20% - Accent4 44 2 6" xfId="15163" xr:uid="{00000000-0005-0000-0000-00000A150000}"/>
    <cellStyle name="20% - Accent4 44 3" xfId="10854" xr:uid="{00000000-0005-0000-0000-00000B150000}"/>
    <cellStyle name="20% - Accent4 44 3 2" xfId="22142" xr:uid="{00000000-0005-0000-0000-00000C150000}"/>
    <cellStyle name="20% - Accent4 44 4" xfId="8860" xr:uid="{00000000-0005-0000-0000-00000D150000}"/>
    <cellStyle name="20% - Accent4 44 4 2" xfId="20148" xr:uid="{00000000-0005-0000-0000-00000E150000}"/>
    <cellStyle name="20% - Accent4 44 5" xfId="6866" xr:uid="{00000000-0005-0000-0000-00000F150000}"/>
    <cellStyle name="20% - Accent4 44 5 2" xfId="18154" xr:uid="{00000000-0005-0000-0000-000010150000}"/>
    <cellStyle name="20% - Accent4 44 6" xfId="4872" xr:uid="{00000000-0005-0000-0000-000011150000}"/>
    <cellStyle name="20% - Accent4 44 6 2" xfId="16160" xr:uid="{00000000-0005-0000-0000-000012150000}"/>
    <cellStyle name="20% - Accent4 44 7" xfId="14166" xr:uid="{00000000-0005-0000-0000-000013150000}"/>
    <cellStyle name="20% - Accent4 44 8" xfId="12852" xr:uid="{00000000-0005-0000-0000-000014150000}"/>
    <cellStyle name="20% - Accent4 45" xfId="917" xr:uid="{00000000-0005-0000-0000-000015150000}"/>
    <cellStyle name="20% - Accent4 45 2" xfId="3873" xr:uid="{00000000-0005-0000-0000-000016150000}"/>
    <cellStyle name="20% - Accent4 45 2 2" xfId="11852" xr:uid="{00000000-0005-0000-0000-000017150000}"/>
    <cellStyle name="20% - Accent4 45 2 2 2" xfId="23140" xr:uid="{00000000-0005-0000-0000-000018150000}"/>
    <cellStyle name="20% - Accent4 45 2 3" xfId="9858" xr:uid="{00000000-0005-0000-0000-000019150000}"/>
    <cellStyle name="20% - Accent4 45 2 3 2" xfId="21146" xr:uid="{00000000-0005-0000-0000-00001A150000}"/>
    <cellStyle name="20% - Accent4 45 2 4" xfId="7864" xr:uid="{00000000-0005-0000-0000-00001B150000}"/>
    <cellStyle name="20% - Accent4 45 2 4 2" xfId="19152" xr:uid="{00000000-0005-0000-0000-00001C150000}"/>
    <cellStyle name="20% - Accent4 45 2 5" xfId="5870" xr:uid="{00000000-0005-0000-0000-00001D150000}"/>
    <cellStyle name="20% - Accent4 45 2 5 2" xfId="17158" xr:uid="{00000000-0005-0000-0000-00001E150000}"/>
    <cellStyle name="20% - Accent4 45 2 6" xfId="15164" xr:uid="{00000000-0005-0000-0000-00001F150000}"/>
    <cellStyle name="20% - Accent4 45 3" xfId="10855" xr:uid="{00000000-0005-0000-0000-000020150000}"/>
    <cellStyle name="20% - Accent4 45 3 2" xfId="22143" xr:uid="{00000000-0005-0000-0000-000021150000}"/>
    <cellStyle name="20% - Accent4 45 4" xfId="8861" xr:uid="{00000000-0005-0000-0000-000022150000}"/>
    <cellStyle name="20% - Accent4 45 4 2" xfId="20149" xr:uid="{00000000-0005-0000-0000-000023150000}"/>
    <cellStyle name="20% - Accent4 45 5" xfId="6867" xr:uid="{00000000-0005-0000-0000-000024150000}"/>
    <cellStyle name="20% - Accent4 45 5 2" xfId="18155" xr:uid="{00000000-0005-0000-0000-000025150000}"/>
    <cellStyle name="20% - Accent4 45 6" xfId="4873" xr:uid="{00000000-0005-0000-0000-000026150000}"/>
    <cellStyle name="20% - Accent4 45 6 2" xfId="16161" xr:uid="{00000000-0005-0000-0000-000027150000}"/>
    <cellStyle name="20% - Accent4 45 7" xfId="14167" xr:uid="{00000000-0005-0000-0000-000028150000}"/>
    <cellStyle name="20% - Accent4 45 8" xfId="12853" xr:uid="{00000000-0005-0000-0000-000029150000}"/>
    <cellStyle name="20% - Accent4 46" xfId="918" xr:uid="{00000000-0005-0000-0000-00002A150000}"/>
    <cellStyle name="20% - Accent4 46 2" xfId="3874" xr:uid="{00000000-0005-0000-0000-00002B150000}"/>
    <cellStyle name="20% - Accent4 46 2 2" xfId="11853" xr:uid="{00000000-0005-0000-0000-00002C150000}"/>
    <cellStyle name="20% - Accent4 46 2 2 2" xfId="23141" xr:uid="{00000000-0005-0000-0000-00002D150000}"/>
    <cellStyle name="20% - Accent4 46 2 3" xfId="9859" xr:uid="{00000000-0005-0000-0000-00002E150000}"/>
    <cellStyle name="20% - Accent4 46 2 3 2" xfId="21147" xr:uid="{00000000-0005-0000-0000-00002F150000}"/>
    <cellStyle name="20% - Accent4 46 2 4" xfId="7865" xr:uid="{00000000-0005-0000-0000-000030150000}"/>
    <cellStyle name="20% - Accent4 46 2 4 2" xfId="19153" xr:uid="{00000000-0005-0000-0000-000031150000}"/>
    <cellStyle name="20% - Accent4 46 2 5" xfId="5871" xr:uid="{00000000-0005-0000-0000-000032150000}"/>
    <cellStyle name="20% - Accent4 46 2 5 2" xfId="17159" xr:uid="{00000000-0005-0000-0000-000033150000}"/>
    <cellStyle name="20% - Accent4 46 2 6" xfId="15165" xr:uid="{00000000-0005-0000-0000-000034150000}"/>
    <cellStyle name="20% - Accent4 46 3" xfId="10856" xr:uid="{00000000-0005-0000-0000-000035150000}"/>
    <cellStyle name="20% - Accent4 46 3 2" xfId="22144" xr:uid="{00000000-0005-0000-0000-000036150000}"/>
    <cellStyle name="20% - Accent4 46 4" xfId="8862" xr:uid="{00000000-0005-0000-0000-000037150000}"/>
    <cellStyle name="20% - Accent4 46 4 2" xfId="20150" xr:uid="{00000000-0005-0000-0000-000038150000}"/>
    <cellStyle name="20% - Accent4 46 5" xfId="6868" xr:uid="{00000000-0005-0000-0000-000039150000}"/>
    <cellStyle name="20% - Accent4 46 5 2" xfId="18156" xr:uid="{00000000-0005-0000-0000-00003A150000}"/>
    <cellStyle name="20% - Accent4 46 6" xfId="4874" xr:uid="{00000000-0005-0000-0000-00003B150000}"/>
    <cellStyle name="20% - Accent4 46 6 2" xfId="16162" xr:uid="{00000000-0005-0000-0000-00003C150000}"/>
    <cellStyle name="20% - Accent4 46 7" xfId="14168" xr:uid="{00000000-0005-0000-0000-00003D150000}"/>
    <cellStyle name="20% - Accent4 46 8" xfId="12854" xr:uid="{00000000-0005-0000-0000-00003E150000}"/>
    <cellStyle name="20% - Accent4 47" xfId="919" xr:uid="{00000000-0005-0000-0000-00003F150000}"/>
    <cellStyle name="20% - Accent4 47 2" xfId="3875" xr:uid="{00000000-0005-0000-0000-000040150000}"/>
    <cellStyle name="20% - Accent4 47 2 2" xfId="11854" xr:uid="{00000000-0005-0000-0000-000041150000}"/>
    <cellStyle name="20% - Accent4 47 2 2 2" xfId="23142" xr:uid="{00000000-0005-0000-0000-000042150000}"/>
    <cellStyle name="20% - Accent4 47 2 3" xfId="9860" xr:uid="{00000000-0005-0000-0000-000043150000}"/>
    <cellStyle name="20% - Accent4 47 2 3 2" xfId="21148" xr:uid="{00000000-0005-0000-0000-000044150000}"/>
    <cellStyle name="20% - Accent4 47 2 4" xfId="7866" xr:uid="{00000000-0005-0000-0000-000045150000}"/>
    <cellStyle name="20% - Accent4 47 2 4 2" xfId="19154" xr:uid="{00000000-0005-0000-0000-000046150000}"/>
    <cellStyle name="20% - Accent4 47 2 5" xfId="5872" xr:uid="{00000000-0005-0000-0000-000047150000}"/>
    <cellStyle name="20% - Accent4 47 2 5 2" xfId="17160" xr:uid="{00000000-0005-0000-0000-000048150000}"/>
    <cellStyle name="20% - Accent4 47 2 6" xfId="15166" xr:uid="{00000000-0005-0000-0000-000049150000}"/>
    <cellStyle name="20% - Accent4 47 3" xfId="10857" xr:uid="{00000000-0005-0000-0000-00004A150000}"/>
    <cellStyle name="20% - Accent4 47 3 2" xfId="22145" xr:uid="{00000000-0005-0000-0000-00004B150000}"/>
    <cellStyle name="20% - Accent4 47 4" xfId="8863" xr:uid="{00000000-0005-0000-0000-00004C150000}"/>
    <cellStyle name="20% - Accent4 47 4 2" xfId="20151" xr:uid="{00000000-0005-0000-0000-00004D150000}"/>
    <cellStyle name="20% - Accent4 47 5" xfId="6869" xr:uid="{00000000-0005-0000-0000-00004E150000}"/>
    <cellStyle name="20% - Accent4 47 5 2" xfId="18157" xr:uid="{00000000-0005-0000-0000-00004F150000}"/>
    <cellStyle name="20% - Accent4 47 6" xfId="4875" xr:uid="{00000000-0005-0000-0000-000050150000}"/>
    <cellStyle name="20% - Accent4 47 6 2" xfId="16163" xr:uid="{00000000-0005-0000-0000-000051150000}"/>
    <cellStyle name="20% - Accent4 47 7" xfId="14169" xr:uid="{00000000-0005-0000-0000-000052150000}"/>
    <cellStyle name="20% - Accent4 47 8" xfId="12855" xr:uid="{00000000-0005-0000-0000-000053150000}"/>
    <cellStyle name="20% - Accent4 48" xfId="920" xr:uid="{00000000-0005-0000-0000-000054150000}"/>
    <cellStyle name="20% - Accent4 48 2" xfId="3876" xr:uid="{00000000-0005-0000-0000-000055150000}"/>
    <cellStyle name="20% - Accent4 48 2 2" xfId="11855" xr:uid="{00000000-0005-0000-0000-000056150000}"/>
    <cellStyle name="20% - Accent4 48 2 2 2" xfId="23143" xr:uid="{00000000-0005-0000-0000-000057150000}"/>
    <cellStyle name="20% - Accent4 48 2 3" xfId="9861" xr:uid="{00000000-0005-0000-0000-000058150000}"/>
    <cellStyle name="20% - Accent4 48 2 3 2" xfId="21149" xr:uid="{00000000-0005-0000-0000-000059150000}"/>
    <cellStyle name="20% - Accent4 48 2 4" xfId="7867" xr:uid="{00000000-0005-0000-0000-00005A150000}"/>
    <cellStyle name="20% - Accent4 48 2 4 2" xfId="19155" xr:uid="{00000000-0005-0000-0000-00005B150000}"/>
    <cellStyle name="20% - Accent4 48 2 5" xfId="5873" xr:uid="{00000000-0005-0000-0000-00005C150000}"/>
    <cellStyle name="20% - Accent4 48 2 5 2" xfId="17161" xr:uid="{00000000-0005-0000-0000-00005D150000}"/>
    <cellStyle name="20% - Accent4 48 2 6" xfId="15167" xr:uid="{00000000-0005-0000-0000-00005E150000}"/>
    <cellStyle name="20% - Accent4 48 3" xfId="10858" xr:uid="{00000000-0005-0000-0000-00005F150000}"/>
    <cellStyle name="20% - Accent4 48 3 2" xfId="22146" xr:uid="{00000000-0005-0000-0000-000060150000}"/>
    <cellStyle name="20% - Accent4 48 4" xfId="8864" xr:uid="{00000000-0005-0000-0000-000061150000}"/>
    <cellStyle name="20% - Accent4 48 4 2" xfId="20152" xr:uid="{00000000-0005-0000-0000-000062150000}"/>
    <cellStyle name="20% - Accent4 48 5" xfId="6870" xr:uid="{00000000-0005-0000-0000-000063150000}"/>
    <cellStyle name="20% - Accent4 48 5 2" xfId="18158" xr:uid="{00000000-0005-0000-0000-000064150000}"/>
    <cellStyle name="20% - Accent4 48 6" xfId="4876" xr:uid="{00000000-0005-0000-0000-000065150000}"/>
    <cellStyle name="20% - Accent4 48 6 2" xfId="16164" xr:uid="{00000000-0005-0000-0000-000066150000}"/>
    <cellStyle name="20% - Accent4 48 7" xfId="14170" xr:uid="{00000000-0005-0000-0000-000067150000}"/>
    <cellStyle name="20% - Accent4 48 8" xfId="12856" xr:uid="{00000000-0005-0000-0000-000068150000}"/>
    <cellStyle name="20% - Accent4 49" xfId="921" xr:uid="{00000000-0005-0000-0000-000069150000}"/>
    <cellStyle name="20% - Accent4 49 2" xfId="3877" xr:uid="{00000000-0005-0000-0000-00006A150000}"/>
    <cellStyle name="20% - Accent4 49 2 2" xfId="11856" xr:uid="{00000000-0005-0000-0000-00006B150000}"/>
    <cellStyle name="20% - Accent4 49 2 2 2" xfId="23144" xr:uid="{00000000-0005-0000-0000-00006C150000}"/>
    <cellStyle name="20% - Accent4 49 2 3" xfId="9862" xr:uid="{00000000-0005-0000-0000-00006D150000}"/>
    <cellStyle name="20% - Accent4 49 2 3 2" xfId="21150" xr:uid="{00000000-0005-0000-0000-00006E150000}"/>
    <cellStyle name="20% - Accent4 49 2 4" xfId="7868" xr:uid="{00000000-0005-0000-0000-00006F150000}"/>
    <cellStyle name="20% - Accent4 49 2 4 2" xfId="19156" xr:uid="{00000000-0005-0000-0000-000070150000}"/>
    <cellStyle name="20% - Accent4 49 2 5" xfId="5874" xr:uid="{00000000-0005-0000-0000-000071150000}"/>
    <cellStyle name="20% - Accent4 49 2 5 2" xfId="17162" xr:uid="{00000000-0005-0000-0000-000072150000}"/>
    <cellStyle name="20% - Accent4 49 2 6" xfId="15168" xr:uid="{00000000-0005-0000-0000-000073150000}"/>
    <cellStyle name="20% - Accent4 49 3" xfId="10859" xr:uid="{00000000-0005-0000-0000-000074150000}"/>
    <cellStyle name="20% - Accent4 49 3 2" xfId="22147" xr:uid="{00000000-0005-0000-0000-000075150000}"/>
    <cellStyle name="20% - Accent4 49 4" xfId="8865" xr:uid="{00000000-0005-0000-0000-000076150000}"/>
    <cellStyle name="20% - Accent4 49 4 2" xfId="20153" xr:uid="{00000000-0005-0000-0000-000077150000}"/>
    <cellStyle name="20% - Accent4 49 5" xfId="6871" xr:uid="{00000000-0005-0000-0000-000078150000}"/>
    <cellStyle name="20% - Accent4 49 5 2" xfId="18159" xr:uid="{00000000-0005-0000-0000-000079150000}"/>
    <cellStyle name="20% - Accent4 49 6" xfId="4877" xr:uid="{00000000-0005-0000-0000-00007A150000}"/>
    <cellStyle name="20% - Accent4 49 6 2" xfId="16165" xr:uid="{00000000-0005-0000-0000-00007B150000}"/>
    <cellStyle name="20% - Accent4 49 7" xfId="14171" xr:uid="{00000000-0005-0000-0000-00007C150000}"/>
    <cellStyle name="20% - Accent4 49 8" xfId="12857" xr:uid="{00000000-0005-0000-0000-00007D150000}"/>
    <cellStyle name="20% - Accent4 5" xfId="922" xr:uid="{00000000-0005-0000-0000-00007E150000}"/>
    <cellStyle name="20% - Accent4 5 10" xfId="24580" xr:uid="{00000000-0005-0000-0000-00007F150000}"/>
    <cellStyle name="20% - Accent4 5 11" xfId="24970" xr:uid="{00000000-0005-0000-0000-000080150000}"/>
    <cellStyle name="20% - Accent4 5 2" xfId="3878" xr:uid="{00000000-0005-0000-0000-000081150000}"/>
    <cellStyle name="20% - Accent4 5 2 2" xfId="11857" xr:uid="{00000000-0005-0000-0000-000082150000}"/>
    <cellStyle name="20% - Accent4 5 2 2 2" xfId="23145" xr:uid="{00000000-0005-0000-0000-000083150000}"/>
    <cellStyle name="20% - Accent4 5 2 3" xfId="9863" xr:uid="{00000000-0005-0000-0000-000084150000}"/>
    <cellStyle name="20% - Accent4 5 2 3 2" xfId="21151" xr:uid="{00000000-0005-0000-0000-000085150000}"/>
    <cellStyle name="20% - Accent4 5 2 4" xfId="7869" xr:uid="{00000000-0005-0000-0000-000086150000}"/>
    <cellStyle name="20% - Accent4 5 2 4 2" xfId="19157" xr:uid="{00000000-0005-0000-0000-000087150000}"/>
    <cellStyle name="20% - Accent4 5 2 5" xfId="5875" xr:uid="{00000000-0005-0000-0000-000088150000}"/>
    <cellStyle name="20% - Accent4 5 2 5 2" xfId="17163" xr:uid="{00000000-0005-0000-0000-000089150000}"/>
    <cellStyle name="20% - Accent4 5 2 6" xfId="15169" xr:uid="{00000000-0005-0000-0000-00008A150000}"/>
    <cellStyle name="20% - Accent4 5 2 7" xfId="24341" xr:uid="{00000000-0005-0000-0000-00008B150000}"/>
    <cellStyle name="20% - Accent4 5 2 8" xfId="24805" xr:uid="{00000000-0005-0000-0000-00008C150000}"/>
    <cellStyle name="20% - Accent4 5 2 9" xfId="25172" xr:uid="{00000000-0005-0000-0000-00008D150000}"/>
    <cellStyle name="20% - Accent4 5 3" xfId="10860" xr:uid="{00000000-0005-0000-0000-00008E150000}"/>
    <cellStyle name="20% - Accent4 5 3 2" xfId="22148" xr:uid="{00000000-0005-0000-0000-00008F150000}"/>
    <cellStyle name="20% - Accent4 5 4" xfId="8866" xr:uid="{00000000-0005-0000-0000-000090150000}"/>
    <cellStyle name="20% - Accent4 5 4 2" xfId="20154" xr:uid="{00000000-0005-0000-0000-000091150000}"/>
    <cellStyle name="20% - Accent4 5 5" xfId="6872" xr:uid="{00000000-0005-0000-0000-000092150000}"/>
    <cellStyle name="20% - Accent4 5 5 2" xfId="18160" xr:uid="{00000000-0005-0000-0000-000093150000}"/>
    <cellStyle name="20% - Accent4 5 6" xfId="4878" xr:uid="{00000000-0005-0000-0000-000094150000}"/>
    <cellStyle name="20% - Accent4 5 6 2" xfId="16166" xr:uid="{00000000-0005-0000-0000-000095150000}"/>
    <cellStyle name="20% - Accent4 5 7" xfId="14172" xr:uid="{00000000-0005-0000-0000-000096150000}"/>
    <cellStyle name="20% - Accent4 5 8" xfId="12858" xr:uid="{00000000-0005-0000-0000-000097150000}"/>
    <cellStyle name="20% - Accent4 5 9" xfId="23953" xr:uid="{00000000-0005-0000-0000-000098150000}"/>
    <cellStyle name="20% - Accent4 50" xfId="923" xr:uid="{00000000-0005-0000-0000-000099150000}"/>
    <cellStyle name="20% - Accent4 50 2" xfId="3879" xr:uid="{00000000-0005-0000-0000-00009A150000}"/>
    <cellStyle name="20% - Accent4 50 2 2" xfId="11858" xr:uid="{00000000-0005-0000-0000-00009B150000}"/>
    <cellStyle name="20% - Accent4 50 2 2 2" xfId="23146" xr:uid="{00000000-0005-0000-0000-00009C150000}"/>
    <cellStyle name="20% - Accent4 50 2 3" xfId="9864" xr:uid="{00000000-0005-0000-0000-00009D150000}"/>
    <cellStyle name="20% - Accent4 50 2 3 2" xfId="21152" xr:uid="{00000000-0005-0000-0000-00009E150000}"/>
    <cellStyle name="20% - Accent4 50 2 4" xfId="7870" xr:uid="{00000000-0005-0000-0000-00009F150000}"/>
    <cellStyle name="20% - Accent4 50 2 4 2" xfId="19158" xr:uid="{00000000-0005-0000-0000-0000A0150000}"/>
    <cellStyle name="20% - Accent4 50 2 5" xfId="5876" xr:uid="{00000000-0005-0000-0000-0000A1150000}"/>
    <cellStyle name="20% - Accent4 50 2 5 2" xfId="17164" xr:uid="{00000000-0005-0000-0000-0000A2150000}"/>
    <cellStyle name="20% - Accent4 50 2 6" xfId="15170" xr:uid="{00000000-0005-0000-0000-0000A3150000}"/>
    <cellStyle name="20% - Accent4 50 3" xfId="10861" xr:uid="{00000000-0005-0000-0000-0000A4150000}"/>
    <cellStyle name="20% - Accent4 50 3 2" xfId="22149" xr:uid="{00000000-0005-0000-0000-0000A5150000}"/>
    <cellStyle name="20% - Accent4 50 4" xfId="8867" xr:uid="{00000000-0005-0000-0000-0000A6150000}"/>
    <cellStyle name="20% - Accent4 50 4 2" xfId="20155" xr:uid="{00000000-0005-0000-0000-0000A7150000}"/>
    <cellStyle name="20% - Accent4 50 5" xfId="6873" xr:uid="{00000000-0005-0000-0000-0000A8150000}"/>
    <cellStyle name="20% - Accent4 50 5 2" xfId="18161" xr:uid="{00000000-0005-0000-0000-0000A9150000}"/>
    <cellStyle name="20% - Accent4 50 6" xfId="4879" xr:uid="{00000000-0005-0000-0000-0000AA150000}"/>
    <cellStyle name="20% - Accent4 50 6 2" xfId="16167" xr:uid="{00000000-0005-0000-0000-0000AB150000}"/>
    <cellStyle name="20% - Accent4 50 7" xfId="14173" xr:uid="{00000000-0005-0000-0000-0000AC150000}"/>
    <cellStyle name="20% - Accent4 50 8" xfId="12859" xr:uid="{00000000-0005-0000-0000-0000AD150000}"/>
    <cellStyle name="20% - Accent4 51" xfId="924" xr:uid="{00000000-0005-0000-0000-0000AE150000}"/>
    <cellStyle name="20% - Accent4 51 2" xfId="3880" xr:uid="{00000000-0005-0000-0000-0000AF150000}"/>
    <cellStyle name="20% - Accent4 51 2 2" xfId="11859" xr:uid="{00000000-0005-0000-0000-0000B0150000}"/>
    <cellStyle name="20% - Accent4 51 2 2 2" xfId="23147" xr:uid="{00000000-0005-0000-0000-0000B1150000}"/>
    <cellStyle name="20% - Accent4 51 2 3" xfId="9865" xr:uid="{00000000-0005-0000-0000-0000B2150000}"/>
    <cellStyle name="20% - Accent4 51 2 3 2" xfId="21153" xr:uid="{00000000-0005-0000-0000-0000B3150000}"/>
    <cellStyle name="20% - Accent4 51 2 4" xfId="7871" xr:uid="{00000000-0005-0000-0000-0000B4150000}"/>
    <cellStyle name="20% - Accent4 51 2 4 2" xfId="19159" xr:uid="{00000000-0005-0000-0000-0000B5150000}"/>
    <cellStyle name="20% - Accent4 51 2 5" xfId="5877" xr:uid="{00000000-0005-0000-0000-0000B6150000}"/>
    <cellStyle name="20% - Accent4 51 2 5 2" xfId="17165" xr:uid="{00000000-0005-0000-0000-0000B7150000}"/>
    <cellStyle name="20% - Accent4 51 2 6" xfId="15171" xr:uid="{00000000-0005-0000-0000-0000B8150000}"/>
    <cellStyle name="20% - Accent4 51 3" xfId="10862" xr:uid="{00000000-0005-0000-0000-0000B9150000}"/>
    <cellStyle name="20% - Accent4 51 3 2" xfId="22150" xr:uid="{00000000-0005-0000-0000-0000BA150000}"/>
    <cellStyle name="20% - Accent4 51 4" xfId="8868" xr:uid="{00000000-0005-0000-0000-0000BB150000}"/>
    <cellStyle name="20% - Accent4 51 4 2" xfId="20156" xr:uid="{00000000-0005-0000-0000-0000BC150000}"/>
    <cellStyle name="20% - Accent4 51 5" xfId="6874" xr:uid="{00000000-0005-0000-0000-0000BD150000}"/>
    <cellStyle name="20% - Accent4 51 5 2" xfId="18162" xr:uid="{00000000-0005-0000-0000-0000BE150000}"/>
    <cellStyle name="20% - Accent4 51 6" xfId="4880" xr:uid="{00000000-0005-0000-0000-0000BF150000}"/>
    <cellStyle name="20% - Accent4 51 6 2" xfId="16168" xr:uid="{00000000-0005-0000-0000-0000C0150000}"/>
    <cellStyle name="20% - Accent4 51 7" xfId="14174" xr:uid="{00000000-0005-0000-0000-0000C1150000}"/>
    <cellStyle name="20% - Accent4 51 8" xfId="12860" xr:uid="{00000000-0005-0000-0000-0000C2150000}"/>
    <cellStyle name="20% - Accent4 52" xfId="925" xr:uid="{00000000-0005-0000-0000-0000C3150000}"/>
    <cellStyle name="20% - Accent4 52 2" xfId="3881" xr:uid="{00000000-0005-0000-0000-0000C4150000}"/>
    <cellStyle name="20% - Accent4 52 2 2" xfId="11860" xr:uid="{00000000-0005-0000-0000-0000C5150000}"/>
    <cellStyle name="20% - Accent4 52 2 2 2" xfId="23148" xr:uid="{00000000-0005-0000-0000-0000C6150000}"/>
    <cellStyle name="20% - Accent4 52 2 3" xfId="9866" xr:uid="{00000000-0005-0000-0000-0000C7150000}"/>
    <cellStyle name="20% - Accent4 52 2 3 2" xfId="21154" xr:uid="{00000000-0005-0000-0000-0000C8150000}"/>
    <cellStyle name="20% - Accent4 52 2 4" xfId="7872" xr:uid="{00000000-0005-0000-0000-0000C9150000}"/>
    <cellStyle name="20% - Accent4 52 2 4 2" xfId="19160" xr:uid="{00000000-0005-0000-0000-0000CA150000}"/>
    <cellStyle name="20% - Accent4 52 2 5" xfId="5878" xr:uid="{00000000-0005-0000-0000-0000CB150000}"/>
    <cellStyle name="20% - Accent4 52 2 5 2" xfId="17166" xr:uid="{00000000-0005-0000-0000-0000CC150000}"/>
    <cellStyle name="20% - Accent4 52 2 6" xfId="15172" xr:uid="{00000000-0005-0000-0000-0000CD150000}"/>
    <cellStyle name="20% - Accent4 52 3" xfId="10863" xr:uid="{00000000-0005-0000-0000-0000CE150000}"/>
    <cellStyle name="20% - Accent4 52 3 2" xfId="22151" xr:uid="{00000000-0005-0000-0000-0000CF150000}"/>
    <cellStyle name="20% - Accent4 52 4" xfId="8869" xr:uid="{00000000-0005-0000-0000-0000D0150000}"/>
    <cellStyle name="20% - Accent4 52 4 2" xfId="20157" xr:uid="{00000000-0005-0000-0000-0000D1150000}"/>
    <cellStyle name="20% - Accent4 52 5" xfId="6875" xr:uid="{00000000-0005-0000-0000-0000D2150000}"/>
    <cellStyle name="20% - Accent4 52 5 2" xfId="18163" xr:uid="{00000000-0005-0000-0000-0000D3150000}"/>
    <cellStyle name="20% - Accent4 52 6" xfId="4881" xr:uid="{00000000-0005-0000-0000-0000D4150000}"/>
    <cellStyle name="20% - Accent4 52 6 2" xfId="16169" xr:uid="{00000000-0005-0000-0000-0000D5150000}"/>
    <cellStyle name="20% - Accent4 52 7" xfId="14175" xr:uid="{00000000-0005-0000-0000-0000D6150000}"/>
    <cellStyle name="20% - Accent4 52 8" xfId="12861" xr:uid="{00000000-0005-0000-0000-0000D7150000}"/>
    <cellStyle name="20% - Accent4 53" xfId="926" xr:uid="{00000000-0005-0000-0000-0000D8150000}"/>
    <cellStyle name="20% - Accent4 53 2" xfId="3882" xr:uid="{00000000-0005-0000-0000-0000D9150000}"/>
    <cellStyle name="20% - Accent4 53 2 2" xfId="11861" xr:uid="{00000000-0005-0000-0000-0000DA150000}"/>
    <cellStyle name="20% - Accent4 53 2 2 2" xfId="23149" xr:uid="{00000000-0005-0000-0000-0000DB150000}"/>
    <cellStyle name="20% - Accent4 53 2 3" xfId="9867" xr:uid="{00000000-0005-0000-0000-0000DC150000}"/>
    <cellStyle name="20% - Accent4 53 2 3 2" xfId="21155" xr:uid="{00000000-0005-0000-0000-0000DD150000}"/>
    <cellStyle name="20% - Accent4 53 2 4" xfId="7873" xr:uid="{00000000-0005-0000-0000-0000DE150000}"/>
    <cellStyle name="20% - Accent4 53 2 4 2" xfId="19161" xr:uid="{00000000-0005-0000-0000-0000DF150000}"/>
    <cellStyle name="20% - Accent4 53 2 5" xfId="5879" xr:uid="{00000000-0005-0000-0000-0000E0150000}"/>
    <cellStyle name="20% - Accent4 53 2 5 2" xfId="17167" xr:uid="{00000000-0005-0000-0000-0000E1150000}"/>
    <cellStyle name="20% - Accent4 53 2 6" xfId="15173" xr:uid="{00000000-0005-0000-0000-0000E2150000}"/>
    <cellStyle name="20% - Accent4 53 3" xfId="10864" xr:uid="{00000000-0005-0000-0000-0000E3150000}"/>
    <cellStyle name="20% - Accent4 53 3 2" xfId="22152" xr:uid="{00000000-0005-0000-0000-0000E4150000}"/>
    <cellStyle name="20% - Accent4 53 4" xfId="8870" xr:uid="{00000000-0005-0000-0000-0000E5150000}"/>
    <cellStyle name="20% - Accent4 53 4 2" xfId="20158" xr:uid="{00000000-0005-0000-0000-0000E6150000}"/>
    <cellStyle name="20% - Accent4 53 5" xfId="6876" xr:uid="{00000000-0005-0000-0000-0000E7150000}"/>
    <cellStyle name="20% - Accent4 53 5 2" xfId="18164" xr:uid="{00000000-0005-0000-0000-0000E8150000}"/>
    <cellStyle name="20% - Accent4 53 6" xfId="4882" xr:uid="{00000000-0005-0000-0000-0000E9150000}"/>
    <cellStyle name="20% - Accent4 53 6 2" xfId="16170" xr:uid="{00000000-0005-0000-0000-0000EA150000}"/>
    <cellStyle name="20% - Accent4 53 7" xfId="14176" xr:uid="{00000000-0005-0000-0000-0000EB150000}"/>
    <cellStyle name="20% - Accent4 53 8" xfId="12862" xr:uid="{00000000-0005-0000-0000-0000EC150000}"/>
    <cellStyle name="20% - Accent4 54" xfId="927" xr:uid="{00000000-0005-0000-0000-0000ED150000}"/>
    <cellStyle name="20% - Accent4 54 2" xfId="3883" xr:uid="{00000000-0005-0000-0000-0000EE150000}"/>
    <cellStyle name="20% - Accent4 54 2 2" xfId="11862" xr:uid="{00000000-0005-0000-0000-0000EF150000}"/>
    <cellStyle name="20% - Accent4 54 2 2 2" xfId="23150" xr:uid="{00000000-0005-0000-0000-0000F0150000}"/>
    <cellStyle name="20% - Accent4 54 2 3" xfId="9868" xr:uid="{00000000-0005-0000-0000-0000F1150000}"/>
    <cellStyle name="20% - Accent4 54 2 3 2" xfId="21156" xr:uid="{00000000-0005-0000-0000-0000F2150000}"/>
    <cellStyle name="20% - Accent4 54 2 4" xfId="7874" xr:uid="{00000000-0005-0000-0000-0000F3150000}"/>
    <cellStyle name="20% - Accent4 54 2 4 2" xfId="19162" xr:uid="{00000000-0005-0000-0000-0000F4150000}"/>
    <cellStyle name="20% - Accent4 54 2 5" xfId="5880" xr:uid="{00000000-0005-0000-0000-0000F5150000}"/>
    <cellStyle name="20% - Accent4 54 2 5 2" xfId="17168" xr:uid="{00000000-0005-0000-0000-0000F6150000}"/>
    <cellStyle name="20% - Accent4 54 2 6" xfId="15174" xr:uid="{00000000-0005-0000-0000-0000F7150000}"/>
    <cellStyle name="20% - Accent4 54 3" xfId="10865" xr:uid="{00000000-0005-0000-0000-0000F8150000}"/>
    <cellStyle name="20% - Accent4 54 3 2" xfId="22153" xr:uid="{00000000-0005-0000-0000-0000F9150000}"/>
    <cellStyle name="20% - Accent4 54 4" xfId="8871" xr:uid="{00000000-0005-0000-0000-0000FA150000}"/>
    <cellStyle name="20% - Accent4 54 4 2" xfId="20159" xr:uid="{00000000-0005-0000-0000-0000FB150000}"/>
    <cellStyle name="20% - Accent4 54 5" xfId="6877" xr:uid="{00000000-0005-0000-0000-0000FC150000}"/>
    <cellStyle name="20% - Accent4 54 5 2" xfId="18165" xr:uid="{00000000-0005-0000-0000-0000FD150000}"/>
    <cellStyle name="20% - Accent4 54 6" xfId="4883" xr:uid="{00000000-0005-0000-0000-0000FE150000}"/>
    <cellStyle name="20% - Accent4 54 6 2" xfId="16171" xr:uid="{00000000-0005-0000-0000-0000FF150000}"/>
    <cellStyle name="20% - Accent4 54 7" xfId="14177" xr:uid="{00000000-0005-0000-0000-000000160000}"/>
    <cellStyle name="20% - Accent4 54 8" xfId="12863" xr:uid="{00000000-0005-0000-0000-000001160000}"/>
    <cellStyle name="20% - Accent4 55" xfId="928" xr:uid="{00000000-0005-0000-0000-000002160000}"/>
    <cellStyle name="20% - Accent4 55 2" xfId="3884" xr:uid="{00000000-0005-0000-0000-000003160000}"/>
    <cellStyle name="20% - Accent4 55 2 2" xfId="11863" xr:uid="{00000000-0005-0000-0000-000004160000}"/>
    <cellStyle name="20% - Accent4 55 2 2 2" xfId="23151" xr:uid="{00000000-0005-0000-0000-000005160000}"/>
    <cellStyle name="20% - Accent4 55 2 3" xfId="9869" xr:uid="{00000000-0005-0000-0000-000006160000}"/>
    <cellStyle name="20% - Accent4 55 2 3 2" xfId="21157" xr:uid="{00000000-0005-0000-0000-000007160000}"/>
    <cellStyle name="20% - Accent4 55 2 4" xfId="7875" xr:uid="{00000000-0005-0000-0000-000008160000}"/>
    <cellStyle name="20% - Accent4 55 2 4 2" xfId="19163" xr:uid="{00000000-0005-0000-0000-000009160000}"/>
    <cellStyle name="20% - Accent4 55 2 5" xfId="5881" xr:uid="{00000000-0005-0000-0000-00000A160000}"/>
    <cellStyle name="20% - Accent4 55 2 5 2" xfId="17169" xr:uid="{00000000-0005-0000-0000-00000B160000}"/>
    <cellStyle name="20% - Accent4 55 2 6" xfId="15175" xr:uid="{00000000-0005-0000-0000-00000C160000}"/>
    <cellStyle name="20% - Accent4 55 3" xfId="10866" xr:uid="{00000000-0005-0000-0000-00000D160000}"/>
    <cellStyle name="20% - Accent4 55 3 2" xfId="22154" xr:uid="{00000000-0005-0000-0000-00000E160000}"/>
    <cellStyle name="20% - Accent4 55 4" xfId="8872" xr:uid="{00000000-0005-0000-0000-00000F160000}"/>
    <cellStyle name="20% - Accent4 55 4 2" xfId="20160" xr:uid="{00000000-0005-0000-0000-000010160000}"/>
    <cellStyle name="20% - Accent4 55 5" xfId="6878" xr:uid="{00000000-0005-0000-0000-000011160000}"/>
    <cellStyle name="20% - Accent4 55 5 2" xfId="18166" xr:uid="{00000000-0005-0000-0000-000012160000}"/>
    <cellStyle name="20% - Accent4 55 6" xfId="4884" xr:uid="{00000000-0005-0000-0000-000013160000}"/>
    <cellStyle name="20% - Accent4 55 6 2" xfId="16172" xr:uid="{00000000-0005-0000-0000-000014160000}"/>
    <cellStyle name="20% - Accent4 55 7" xfId="14178" xr:uid="{00000000-0005-0000-0000-000015160000}"/>
    <cellStyle name="20% - Accent4 55 8" xfId="12864" xr:uid="{00000000-0005-0000-0000-000016160000}"/>
    <cellStyle name="20% - Accent4 56" xfId="929" xr:uid="{00000000-0005-0000-0000-000017160000}"/>
    <cellStyle name="20% - Accent4 56 2" xfId="3885" xr:uid="{00000000-0005-0000-0000-000018160000}"/>
    <cellStyle name="20% - Accent4 56 2 2" xfId="11864" xr:uid="{00000000-0005-0000-0000-000019160000}"/>
    <cellStyle name="20% - Accent4 56 2 2 2" xfId="23152" xr:uid="{00000000-0005-0000-0000-00001A160000}"/>
    <cellStyle name="20% - Accent4 56 2 3" xfId="9870" xr:uid="{00000000-0005-0000-0000-00001B160000}"/>
    <cellStyle name="20% - Accent4 56 2 3 2" xfId="21158" xr:uid="{00000000-0005-0000-0000-00001C160000}"/>
    <cellStyle name="20% - Accent4 56 2 4" xfId="7876" xr:uid="{00000000-0005-0000-0000-00001D160000}"/>
    <cellStyle name="20% - Accent4 56 2 4 2" xfId="19164" xr:uid="{00000000-0005-0000-0000-00001E160000}"/>
    <cellStyle name="20% - Accent4 56 2 5" xfId="5882" xr:uid="{00000000-0005-0000-0000-00001F160000}"/>
    <cellStyle name="20% - Accent4 56 2 5 2" xfId="17170" xr:uid="{00000000-0005-0000-0000-000020160000}"/>
    <cellStyle name="20% - Accent4 56 2 6" xfId="15176" xr:uid="{00000000-0005-0000-0000-000021160000}"/>
    <cellStyle name="20% - Accent4 56 3" xfId="10867" xr:uid="{00000000-0005-0000-0000-000022160000}"/>
    <cellStyle name="20% - Accent4 56 3 2" xfId="22155" xr:uid="{00000000-0005-0000-0000-000023160000}"/>
    <cellStyle name="20% - Accent4 56 4" xfId="8873" xr:uid="{00000000-0005-0000-0000-000024160000}"/>
    <cellStyle name="20% - Accent4 56 4 2" xfId="20161" xr:uid="{00000000-0005-0000-0000-000025160000}"/>
    <cellStyle name="20% - Accent4 56 5" xfId="6879" xr:uid="{00000000-0005-0000-0000-000026160000}"/>
    <cellStyle name="20% - Accent4 56 5 2" xfId="18167" xr:uid="{00000000-0005-0000-0000-000027160000}"/>
    <cellStyle name="20% - Accent4 56 6" xfId="4885" xr:uid="{00000000-0005-0000-0000-000028160000}"/>
    <cellStyle name="20% - Accent4 56 6 2" xfId="16173" xr:uid="{00000000-0005-0000-0000-000029160000}"/>
    <cellStyle name="20% - Accent4 56 7" xfId="14179" xr:uid="{00000000-0005-0000-0000-00002A160000}"/>
    <cellStyle name="20% - Accent4 56 8" xfId="12865" xr:uid="{00000000-0005-0000-0000-00002B160000}"/>
    <cellStyle name="20% - Accent4 57" xfId="930" xr:uid="{00000000-0005-0000-0000-00002C160000}"/>
    <cellStyle name="20% - Accent4 57 2" xfId="3886" xr:uid="{00000000-0005-0000-0000-00002D160000}"/>
    <cellStyle name="20% - Accent4 57 2 2" xfId="11865" xr:uid="{00000000-0005-0000-0000-00002E160000}"/>
    <cellStyle name="20% - Accent4 57 2 2 2" xfId="23153" xr:uid="{00000000-0005-0000-0000-00002F160000}"/>
    <cellStyle name="20% - Accent4 57 2 3" xfId="9871" xr:uid="{00000000-0005-0000-0000-000030160000}"/>
    <cellStyle name="20% - Accent4 57 2 3 2" xfId="21159" xr:uid="{00000000-0005-0000-0000-000031160000}"/>
    <cellStyle name="20% - Accent4 57 2 4" xfId="7877" xr:uid="{00000000-0005-0000-0000-000032160000}"/>
    <cellStyle name="20% - Accent4 57 2 4 2" xfId="19165" xr:uid="{00000000-0005-0000-0000-000033160000}"/>
    <cellStyle name="20% - Accent4 57 2 5" xfId="5883" xr:uid="{00000000-0005-0000-0000-000034160000}"/>
    <cellStyle name="20% - Accent4 57 2 5 2" xfId="17171" xr:uid="{00000000-0005-0000-0000-000035160000}"/>
    <cellStyle name="20% - Accent4 57 2 6" xfId="15177" xr:uid="{00000000-0005-0000-0000-000036160000}"/>
    <cellStyle name="20% - Accent4 57 3" xfId="10868" xr:uid="{00000000-0005-0000-0000-000037160000}"/>
    <cellStyle name="20% - Accent4 57 3 2" xfId="22156" xr:uid="{00000000-0005-0000-0000-000038160000}"/>
    <cellStyle name="20% - Accent4 57 4" xfId="8874" xr:uid="{00000000-0005-0000-0000-000039160000}"/>
    <cellStyle name="20% - Accent4 57 4 2" xfId="20162" xr:uid="{00000000-0005-0000-0000-00003A160000}"/>
    <cellStyle name="20% - Accent4 57 5" xfId="6880" xr:uid="{00000000-0005-0000-0000-00003B160000}"/>
    <cellStyle name="20% - Accent4 57 5 2" xfId="18168" xr:uid="{00000000-0005-0000-0000-00003C160000}"/>
    <cellStyle name="20% - Accent4 57 6" xfId="4886" xr:uid="{00000000-0005-0000-0000-00003D160000}"/>
    <cellStyle name="20% - Accent4 57 6 2" xfId="16174" xr:uid="{00000000-0005-0000-0000-00003E160000}"/>
    <cellStyle name="20% - Accent4 57 7" xfId="14180" xr:uid="{00000000-0005-0000-0000-00003F160000}"/>
    <cellStyle name="20% - Accent4 57 8" xfId="12866" xr:uid="{00000000-0005-0000-0000-000040160000}"/>
    <cellStyle name="20% - Accent4 58" xfId="931" xr:uid="{00000000-0005-0000-0000-000041160000}"/>
    <cellStyle name="20% - Accent4 58 2" xfId="3887" xr:uid="{00000000-0005-0000-0000-000042160000}"/>
    <cellStyle name="20% - Accent4 58 2 2" xfId="11866" xr:uid="{00000000-0005-0000-0000-000043160000}"/>
    <cellStyle name="20% - Accent4 58 2 2 2" xfId="23154" xr:uid="{00000000-0005-0000-0000-000044160000}"/>
    <cellStyle name="20% - Accent4 58 2 3" xfId="9872" xr:uid="{00000000-0005-0000-0000-000045160000}"/>
    <cellStyle name="20% - Accent4 58 2 3 2" xfId="21160" xr:uid="{00000000-0005-0000-0000-000046160000}"/>
    <cellStyle name="20% - Accent4 58 2 4" xfId="7878" xr:uid="{00000000-0005-0000-0000-000047160000}"/>
    <cellStyle name="20% - Accent4 58 2 4 2" xfId="19166" xr:uid="{00000000-0005-0000-0000-000048160000}"/>
    <cellStyle name="20% - Accent4 58 2 5" xfId="5884" xr:uid="{00000000-0005-0000-0000-000049160000}"/>
    <cellStyle name="20% - Accent4 58 2 5 2" xfId="17172" xr:uid="{00000000-0005-0000-0000-00004A160000}"/>
    <cellStyle name="20% - Accent4 58 2 6" xfId="15178" xr:uid="{00000000-0005-0000-0000-00004B160000}"/>
    <cellStyle name="20% - Accent4 58 3" xfId="10869" xr:uid="{00000000-0005-0000-0000-00004C160000}"/>
    <cellStyle name="20% - Accent4 58 3 2" xfId="22157" xr:uid="{00000000-0005-0000-0000-00004D160000}"/>
    <cellStyle name="20% - Accent4 58 4" xfId="8875" xr:uid="{00000000-0005-0000-0000-00004E160000}"/>
    <cellStyle name="20% - Accent4 58 4 2" xfId="20163" xr:uid="{00000000-0005-0000-0000-00004F160000}"/>
    <cellStyle name="20% - Accent4 58 5" xfId="6881" xr:uid="{00000000-0005-0000-0000-000050160000}"/>
    <cellStyle name="20% - Accent4 58 5 2" xfId="18169" xr:uid="{00000000-0005-0000-0000-000051160000}"/>
    <cellStyle name="20% - Accent4 58 6" xfId="4887" xr:uid="{00000000-0005-0000-0000-000052160000}"/>
    <cellStyle name="20% - Accent4 58 6 2" xfId="16175" xr:uid="{00000000-0005-0000-0000-000053160000}"/>
    <cellStyle name="20% - Accent4 58 7" xfId="14181" xr:uid="{00000000-0005-0000-0000-000054160000}"/>
    <cellStyle name="20% - Accent4 58 8" xfId="12867" xr:uid="{00000000-0005-0000-0000-000055160000}"/>
    <cellStyle name="20% - Accent4 59" xfId="932" xr:uid="{00000000-0005-0000-0000-000056160000}"/>
    <cellStyle name="20% - Accent4 59 2" xfId="3888" xr:uid="{00000000-0005-0000-0000-000057160000}"/>
    <cellStyle name="20% - Accent4 59 2 2" xfId="11867" xr:uid="{00000000-0005-0000-0000-000058160000}"/>
    <cellStyle name="20% - Accent4 59 2 2 2" xfId="23155" xr:uid="{00000000-0005-0000-0000-000059160000}"/>
    <cellStyle name="20% - Accent4 59 2 3" xfId="9873" xr:uid="{00000000-0005-0000-0000-00005A160000}"/>
    <cellStyle name="20% - Accent4 59 2 3 2" xfId="21161" xr:uid="{00000000-0005-0000-0000-00005B160000}"/>
    <cellStyle name="20% - Accent4 59 2 4" xfId="7879" xr:uid="{00000000-0005-0000-0000-00005C160000}"/>
    <cellStyle name="20% - Accent4 59 2 4 2" xfId="19167" xr:uid="{00000000-0005-0000-0000-00005D160000}"/>
    <cellStyle name="20% - Accent4 59 2 5" xfId="5885" xr:uid="{00000000-0005-0000-0000-00005E160000}"/>
    <cellStyle name="20% - Accent4 59 2 5 2" xfId="17173" xr:uid="{00000000-0005-0000-0000-00005F160000}"/>
    <cellStyle name="20% - Accent4 59 2 6" xfId="15179" xr:uid="{00000000-0005-0000-0000-000060160000}"/>
    <cellStyle name="20% - Accent4 59 3" xfId="10870" xr:uid="{00000000-0005-0000-0000-000061160000}"/>
    <cellStyle name="20% - Accent4 59 3 2" xfId="22158" xr:uid="{00000000-0005-0000-0000-000062160000}"/>
    <cellStyle name="20% - Accent4 59 4" xfId="8876" xr:uid="{00000000-0005-0000-0000-000063160000}"/>
    <cellStyle name="20% - Accent4 59 4 2" xfId="20164" xr:uid="{00000000-0005-0000-0000-000064160000}"/>
    <cellStyle name="20% - Accent4 59 5" xfId="6882" xr:uid="{00000000-0005-0000-0000-000065160000}"/>
    <cellStyle name="20% - Accent4 59 5 2" xfId="18170" xr:uid="{00000000-0005-0000-0000-000066160000}"/>
    <cellStyle name="20% - Accent4 59 6" xfId="4888" xr:uid="{00000000-0005-0000-0000-000067160000}"/>
    <cellStyle name="20% - Accent4 59 6 2" xfId="16176" xr:uid="{00000000-0005-0000-0000-000068160000}"/>
    <cellStyle name="20% - Accent4 59 7" xfId="14182" xr:uid="{00000000-0005-0000-0000-000069160000}"/>
    <cellStyle name="20% - Accent4 59 8" xfId="12868" xr:uid="{00000000-0005-0000-0000-00006A160000}"/>
    <cellStyle name="20% - Accent4 6" xfId="933" xr:uid="{00000000-0005-0000-0000-00006B160000}"/>
    <cellStyle name="20% - Accent4 6 10" xfId="24581" xr:uid="{00000000-0005-0000-0000-00006C160000}"/>
    <cellStyle name="20% - Accent4 6 11" xfId="24971" xr:uid="{00000000-0005-0000-0000-00006D160000}"/>
    <cellStyle name="20% - Accent4 6 2" xfId="3889" xr:uid="{00000000-0005-0000-0000-00006E160000}"/>
    <cellStyle name="20% - Accent4 6 2 2" xfId="11868" xr:uid="{00000000-0005-0000-0000-00006F160000}"/>
    <cellStyle name="20% - Accent4 6 2 2 2" xfId="23156" xr:uid="{00000000-0005-0000-0000-000070160000}"/>
    <cellStyle name="20% - Accent4 6 2 3" xfId="9874" xr:uid="{00000000-0005-0000-0000-000071160000}"/>
    <cellStyle name="20% - Accent4 6 2 3 2" xfId="21162" xr:uid="{00000000-0005-0000-0000-000072160000}"/>
    <cellStyle name="20% - Accent4 6 2 4" xfId="7880" xr:uid="{00000000-0005-0000-0000-000073160000}"/>
    <cellStyle name="20% - Accent4 6 2 4 2" xfId="19168" xr:uid="{00000000-0005-0000-0000-000074160000}"/>
    <cellStyle name="20% - Accent4 6 2 5" xfId="5886" xr:uid="{00000000-0005-0000-0000-000075160000}"/>
    <cellStyle name="20% - Accent4 6 2 5 2" xfId="17174" xr:uid="{00000000-0005-0000-0000-000076160000}"/>
    <cellStyle name="20% - Accent4 6 2 6" xfId="15180" xr:uid="{00000000-0005-0000-0000-000077160000}"/>
    <cellStyle name="20% - Accent4 6 2 7" xfId="24342" xr:uid="{00000000-0005-0000-0000-000078160000}"/>
    <cellStyle name="20% - Accent4 6 2 8" xfId="24806" xr:uid="{00000000-0005-0000-0000-000079160000}"/>
    <cellStyle name="20% - Accent4 6 2 9" xfId="25173" xr:uid="{00000000-0005-0000-0000-00007A160000}"/>
    <cellStyle name="20% - Accent4 6 3" xfId="10871" xr:uid="{00000000-0005-0000-0000-00007B160000}"/>
    <cellStyle name="20% - Accent4 6 3 2" xfId="22159" xr:uid="{00000000-0005-0000-0000-00007C160000}"/>
    <cellStyle name="20% - Accent4 6 4" xfId="8877" xr:uid="{00000000-0005-0000-0000-00007D160000}"/>
    <cellStyle name="20% - Accent4 6 4 2" xfId="20165" xr:uid="{00000000-0005-0000-0000-00007E160000}"/>
    <cellStyle name="20% - Accent4 6 5" xfId="6883" xr:uid="{00000000-0005-0000-0000-00007F160000}"/>
    <cellStyle name="20% - Accent4 6 5 2" xfId="18171" xr:uid="{00000000-0005-0000-0000-000080160000}"/>
    <cellStyle name="20% - Accent4 6 6" xfId="4889" xr:uid="{00000000-0005-0000-0000-000081160000}"/>
    <cellStyle name="20% - Accent4 6 6 2" xfId="16177" xr:uid="{00000000-0005-0000-0000-000082160000}"/>
    <cellStyle name="20% - Accent4 6 7" xfId="14183" xr:uid="{00000000-0005-0000-0000-000083160000}"/>
    <cellStyle name="20% - Accent4 6 8" xfId="12869" xr:uid="{00000000-0005-0000-0000-000084160000}"/>
    <cellStyle name="20% - Accent4 6 9" xfId="23954" xr:uid="{00000000-0005-0000-0000-000085160000}"/>
    <cellStyle name="20% - Accent4 60" xfId="934" xr:uid="{00000000-0005-0000-0000-000086160000}"/>
    <cellStyle name="20% - Accent4 60 2" xfId="3890" xr:uid="{00000000-0005-0000-0000-000087160000}"/>
    <cellStyle name="20% - Accent4 60 2 2" xfId="11869" xr:uid="{00000000-0005-0000-0000-000088160000}"/>
    <cellStyle name="20% - Accent4 60 2 2 2" xfId="23157" xr:uid="{00000000-0005-0000-0000-000089160000}"/>
    <cellStyle name="20% - Accent4 60 2 3" xfId="9875" xr:uid="{00000000-0005-0000-0000-00008A160000}"/>
    <cellStyle name="20% - Accent4 60 2 3 2" xfId="21163" xr:uid="{00000000-0005-0000-0000-00008B160000}"/>
    <cellStyle name="20% - Accent4 60 2 4" xfId="7881" xr:uid="{00000000-0005-0000-0000-00008C160000}"/>
    <cellStyle name="20% - Accent4 60 2 4 2" xfId="19169" xr:uid="{00000000-0005-0000-0000-00008D160000}"/>
    <cellStyle name="20% - Accent4 60 2 5" xfId="5887" xr:uid="{00000000-0005-0000-0000-00008E160000}"/>
    <cellStyle name="20% - Accent4 60 2 5 2" xfId="17175" xr:uid="{00000000-0005-0000-0000-00008F160000}"/>
    <cellStyle name="20% - Accent4 60 2 6" xfId="15181" xr:uid="{00000000-0005-0000-0000-000090160000}"/>
    <cellStyle name="20% - Accent4 60 3" xfId="10872" xr:uid="{00000000-0005-0000-0000-000091160000}"/>
    <cellStyle name="20% - Accent4 60 3 2" xfId="22160" xr:uid="{00000000-0005-0000-0000-000092160000}"/>
    <cellStyle name="20% - Accent4 60 4" xfId="8878" xr:uid="{00000000-0005-0000-0000-000093160000}"/>
    <cellStyle name="20% - Accent4 60 4 2" xfId="20166" xr:uid="{00000000-0005-0000-0000-000094160000}"/>
    <cellStyle name="20% - Accent4 60 5" xfId="6884" xr:uid="{00000000-0005-0000-0000-000095160000}"/>
    <cellStyle name="20% - Accent4 60 5 2" xfId="18172" xr:uid="{00000000-0005-0000-0000-000096160000}"/>
    <cellStyle name="20% - Accent4 60 6" xfId="4890" xr:uid="{00000000-0005-0000-0000-000097160000}"/>
    <cellStyle name="20% - Accent4 60 6 2" xfId="16178" xr:uid="{00000000-0005-0000-0000-000098160000}"/>
    <cellStyle name="20% - Accent4 60 7" xfId="14184" xr:uid="{00000000-0005-0000-0000-000099160000}"/>
    <cellStyle name="20% - Accent4 60 8" xfId="12870" xr:uid="{00000000-0005-0000-0000-00009A160000}"/>
    <cellStyle name="20% - Accent4 61" xfId="935" xr:uid="{00000000-0005-0000-0000-00009B160000}"/>
    <cellStyle name="20% - Accent4 61 2" xfId="3891" xr:uid="{00000000-0005-0000-0000-00009C160000}"/>
    <cellStyle name="20% - Accent4 61 2 2" xfId="11870" xr:uid="{00000000-0005-0000-0000-00009D160000}"/>
    <cellStyle name="20% - Accent4 61 2 2 2" xfId="23158" xr:uid="{00000000-0005-0000-0000-00009E160000}"/>
    <cellStyle name="20% - Accent4 61 2 3" xfId="9876" xr:uid="{00000000-0005-0000-0000-00009F160000}"/>
    <cellStyle name="20% - Accent4 61 2 3 2" xfId="21164" xr:uid="{00000000-0005-0000-0000-0000A0160000}"/>
    <cellStyle name="20% - Accent4 61 2 4" xfId="7882" xr:uid="{00000000-0005-0000-0000-0000A1160000}"/>
    <cellStyle name="20% - Accent4 61 2 4 2" xfId="19170" xr:uid="{00000000-0005-0000-0000-0000A2160000}"/>
    <cellStyle name="20% - Accent4 61 2 5" xfId="5888" xr:uid="{00000000-0005-0000-0000-0000A3160000}"/>
    <cellStyle name="20% - Accent4 61 2 5 2" xfId="17176" xr:uid="{00000000-0005-0000-0000-0000A4160000}"/>
    <cellStyle name="20% - Accent4 61 2 6" xfId="15182" xr:uid="{00000000-0005-0000-0000-0000A5160000}"/>
    <cellStyle name="20% - Accent4 61 3" xfId="10873" xr:uid="{00000000-0005-0000-0000-0000A6160000}"/>
    <cellStyle name="20% - Accent4 61 3 2" xfId="22161" xr:uid="{00000000-0005-0000-0000-0000A7160000}"/>
    <cellStyle name="20% - Accent4 61 4" xfId="8879" xr:uid="{00000000-0005-0000-0000-0000A8160000}"/>
    <cellStyle name="20% - Accent4 61 4 2" xfId="20167" xr:uid="{00000000-0005-0000-0000-0000A9160000}"/>
    <cellStyle name="20% - Accent4 61 5" xfId="6885" xr:uid="{00000000-0005-0000-0000-0000AA160000}"/>
    <cellStyle name="20% - Accent4 61 5 2" xfId="18173" xr:uid="{00000000-0005-0000-0000-0000AB160000}"/>
    <cellStyle name="20% - Accent4 61 6" xfId="4891" xr:uid="{00000000-0005-0000-0000-0000AC160000}"/>
    <cellStyle name="20% - Accent4 61 6 2" xfId="16179" xr:uid="{00000000-0005-0000-0000-0000AD160000}"/>
    <cellStyle name="20% - Accent4 61 7" xfId="14185" xr:uid="{00000000-0005-0000-0000-0000AE160000}"/>
    <cellStyle name="20% - Accent4 61 8" xfId="12871" xr:uid="{00000000-0005-0000-0000-0000AF160000}"/>
    <cellStyle name="20% - Accent4 62" xfId="936" xr:uid="{00000000-0005-0000-0000-0000B0160000}"/>
    <cellStyle name="20% - Accent4 62 2" xfId="3892" xr:uid="{00000000-0005-0000-0000-0000B1160000}"/>
    <cellStyle name="20% - Accent4 62 2 2" xfId="11871" xr:uid="{00000000-0005-0000-0000-0000B2160000}"/>
    <cellStyle name="20% - Accent4 62 2 2 2" xfId="23159" xr:uid="{00000000-0005-0000-0000-0000B3160000}"/>
    <cellStyle name="20% - Accent4 62 2 3" xfId="9877" xr:uid="{00000000-0005-0000-0000-0000B4160000}"/>
    <cellStyle name="20% - Accent4 62 2 3 2" xfId="21165" xr:uid="{00000000-0005-0000-0000-0000B5160000}"/>
    <cellStyle name="20% - Accent4 62 2 4" xfId="7883" xr:uid="{00000000-0005-0000-0000-0000B6160000}"/>
    <cellStyle name="20% - Accent4 62 2 4 2" xfId="19171" xr:uid="{00000000-0005-0000-0000-0000B7160000}"/>
    <cellStyle name="20% - Accent4 62 2 5" xfId="5889" xr:uid="{00000000-0005-0000-0000-0000B8160000}"/>
    <cellStyle name="20% - Accent4 62 2 5 2" xfId="17177" xr:uid="{00000000-0005-0000-0000-0000B9160000}"/>
    <cellStyle name="20% - Accent4 62 2 6" xfId="15183" xr:uid="{00000000-0005-0000-0000-0000BA160000}"/>
    <cellStyle name="20% - Accent4 62 3" xfId="10874" xr:uid="{00000000-0005-0000-0000-0000BB160000}"/>
    <cellStyle name="20% - Accent4 62 3 2" xfId="22162" xr:uid="{00000000-0005-0000-0000-0000BC160000}"/>
    <cellStyle name="20% - Accent4 62 4" xfId="8880" xr:uid="{00000000-0005-0000-0000-0000BD160000}"/>
    <cellStyle name="20% - Accent4 62 4 2" xfId="20168" xr:uid="{00000000-0005-0000-0000-0000BE160000}"/>
    <cellStyle name="20% - Accent4 62 5" xfId="6886" xr:uid="{00000000-0005-0000-0000-0000BF160000}"/>
    <cellStyle name="20% - Accent4 62 5 2" xfId="18174" xr:uid="{00000000-0005-0000-0000-0000C0160000}"/>
    <cellStyle name="20% - Accent4 62 6" xfId="4892" xr:uid="{00000000-0005-0000-0000-0000C1160000}"/>
    <cellStyle name="20% - Accent4 62 6 2" xfId="16180" xr:uid="{00000000-0005-0000-0000-0000C2160000}"/>
    <cellStyle name="20% - Accent4 62 7" xfId="14186" xr:uid="{00000000-0005-0000-0000-0000C3160000}"/>
    <cellStyle name="20% - Accent4 62 8" xfId="12872" xr:uid="{00000000-0005-0000-0000-0000C4160000}"/>
    <cellStyle name="20% - Accent4 63" xfId="937" xr:uid="{00000000-0005-0000-0000-0000C5160000}"/>
    <cellStyle name="20% - Accent4 63 2" xfId="3893" xr:uid="{00000000-0005-0000-0000-0000C6160000}"/>
    <cellStyle name="20% - Accent4 63 2 2" xfId="11872" xr:uid="{00000000-0005-0000-0000-0000C7160000}"/>
    <cellStyle name="20% - Accent4 63 2 2 2" xfId="23160" xr:uid="{00000000-0005-0000-0000-0000C8160000}"/>
    <cellStyle name="20% - Accent4 63 2 3" xfId="9878" xr:uid="{00000000-0005-0000-0000-0000C9160000}"/>
    <cellStyle name="20% - Accent4 63 2 3 2" xfId="21166" xr:uid="{00000000-0005-0000-0000-0000CA160000}"/>
    <cellStyle name="20% - Accent4 63 2 4" xfId="7884" xr:uid="{00000000-0005-0000-0000-0000CB160000}"/>
    <cellStyle name="20% - Accent4 63 2 4 2" xfId="19172" xr:uid="{00000000-0005-0000-0000-0000CC160000}"/>
    <cellStyle name="20% - Accent4 63 2 5" xfId="5890" xr:uid="{00000000-0005-0000-0000-0000CD160000}"/>
    <cellStyle name="20% - Accent4 63 2 5 2" xfId="17178" xr:uid="{00000000-0005-0000-0000-0000CE160000}"/>
    <cellStyle name="20% - Accent4 63 2 6" xfId="15184" xr:uid="{00000000-0005-0000-0000-0000CF160000}"/>
    <cellStyle name="20% - Accent4 63 3" xfId="10875" xr:uid="{00000000-0005-0000-0000-0000D0160000}"/>
    <cellStyle name="20% - Accent4 63 3 2" xfId="22163" xr:uid="{00000000-0005-0000-0000-0000D1160000}"/>
    <cellStyle name="20% - Accent4 63 4" xfId="8881" xr:uid="{00000000-0005-0000-0000-0000D2160000}"/>
    <cellStyle name="20% - Accent4 63 4 2" xfId="20169" xr:uid="{00000000-0005-0000-0000-0000D3160000}"/>
    <cellStyle name="20% - Accent4 63 5" xfId="6887" xr:uid="{00000000-0005-0000-0000-0000D4160000}"/>
    <cellStyle name="20% - Accent4 63 5 2" xfId="18175" xr:uid="{00000000-0005-0000-0000-0000D5160000}"/>
    <cellStyle name="20% - Accent4 63 6" xfId="4893" xr:uid="{00000000-0005-0000-0000-0000D6160000}"/>
    <cellStyle name="20% - Accent4 63 6 2" xfId="16181" xr:uid="{00000000-0005-0000-0000-0000D7160000}"/>
    <cellStyle name="20% - Accent4 63 7" xfId="14187" xr:uid="{00000000-0005-0000-0000-0000D8160000}"/>
    <cellStyle name="20% - Accent4 63 8" xfId="12873" xr:uid="{00000000-0005-0000-0000-0000D9160000}"/>
    <cellStyle name="20% - Accent4 64" xfId="938" xr:uid="{00000000-0005-0000-0000-0000DA160000}"/>
    <cellStyle name="20% - Accent4 64 2" xfId="3894" xr:uid="{00000000-0005-0000-0000-0000DB160000}"/>
    <cellStyle name="20% - Accent4 64 2 2" xfId="11873" xr:uid="{00000000-0005-0000-0000-0000DC160000}"/>
    <cellStyle name="20% - Accent4 64 2 2 2" xfId="23161" xr:uid="{00000000-0005-0000-0000-0000DD160000}"/>
    <cellStyle name="20% - Accent4 64 2 3" xfId="9879" xr:uid="{00000000-0005-0000-0000-0000DE160000}"/>
    <cellStyle name="20% - Accent4 64 2 3 2" xfId="21167" xr:uid="{00000000-0005-0000-0000-0000DF160000}"/>
    <cellStyle name="20% - Accent4 64 2 4" xfId="7885" xr:uid="{00000000-0005-0000-0000-0000E0160000}"/>
    <cellStyle name="20% - Accent4 64 2 4 2" xfId="19173" xr:uid="{00000000-0005-0000-0000-0000E1160000}"/>
    <cellStyle name="20% - Accent4 64 2 5" xfId="5891" xr:uid="{00000000-0005-0000-0000-0000E2160000}"/>
    <cellStyle name="20% - Accent4 64 2 5 2" xfId="17179" xr:uid="{00000000-0005-0000-0000-0000E3160000}"/>
    <cellStyle name="20% - Accent4 64 2 6" xfId="15185" xr:uid="{00000000-0005-0000-0000-0000E4160000}"/>
    <cellStyle name="20% - Accent4 64 3" xfId="10876" xr:uid="{00000000-0005-0000-0000-0000E5160000}"/>
    <cellStyle name="20% - Accent4 64 3 2" xfId="22164" xr:uid="{00000000-0005-0000-0000-0000E6160000}"/>
    <cellStyle name="20% - Accent4 64 4" xfId="8882" xr:uid="{00000000-0005-0000-0000-0000E7160000}"/>
    <cellStyle name="20% - Accent4 64 4 2" xfId="20170" xr:uid="{00000000-0005-0000-0000-0000E8160000}"/>
    <cellStyle name="20% - Accent4 64 5" xfId="6888" xr:uid="{00000000-0005-0000-0000-0000E9160000}"/>
    <cellStyle name="20% - Accent4 64 5 2" xfId="18176" xr:uid="{00000000-0005-0000-0000-0000EA160000}"/>
    <cellStyle name="20% - Accent4 64 6" xfId="4894" xr:uid="{00000000-0005-0000-0000-0000EB160000}"/>
    <cellStyle name="20% - Accent4 64 6 2" xfId="16182" xr:uid="{00000000-0005-0000-0000-0000EC160000}"/>
    <cellStyle name="20% - Accent4 64 7" xfId="14188" xr:uid="{00000000-0005-0000-0000-0000ED160000}"/>
    <cellStyle name="20% - Accent4 64 8" xfId="12874" xr:uid="{00000000-0005-0000-0000-0000EE160000}"/>
    <cellStyle name="20% - Accent4 65" xfId="939" xr:uid="{00000000-0005-0000-0000-0000EF160000}"/>
    <cellStyle name="20% - Accent4 65 2" xfId="3895" xr:uid="{00000000-0005-0000-0000-0000F0160000}"/>
    <cellStyle name="20% - Accent4 65 2 2" xfId="11874" xr:uid="{00000000-0005-0000-0000-0000F1160000}"/>
    <cellStyle name="20% - Accent4 65 2 2 2" xfId="23162" xr:uid="{00000000-0005-0000-0000-0000F2160000}"/>
    <cellStyle name="20% - Accent4 65 2 3" xfId="9880" xr:uid="{00000000-0005-0000-0000-0000F3160000}"/>
    <cellStyle name="20% - Accent4 65 2 3 2" xfId="21168" xr:uid="{00000000-0005-0000-0000-0000F4160000}"/>
    <cellStyle name="20% - Accent4 65 2 4" xfId="7886" xr:uid="{00000000-0005-0000-0000-0000F5160000}"/>
    <cellStyle name="20% - Accent4 65 2 4 2" xfId="19174" xr:uid="{00000000-0005-0000-0000-0000F6160000}"/>
    <cellStyle name="20% - Accent4 65 2 5" xfId="5892" xr:uid="{00000000-0005-0000-0000-0000F7160000}"/>
    <cellStyle name="20% - Accent4 65 2 5 2" xfId="17180" xr:uid="{00000000-0005-0000-0000-0000F8160000}"/>
    <cellStyle name="20% - Accent4 65 2 6" xfId="15186" xr:uid="{00000000-0005-0000-0000-0000F9160000}"/>
    <cellStyle name="20% - Accent4 65 3" xfId="10877" xr:uid="{00000000-0005-0000-0000-0000FA160000}"/>
    <cellStyle name="20% - Accent4 65 3 2" xfId="22165" xr:uid="{00000000-0005-0000-0000-0000FB160000}"/>
    <cellStyle name="20% - Accent4 65 4" xfId="8883" xr:uid="{00000000-0005-0000-0000-0000FC160000}"/>
    <cellStyle name="20% - Accent4 65 4 2" xfId="20171" xr:uid="{00000000-0005-0000-0000-0000FD160000}"/>
    <cellStyle name="20% - Accent4 65 5" xfId="6889" xr:uid="{00000000-0005-0000-0000-0000FE160000}"/>
    <cellStyle name="20% - Accent4 65 5 2" xfId="18177" xr:uid="{00000000-0005-0000-0000-0000FF160000}"/>
    <cellStyle name="20% - Accent4 65 6" xfId="4895" xr:uid="{00000000-0005-0000-0000-000000170000}"/>
    <cellStyle name="20% - Accent4 65 6 2" xfId="16183" xr:uid="{00000000-0005-0000-0000-000001170000}"/>
    <cellStyle name="20% - Accent4 65 7" xfId="14189" xr:uid="{00000000-0005-0000-0000-000002170000}"/>
    <cellStyle name="20% - Accent4 65 8" xfId="12875" xr:uid="{00000000-0005-0000-0000-000003170000}"/>
    <cellStyle name="20% - Accent4 66" xfId="940" xr:uid="{00000000-0005-0000-0000-000004170000}"/>
    <cellStyle name="20% - Accent4 66 2" xfId="3896" xr:uid="{00000000-0005-0000-0000-000005170000}"/>
    <cellStyle name="20% - Accent4 66 2 2" xfId="11875" xr:uid="{00000000-0005-0000-0000-000006170000}"/>
    <cellStyle name="20% - Accent4 66 2 2 2" xfId="23163" xr:uid="{00000000-0005-0000-0000-000007170000}"/>
    <cellStyle name="20% - Accent4 66 2 3" xfId="9881" xr:uid="{00000000-0005-0000-0000-000008170000}"/>
    <cellStyle name="20% - Accent4 66 2 3 2" xfId="21169" xr:uid="{00000000-0005-0000-0000-000009170000}"/>
    <cellStyle name="20% - Accent4 66 2 4" xfId="7887" xr:uid="{00000000-0005-0000-0000-00000A170000}"/>
    <cellStyle name="20% - Accent4 66 2 4 2" xfId="19175" xr:uid="{00000000-0005-0000-0000-00000B170000}"/>
    <cellStyle name="20% - Accent4 66 2 5" xfId="5893" xr:uid="{00000000-0005-0000-0000-00000C170000}"/>
    <cellStyle name="20% - Accent4 66 2 5 2" xfId="17181" xr:uid="{00000000-0005-0000-0000-00000D170000}"/>
    <cellStyle name="20% - Accent4 66 2 6" xfId="15187" xr:uid="{00000000-0005-0000-0000-00000E170000}"/>
    <cellStyle name="20% - Accent4 66 3" xfId="10878" xr:uid="{00000000-0005-0000-0000-00000F170000}"/>
    <cellStyle name="20% - Accent4 66 3 2" xfId="22166" xr:uid="{00000000-0005-0000-0000-000010170000}"/>
    <cellStyle name="20% - Accent4 66 4" xfId="8884" xr:uid="{00000000-0005-0000-0000-000011170000}"/>
    <cellStyle name="20% - Accent4 66 4 2" xfId="20172" xr:uid="{00000000-0005-0000-0000-000012170000}"/>
    <cellStyle name="20% - Accent4 66 5" xfId="6890" xr:uid="{00000000-0005-0000-0000-000013170000}"/>
    <cellStyle name="20% - Accent4 66 5 2" xfId="18178" xr:uid="{00000000-0005-0000-0000-000014170000}"/>
    <cellStyle name="20% - Accent4 66 6" xfId="4896" xr:uid="{00000000-0005-0000-0000-000015170000}"/>
    <cellStyle name="20% - Accent4 66 6 2" xfId="16184" xr:uid="{00000000-0005-0000-0000-000016170000}"/>
    <cellStyle name="20% - Accent4 66 7" xfId="14190" xr:uid="{00000000-0005-0000-0000-000017170000}"/>
    <cellStyle name="20% - Accent4 66 8" xfId="12876" xr:uid="{00000000-0005-0000-0000-000018170000}"/>
    <cellStyle name="20% - Accent4 67" xfId="941" xr:uid="{00000000-0005-0000-0000-000019170000}"/>
    <cellStyle name="20% - Accent4 67 2" xfId="3897" xr:uid="{00000000-0005-0000-0000-00001A170000}"/>
    <cellStyle name="20% - Accent4 67 2 2" xfId="11876" xr:uid="{00000000-0005-0000-0000-00001B170000}"/>
    <cellStyle name="20% - Accent4 67 2 2 2" xfId="23164" xr:uid="{00000000-0005-0000-0000-00001C170000}"/>
    <cellStyle name="20% - Accent4 67 2 3" xfId="9882" xr:uid="{00000000-0005-0000-0000-00001D170000}"/>
    <cellStyle name="20% - Accent4 67 2 3 2" xfId="21170" xr:uid="{00000000-0005-0000-0000-00001E170000}"/>
    <cellStyle name="20% - Accent4 67 2 4" xfId="7888" xr:uid="{00000000-0005-0000-0000-00001F170000}"/>
    <cellStyle name="20% - Accent4 67 2 4 2" xfId="19176" xr:uid="{00000000-0005-0000-0000-000020170000}"/>
    <cellStyle name="20% - Accent4 67 2 5" xfId="5894" xr:uid="{00000000-0005-0000-0000-000021170000}"/>
    <cellStyle name="20% - Accent4 67 2 5 2" xfId="17182" xr:uid="{00000000-0005-0000-0000-000022170000}"/>
    <cellStyle name="20% - Accent4 67 2 6" xfId="15188" xr:uid="{00000000-0005-0000-0000-000023170000}"/>
    <cellStyle name="20% - Accent4 67 3" xfId="10879" xr:uid="{00000000-0005-0000-0000-000024170000}"/>
    <cellStyle name="20% - Accent4 67 3 2" xfId="22167" xr:uid="{00000000-0005-0000-0000-000025170000}"/>
    <cellStyle name="20% - Accent4 67 4" xfId="8885" xr:uid="{00000000-0005-0000-0000-000026170000}"/>
    <cellStyle name="20% - Accent4 67 4 2" xfId="20173" xr:uid="{00000000-0005-0000-0000-000027170000}"/>
    <cellStyle name="20% - Accent4 67 5" xfId="6891" xr:uid="{00000000-0005-0000-0000-000028170000}"/>
    <cellStyle name="20% - Accent4 67 5 2" xfId="18179" xr:uid="{00000000-0005-0000-0000-000029170000}"/>
    <cellStyle name="20% - Accent4 67 6" xfId="4897" xr:uid="{00000000-0005-0000-0000-00002A170000}"/>
    <cellStyle name="20% - Accent4 67 6 2" xfId="16185" xr:uid="{00000000-0005-0000-0000-00002B170000}"/>
    <cellStyle name="20% - Accent4 67 7" xfId="14191" xr:uid="{00000000-0005-0000-0000-00002C170000}"/>
    <cellStyle name="20% - Accent4 67 8" xfId="12877" xr:uid="{00000000-0005-0000-0000-00002D170000}"/>
    <cellStyle name="20% - Accent4 68" xfId="942" xr:uid="{00000000-0005-0000-0000-00002E170000}"/>
    <cellStyle name="20% - Accent4 68 2" xfId="3898" xr:uid="{00000000-0005-0000-0000-00002F170000}"/>
    <cellStyle name="20% - Accent4 68 2 2" xfId="11877" xr:uid="{00000000-0005-0000-0000-000030170000}"/>
    <cellStyle name="20% - Accent4 68 2 2 2" xfId="23165" xr:uid="{00000000-0005-0000-0000-000031170000}"/>
    <cellStyle name="20% - Accent4 68 2 3" xfId="9883" xr:uid="{00000000-0005-0000-0000-000032170000}"/>
    <cellStyle name="20% - Accent4 68 2 3 2" xfId="21171" xr:uid="{00000000-0005-0000-0000-000033170000}"/>
    <cellStyle name="20% - Accent4 68 2 4" xfId="7889" xr:uid="{00000000-0005-0000-0000-000034170000}"/>
    <cellStyle name="20% - Accent4 68 2 4 2" xfId="19177" xr:uid="{00000000-0005-0000-0000-000035170000}"/>
    <cellStyle name="20% - Accent4 68 2 5" xfId="5895" xr:uid="{00000000-0005-0000-0000-000036170000}"/>
    <cellStyle name="20% - Accent4 68 2 5 2" xfId="17183" xr:uid="{00000000-0005-0000-0000-000037170000}"/>
    <cellStyle name="20% - Accent4 68 2 6" xfId="15189" xr:uid="{00000000-0005-0000-0000-000038170000}"/>
    <cellStyle name="20% - Accent4 68 3" xfId="10880" xr:uid="{00000000-0005-0000-0000-000039170000}"/>
    <cellStyle name="20% - Accent4 68 3 2" xfId="22168" xr:uid="{00000000-0005-0000-0000-00003A170000}"/>
    <cellStyle name="20% - Accent4 68 4" xfId="8886" xr:uid="{00000000-0005-0000-0000-00003B170000}"/>
    <cellStyle name="20% - Accent4 68 4 2" xfId="20174" xr:uid="{00000000-0005-0000-0000-00003C170000}"/>
    <cellStyle name="20% - Accent4 68 5" xfId="6892" xr:uid="{00000000-0005-0000-0000-00003D170000}"/>
    <cellStyle name="20% - Accent4 68 5 2" xfId="18180" xr:uid="{00000000-0005-0000-0000-00003E170000}"/>
    <cellStyle name="20% - Accent4 68 6" xfId="4898" xr:uid="{00000000-0005-0000-0000-00003F170000}"/>
    <cellStyle name="20% - Accent4 68 6 2" xfId="16186" xr:uid="{00000000-0005-0000-0000-000040170000}"/>
    <cellStyle name="20% - Accent4 68 7" xfId="14192" xr:uid="{00000000-0005-0000-0000-000041170000}"/>
    <cellStyle name="20% - Accent4 68 8" xfId="12878" xr:uid="{00000000-0005-0000-0000-000042170000}"/>
    <cellStyle name="20% - Accent4 69" xfId="943" xr:uid="{00000000-0005-0000-0000-000043170000}"/>
    <cellStyle name="20% - Accent4 69 2" xfId="3899" xr:uid="{00000000-0005-0000-0000-000044170000}"/>
    <cellStyle name="20% - Accent4 69 2 2" xfId="11878" xr:uid="{00000000-0005-0000-0000-000045170000}"/>
    <cellStyle name="20% - Accent4 69 2 2 2" xfId="23166" xr:uid="{00000000-0005-0000-0000-000046170000}"/>
    <cellStyle name="20% - Accent4 69 2 3" xfId="9884" xr:uid="{00000000-0005-0000-0000-000047170000}"/>
    <cellStyle name="20% - Accent4 69 2 3 2" xfId="21172" xr:uid="{00000000-0005-0000-0000-000048170000}"/>
    <cellStyle name="20% - Accent4 69 2 4" xfId="7890" xr:uid="{00000000-0005-0000-0000-000049170000}"/>
    <cellStyle name="20% - Accent4 69 2 4 2" xfId="19178" xr:uid="{00000000-0005-0000-0000-00004A170000}"/>
    <cellStyle name="20% - Accent4 69 2 5" xfId="5896" xr:uid="{00000000-0005-0000-0000-00004B170000}"/>
    <cellStyle name="20% - Accent4 69 2 5 2" xfId="17184" xr:uid="{00000000-0005-0000-0000-00004C170000}"/>
    <cellStyle name="20% - Accent4 69 2 6" xfId="15190" xr:uid="{00000000-0005-0000-0000-00004D170000}"/>
    <cellStyle name="20% - Accent4 69 3" xfId="10881" xr:uid="{00000000-0005-0000-0000-00004E170000}"/>
    <cellStyle name="20% - Accent4 69 3 2" xfId="22169" xr:uid="{00000000-0005-0000-0000-00004F170000}"/>
    <cellStyle name="20% - Accent4 69 4" xfId="8887" xr:uid="{00000000-0005-0000-0000-000050170000}"/>
    <cellStyle name="20% - Accent4 69 4 2" xfId="20175" xr:uid="{00000000-0005-0000-0000-000051170000}"/>
    <cellStyle name="20% - Accent4 69 5" xfId="6893" xr:uid="{00000000-0005-0000-0000-000052170000}"/>
    <cellStyle name="20% - Accent4 69 5 2" xfId="18181" xr:uid="{00000000-0005-0000-0000-000053170000}"/>
    <cellStyle name="20% - Accent4 69 6" xfId="4899" xr:uid="{00000000-0005-0000-0000-000054170000}"/>
    <cellStyle name="20% - Accent4 69 6 2" xfId="16187" xr:uid="{00000000-0005-0000-0000-000055170000}"/>
    <cellStyle name="20% - Accent4 69 7" xfId="14193" xr:uid="{00000000-0005-0000-0000-000056170000}"/>
    <cellStyle name="20% - Accent4 69 8" xfId="12879" xr:uid="{00000000-0005-0000-0000-000057170000}"/>
    <cellStyle name="20% - Accent4 7" xfId="944" xr:uid="{00000000-0005-0000-0000-000058170000}"/>
    <cellStyle name="20% - Accent4 7 10" xfId="24582" xr:uid="{00000000-0005-0000-0000-000059170000}"/>
    <cellStyle name="20% - Accent4 7 11" xfId="24972" xr:uid="{00000000-0005-0000-0000-00005A170000}"/>
    <cellStyle name="20% - Accent4 7 2" xfId="3900" xr:uid="{00000000-0005-0000-0000-00005B170000}"/>
    <cellStyle name="20% - Accent4 7 2 2" xfId="11879" xr:uid="{00000000-0005-0000-0000-00005C170000}"/>
    <cellStyle name="20% - Accent4 7 2 2 2" xfId="23167" xr:uid="{00000000-0005-0000-0000-00005D170000}"/>
    <cellStyle name="20% - Accent4 7 2 3" xfId="9885" xr:uid="{00000000-0005-0000-0000-00005E170000}"/>
    <cellStyle name="20% - Accent4 7 2 3 2" xfId="21173" xr:uid="{00000000-0005-0000-0000-00005F170000}"/>
    <cellStyle name="20% - Accent4 7 2 4" xfId="7891" xr:uid="{00000000-0005-0000-0000-000060170000}"/>
    <cellStyle name="20% - Accent4 7 2 4 2" xfId="19179" xr:uid="{00000000-0005-0000-0000-000061170000}"/>
    <cellStyle name="20% - Accent4 7 2 5" xfId="5897" xr:uid="{00000000-0005-0000-0000-000062170000}"/>
    <cellStyle name="20% - Accent4 7 2 5 2" xfId="17185" xr:uid="{00000000-0005-0000-0000-000063170000}"/>
    <cellStyle name="20% - Accent4 7 2 6" xfId="15191" xr:uid="{00000000-0005-0000-0000-000064170000}"/>
    <cellStyle name="20% - Accent4 7 2 7" xfId="24343" xr:uid="{00000000-0005-0000-0000-000065170000}"/>
    <cellStyle name="20% - Accent4 7 2 8" xfId="24807" xr:uid="{00000000-0005-0000-0000-000066170000}"/>
    <cellStyle name="20% - Accent4 7 2 9" xfId="25174" xr:uid="{00000000-0005-0000-0000-000067170000}"/>
    <cellStyle name="20% - Accent4 7 3" xfId="10882" xr:uid="{00000000-0005-0000-0000-000068170000}"/>
    <cellStyle name="20% - Accent4 7 3 2" xfId="22170" xr:uid="{00000000-0005-0000-0000-000069170000}"/>
    <cellStyle name="20% - Accent4 7 4" xfId="8888" xr:uid="{00000000-0005-0000-0000-00006A170000}"/>
    <cellStyle name="20% - Accent4 7 4 2" xfId="20176" xr:uid="{00000000-0005-0000-0000-00006B170000}"/>
    <cellStyle name="20% - Accent4 7 5" xfId="6894" xr:uid="{00000000-0005-0000-0000-00006C170000}"/>
    <cellStyle name="20% - Accent4 7 5 2" xfId="18182" xr:uid="{00000000-0005-0000-0000-00006D170000}"/>
    <cellStyle name="20% - Accent4 7 6" xfId="4900" xr:uid="{00000000-0005-0000-0000-00006E170000}"/>
    <cellStyle name="20% - Accent4 7 6 2" xfId="16188" xr:uid="{00000000-0005-0000-0000-00006F170000}"/>
    <cellStyle name="20% - Accent4 7 7" xfId="14194" xr:uid="{00000000-0005-0000-0000-000070170000}"/>
    <cellStyle name="20% - Accent4 7 8" xfId="12880" xr:uid="{00000000-0005-0000-0000-000071170000}"/>
    <cellStyle name="20% - Accent4 7 9" xfId="23955" xr:uid="{00000000-0005-0000-0000-000072170000}"/>
    <cellStyle name="20% - Accent4 70" xfId="945" xr:uid="{00000000-0005-0000-0000-000073170000}"/>
    <cellStyle name="20% - Accent4 70 2" xfId="3901" xr:uid="{00000000-0005-0000-0000-000074170000}"/>
    <cellStyle name="20% - Accent4 70 2 2" xfId="11880" xr:uid="{00000000-0005-0000-0000-000075170000}"/>
    <cellStyle name="20% - Accent4 70 2 2 2" xfId="23168" xr:uid="{00000000-0005-0000-0000-000076170000}"/>
    <cellStyle name="20% - Accent4 70 2 3" xfId="9886" xr:uid="{00000000-0005-0000-0000-000077170000}"/>
    <cellStyle name="20% - Accent4 70 2 3 2" xfId="21174" xr:uid="{00000000-0005-0000-0000-000078170000}"/>
    <cellStyle name="20% - Accent4 70 2 4" xfId="7892" xr:uid="{00000000-0005-0000-0000-000079170000}"/>
    <cellStyle name="20% - Accent4 70 2 4 2" xfId="19180" xr:uid="{00000000-0005-0000-0000-00007A170000}"/>
    <cellStyle name="20% - Accent4 70 2 5" xfId="5898" xr:uid="{00000000-0005-0000-0000-00007B170000}"/>
    <cellStyle name="20% - Accent4 70 2 5 2" xfId="17186" xr:uid="{00000000-0005-0000-0000-00007C170000}"/>
    <cellStyle name="20% - Accent4 70 2 6" xfId="15192" xr:uid="{00000000-0005-0000-0000-00007D170000}"/>
    <cellStyle name="20% - Accent4 70 3" xfId="10883" xr:uid="{00000000-0005-0000-0000-00007E170000}"/>
    <cellStyle name="20% - Accent4 70 3 2" xfId="22171" xr:uid="{00000000-0005-0000-0000-00007F170000}"/>
    <cellStyle name="20% - Accent4 70 4" xfId="8889" xr:uid="{00000000-0005-0000-0000-000080170000}"/>
    <cellStyle name="20% - Accent4 70 4 2" xfId="20177" xr:uid="{00000000-0005-0000-0000-000081170000}"/>
    <cellStyle name="20% - Accent4 70 5" xfId="6895" xr:uid="{00000000-0005-0000-0000-000082170000}"/>
    <cellStyle name="20% - Accent4 70 5 2" xfId="18183" xr:uid="{00000000-0005-0000-0000-000083170000}"/>
    <cellStyle name="20% - Accent4 70 6" xfId="4901" xr:uid="{00000000-0005-0000-0000-000084170000}"/>
    <cellStyle name="20% - Accent4 70 6 2" xfId="16189" xr:uid="{00000000-0005-0000-0000-000085170000}"/>
    <cellStyle name="20% - Accent4 70 7" xfId="14195" xr:uid="{00000000-0005-0000-0000-000086170000}"/>
    <cellStyle name="20% - Accent4 70 8" xfId="12881" xr:uid="{00000000-0005-0000-0000-000087170000}"/>
    <cellStyle name="20% - Accent4 71" xfId="946" xr:uid="{00000000-0005-0000-0000-000088170000}"/>
    <cellStyle name="20% - Accent4 71 2" xfId="3902" xr:uid="{00000000-0005-0000-0000-000089170000}"/>
    <cellStyle name="20% - Accent4 71 2 2" xfId="11881" xr:uid="{00000000-0005-0000-0000-00008A170000}"/>
    <cellStyle name="20% - Accent4 71 2 2 2" xfId="23169" xr:uid="{00000000-0005-0000-0000-00008B170000}"/>
    <cellStyle name="20% - Accent4 71 2 3" xfId="9887" xr:uid="{00000000-0005-0000-0000-00008C170000}"/>
    <cellStyle name="20% - Accent4 71 2 3 2" xfId="21175" xr:uid="{00000000-0005-0000-0000-00008D170000}"/>
    <cellStyle name="20% - Accent4 71 2 4" xfId="7893" xr:uid="{00000000-0005-0000-0000-00008E170000}"/>
    <cellStyle name="20% - Accent4 71 2 4 2" xfId="19181" xr:uid="{00000000-0005-0000-0000-00008F170000}"/>
    <cellStyle name="20% - Accent4 71 2 5" xfId="5899" xr:uid="{00000000-0005-0000-0000-000090170000}"/>
    <cellStyle name="20% - Accent4 71 2 5 2" xfId="17187" xr:uid="{00000000-0005-0000-0000-000091170000}"/>
    <cellStyle name="20% - Accent4 71 2 6" xfId="15193" xr:uid="{00000000-0005-0000-0000-000092170000}"/>
    <cellStyle name="20% - Accent4 71 3" xfId="10884" xr:uid="{00000000-0005-0000-0000-000093170000}"/>
    <cellStyle name="20% - Accent4 71 3 2" xfId="22172" xr:uid="{00000000-0005-0000-0000-000094170000}"/>
    <cellStyle name="20% - Accent4 71 4" xfId="8890" xr:uid="{00000000-0005-0000-0000-000095170000}"/>
    <cellStyle name="20% - Accent4 71 4 2" xfId="20178" xr:uid="{00000000-0005-0000-0000-000096170000}"/>
    <cellStyle name="20% - Accent4 71 5" xfId="6896" xr:uid="{00000000-0005-0000-0000-000097170000}"/>
    <cellStyle name="20% - Accent4 71 5 2" xfId="18184" xr:uid="{00000000-0005-0000-0000-000098170000}"/>
    <cellStyle name="20% - Accent4 71 6" xfId="4902" xr:uid="{00000000-0005-0000-0000-000099170000}"/>
    <cellStyle name="20% - Accent4 71 6 2" xfId="16190" xr:uid="{00000000-0005-0000-0000-00009A170000}"/>
    <cellStyle name="20% - Accent4 71 7" xfId="14196" xr:uid="{00000000-0005-0000-0000-00009B170000}"/>
    <cellStyle name="20% - Accent4 71 8" xfId="12882" xr:uid="{00000000-0005-0000-0000-00009C170000}"/>
    <cellStyle name="20% - Accent4 72" xfId="947" xr:uid="{00000000-0005-0000-0000-00009D170000}"/>
    <cellStyle name="20% - Accent4 72 2" xfId="3903" xr:uid="{00000000-0005-0000-0000-00009E170000}"/>
    <cellStyle name="20% - Accent4 72 2 2" xfId="11882" xr:uid="{00000000-0005-0000-0000-00009F170000}"/>
    <cellStyle name="20% - Accent4 72 2 2 2" xfId="23170" xr:uid="{00000000-0005-0000-0000-0000A0170000}"/>
    <cellStyle name="20% - Accent4 72 2 3" xfId="9888" xr:uid="{00000000-0005-0000-0000-0000A1170000}"/>
    <cellStyle name="20% - Accent4 72 2 3 2" xfId="21176" xr:uid="{00000000-0005-0000-0000-0000A2170000}"/>
    <cellStyle name="20% - Accent4 72 2 4" xfId="7894" xr:uid="{00000000-0005-0000-0000-0000A3170000}"/>
    <cellStyle name="20% - Accent4 72 2 4 2" xfId="19182" xr:uid="{00000000-0005-0000-0000-0000A4170000}"/>
    <cellStyle name="20% - Accent4 72 2 5" xfId="5900" xr:uid="{00000000-0005-0000-0000-0000A5170000}"/>
    <cellStyle name="20% - Accent4 72 2 5 2" xfId="17188" xr:uid="{00000000-0005-0000-0000-0000A6170000}"/>
    <cellStyle name="20% - Accent4 72 2 6" xfId="15194" xr:uid="{00000000-0005-0000-0000-0000A7170000}"/>
    <cellStyle name="20% - Accent4 72 3" xfId="10885" xr:uid="{00000000-0005-0000-0000-0000A8170000}"/>
    <cellStyle name="20% - Accent4 72 3 2" xfId="22173" xr:uid="{00000000-0005-0000-0000-0000A9170000}"/>
    <cellStyle name="20% - Accent4 72 4" xfId="8891" xr:uid="{00000000-0005-0000-0000-0000AA170000}"/>
    <cellStyle name="20% - Accent4 72 4 2" xfId="20179" xr:uid="{00000000-0005-0000-0000-0000AB170000}"/>
    <cellStyle name="20% - Accent4 72 5" xfId="6897" xr:uid="{00000000-0005-0000-0000-0000AC170000}"/>
    <cellStyle name="20% - Accent4 72 5 2" xfId="18185" xr:uid="{00000000-0005-0000-0000-0000AD170000}"/>
    <cellStyle name="20% - Accent4 72 6" xfId="4903" xr:uid="{00000000-0005-0000-0000-0000AE170000}"/>
    <cellStyle name="20% - Accent4 72 6 2" xfId="16191" xr:uid="{00000000-0005-0000-0000-0000AF170000}"/>
    <cellStyle name="20% - Accent4 72 7" xfId="14197" xr:uid="{00000000-0005-0000-0000-0000B0170000}"/>
    <cellStyle name="20% - Accent4 72 8" xfId="12883" xr:uid="{00000000-0005-0000-0000-0000B1170000}"/>
    <cellStyle name="20% - Accent4 8" xfId="948" xr:uid="{00000000-0005-0000-0000-0000B2170000}"/>
    <cellStyle name="20% - Accent4 8 2" xfId="3904" xr:uid="{00000000-0005-0000-0000-0000B3170000}"/>
    <cellStyle name="20% - Accent4 8 2 2" xfId="11883" xr:uid="{00000000-0005-0000-0000-0000B4170000}"/>
    <cellStyle name="20% - Accent4 8 2 2 2" xfId="23171" xr:uid="{00000000-0005-0000-0000-0000B5170000}"/>
    <cellStyle name="20% - Accent4 8 2 3" xfId="9889" xr:uid="{00000000-0005-0000-0000-0000B6170000}"/>
    <cellStyle name="20% - Accent4 8 2 3 2" xfId="21177" xr:uid="{00000000-0005-0000-0000-0000B7170000}"/>
    <cellStyle name="20% - Accent4 8 2 4" xfId="7895" xr:uid="{00000000-0005-0000-0000-0000B8170000}"/>
    <cellStyle name="20% - Accent4 8 2 4 2" xfId="19183" xr:uid="{00000000-0005-0000-0000-0000B9170000}"/>
    <cellStyle name="20% - Accent4 8 2 5" xfId="5901" xr:uid="{00000000-0005-0000-0000-0000BA170000}"/>
    <cellStyle name="20% - Accent4 8 2 5 2" xfId="17189" xr:uid="{00000000-0005-0000-0000-0000BB170000}"/>
    <cellStyle name="20% - Accent4 8 2 6" xfId="15195" xr:uid="{00000000-0005-0000-0000-0000BC170000}"/>
    <cellStyle name="20% - Accent4 8 3" xfId="10886" xr:uid="{00000000-0005-0000-0000-0000BD170000}"/>
    <cellStyle name="20% - Accent4 8 3 2" xfId="22174" xr:uid="{00000000-0005-0000-0000-0000BE170000}"/>
    <cellStyle name="20% - Accent4 8 4" xfId="8892" xr:uid="{00000000-0005-0000-0000-0000BF170000}"/>
    <cellStyle name="20% - Accent4 8 4 2" xfId="20180" xr:uid="{00000000-0005-0000-0000-0000C0170000}"/>
    <cellStyle name="20% - Accent4 8 5" xfId="6898" xr:uid="{00000000-0005-0000-0000-0000C1170000}"/>
    <cellStyle name="20% - Accent4 8 5 2" xfId="18186" xr:uid="{00000000-0005-0000-0000-0000C2170000}"/>
    <cellStyle name="20% - Accent4 8 6" xfId="4904" xr:uid="{00000000-0005-0000-0000-0000C3170000}"/>
    <cellStyle name="20% - Accent4 8 6 2" xfId="16192" xr:uid="{00000000-0005-0000-0000-0000C4170000}"/>
    <cellStyle name="20% - Accent4 8 7" xfId="14198" xr:uid="{00000000-0005-0000-0000-0000C5170000}"/>
    <cellStyle name="20% - Accent4 8 8" xfId="12884" xr:uid="{00000000-0005-0000-0000-0000C6170000}"/>
    <cellStyle name="20% - Accent4 9" xfId="949" xr:uid="{00000000-0005-0000-0000-0000C7170000}"/>
    <cellStyle name="20% - Accent4 9 2" xfId="3905" xr:uid="{00000000-0005-0000-0000-0000C8170000}"/>
    <cellStyle name="20% - Accent4 9 2 2" xfId="11884" xr:uid="{00000000-0005-0000-0000-0000C9170000}"/>
    <cellStyle name="20% - Accent4 9 2 2 2" xfId="23172" xr:uid="{00000000-0005-0000-0000-0000CA170000}"/>
    <cellStyle name="20% - Accent4 9 2 3" xfId="9890" xr:uid="{00000000-0005-0000-0000-0000CB170000}"/>
    <cellStyle name="20% - Accent4 9 2 3 2" xfId="21178" xr:uid="{00000000-0005-0000-0000-0000CC170000}"/>
    <cellStyle name="20% - Accent4 9 2 4" xfId="7896" xr:uid="{00000000-0005-0000-0000-0000CD170000}"/>
    <cellStyle name="20% - Accent4 9 2 4 2" xfId="19184" xr:uid="{00000000-0005-0000-0000-0000CE170000}"/>
    <cellStyle name="20% - Accent4 9 2 5" xfId="5902" xr:uid="{00000000-0005-0000-0000-0000CF170000}"/>
    <cellStyle name="20% - Accent4 9 2 5 2" xfId="17190" xr:uid="{00000000-0005-0000-0000-0000D0170000}"/>
    <cellStyle name="20% - Accent4 9 2 6" xfId="15196" xr:uid="{00000000-0005-0000-0000-0000D1170000}"/>
    <cellStyle name="20% - Accent4 9 3" xfId="10887" xr:uid="{00000000-0005-0000-0000-0000D2170000}"/>
    <cellStyle name="20% - Accent4 9 3 2" xfId="22175" xr:uid="{00000000-0005-0000-0000-0000D3170000}"/>
    <cellStyle name="20% - Accent4 9 4" xfId="8893" xr:uid="{00000000-0005-0000-0000-0000D4170000}"/>
    <cellStyle name="20% - Accent4 9 4 2" xfId="20181" xr:uid="{00000000-0005-0000-0000-0000D5170000}"/>
    <cellStyle name="20% - Accent4 9 5" xfId="6899" xr:uid="{00000000-0005-0000-0000-0000D6170000}"/>
    <cellStyle name="20% - Accent4 9 5 2" xfId="18187" xr:uid="{00000000-0005-0000-0000-0000D7170000}"/>
    <cellStyle name="20% - Accent4 9 6" xfId="4905" xr:uid="{00000000-0005-0000-0000-0000D8170000}"/>
    <cellStyle name="20% - Accent4 9 6 2" xfId="16193" xr:uid="{00000000-0005-0000-0000-0000D9170000}"/>
    <cellStyle name="20% - Accent4 9 7" xfId="14199" xr:uid="{00000000-0005-0000-0000-0000DA170000}"/>
    <cellStyle name="20% - Accent4 9 8" xfId="12885" xr:uid="{00000000-0005-0000-0000-0000DB170000}"/>
    <cellStyle name="20% - Accent5 10" xfId="950" xr:uid="{00000000-0005-0000-0000-0000DC170000}"/>
    <cellStyle name="20% - Accent5 10 2" xfId="3906" xr:uid="{00000000-0005-0000-0000-0000DD170000}"/>
    <cellStyle name="20% - Accent5 10 2 2" xfId="11885" xr:uid="{00000000-0005-0000-0000-0000DE170000}"/>
    <cellStyle name="20% - Accent5 10 2 2 2" xfId="23173" xr:uid="{00000000-0005-0000-0000-0000DF170000}"/>
    <cellStyle name="20% - Accent5 10 2 3" xfId="9891" xr:uid="{00000000-0005-0000-0000-0000E0170000}"/>
    <cellStyle name="20% - Accent5 10 2 3 2" xfId="21179" xr:uid="{00000000-0005-0000-0000-0000E1170000}"/>
    <cellStyle name="20% - Accent5 10 2 4" xfId="7897" xr:uid="{00000000-0005-0000-0000-0000E2170000}"/>
    <cellStyle name="20% - Accent5 10 2 4 2" xfId="19185" xr:uid="{00000000-0005-0000-0000-0000E3170000}"/>
    <cellStyle name="20% - Accent5 10 2 5" xfId="5903" xr:uid="{00000000-0005-0000-0000-0000E4170000}"/>
    <cellStyle name="20% - Accent5 10 2 5 2" xfId="17191" xr:uid="{00000000-0005-0000-0000-0000E5170000}"/>
    <cellStyle name="20% - Accent5 10 2 6" xfId="15197" xr:uid="{00000000-0005-0000-0000-0000E6170000}"/>
    <cellStyle name="20% - Accent5 10 3" xfId="10888" xr:uid="{00000000-0005-0000-0000-0000E7170000}"/>
    <cellStyle name="20% - Accent5 10 3 2" xfId="22176" xr:uid="{00000000-0005-0000-0000-0000E8170000}"/>
    <cellStyle name="20% - Accent5 10 4" xfId="8894" xr:uid="{00000000-0005-0000-0000-0000E9170000}"/>
    <cellStyle name="20% - Accent5 10 4 2" xfId="20182" xr:uid="{00000000-0005-0000-0000-0000EA170000}"/>
    <cellStyle name="20% - Accent5 10 5" xfId="6900" xr:uid="{00000000-0005-0000-0000-0000EB170000}"/>
    <cellStyle name="20% - Accent5 10 5 2" xfId="18188" xr:uid="{00000000-0005-0000-0000-0000EC170000}"/>
    <cellStyle name="20% - Accent5 10 6" xfId="4906" xr:uid="{00000000-0005-0000-0000-0000ED170000}"/>
    <cellStyle name="20% - Accent5 10 6 2" xfId="16194" xr:uid="{00000000-0005-0000-0000-0000EE170000}"/>
    <cellStyle name="20% - Accent5 10 7" xfId="14200" xr:uid="{00000000-0005-0000-0000-0000EF170000}"/>
    <cellStyle name="20% - Accent5 10 8" xfId="12886" xr:uid="{00000000-0005-0000-0000-0000F0170000}"/>
    <cellStyle name="20% - Accent5 11" xfId="951" xr:uid="{00000000-0005-0000-0000-0000F1170000}"/>
    <cellStyle name="20% - Accent5 11 2" xfId="3907" xr:uid="{00000000-0005-0000-0000-0000F2170000}"/>
    <cellStyle name="20% - Accent5 11 2 2" xfId="11886" xr:uid="{00000000-0005-0000-0000-0000F3170000}"/>
    <cellStyle name="20% - Accent5 11 2 2 2" xfId="23174" xr:uid="{00000000-0005-0000-0000-0000F4170000}"/>
    <cellStyle name="20% - Accent5 11 2 3" xfId="9892" xr:uid="{00000000-0005-0000-0000-0000F5170000}"/>
    <cellStyle name="20% - Accent5 11 2 3 2" xfId="21180" xr:uid="{00000000-0005-0000-0000-0000F6170000}"/>
    <cellStyle name="20% - Accent5 11 2 4" xfId="7898" xr:uid="{00000000-0005-0000-0000-0000F7170000}"/>
    <cellStyle name="20% - Accent5 11 2 4 2" xfId="19186" xr:uid="{00000000-0005-0000-0000-0000F8170000}"/>
    <cellStyle name="20% - Accent5 11 2 5" xfId="5904" xr:uid="{00000000-0005-0000-0000-0000F9170000}"/>
    <cellStyle name="20% - Accent5 11 2 5 2" xfId="17192" xr:uid="{00000000-0005-0000-0000-0000FA170000}"/>
    <cellStyle name="20% - Accent5 11 2 6" xfId="15198" xr:uid="{00000000-0005-0000-0000-0000FB170000}"/>
    <cellStyle name="20% - Accent5 11 3" xfId="10889" xr:uid="{00000000-0005-0000-0000-0000FC170000}"/>
    <cellStyle name="20% - Accent5 11 3 2" xfId="22177" xr:uid="{00000000-0005-0000-0000-0000FD170000}"/>
    <cellStyle name="20% - Accent5 11 4" xfId="8895" xr:uid="{00000000-0005-0000-0000-0000FE170000}"/>
    <cellStyle name="20% - Accent5 11 4 2" xfId="20183" xr:uid="{00000000-0005-0000-0000-0000FF170000}"/>
    <cellStyle name="20% - Accent5 11 5" xfId="6901" xr:uid="{00000000-0005-0000-0000-000000180000}"/>
    <cellStyle name="20% - Accent5 11 5 2" xfId="18189" xr:uid="{00000000-0005-0000-0000-000001180000}"/>
    <cellStyle name="20% - Accent5 11 6" xfId="4907" xr:uid="{00000000-0005-0000-0000-000002180000}"/>
    <cellStyle name="20% - Accent5 11 6 2" xfId="16195" xr:uid="{00000000-0005-0000-0000-000003180000}"/>
    <cellStyle name="20% - Accent5 11 7" xfId="14201" xr:uid="{00000000-0005-0000-0000-000004180000}"/>
    <cellStyle name="20% - Accent5 11 8" xfId="12887" xr:uid="{00000000-0005-0000-0000-000005180000}"/>
    <cellStyle name="20% - Accent5 12" xfId="952" xr:uid="{00000000-0005-0000-0000-000006180000}"/>
    <cellStyle name="20% - Accent5 12 2" xfId="3908" xr:uid="{00000000-0005-0000-0000-000007180000}"/>
    <cellStyle name="20% - Accent5 12 2 2" xfId="11887" xr:uid="{00000000-0005-0000-0000-000008180000}"/>
    <cellStyle name="20% - Accent5 12 2 2 2" xfId="23175" xr:uid="{00000000-0005-0000-0000-000009180000}"/>
    <cellStyle name="20% - Accent5 12 2 3" xfId="9893" xr:uid="{00000000-0005-0000-0000-00000A180000}"/>
    <cellStyle name="20% - Accent5 12 2 3 2" xfId="21181" xr:uid="{00000000-0005-0000-0000-00000B180000}"/>
    <cellStyle name="20% - Accent5 12 2 4" xfId="7899" xr:uid="{00000000-0005-0000-0000-00000C180000}"/>
    <cellStyle name="20% - Accent5 12 2 4 2" xfId="19187" xr:uid="{00000000-0005-0000-0000-00000D180000}"/>
    <cellStyle name="20% - Accent5 12 2 5" xfId="5905" xr:uid="{00000000-0005-0000-0000-00000E180000}"/>
    <cellStyle name="20% - Accent5 12 2 5 2" xfId="17193" xr:uid="{00000000-0005-0000-0000-00000F180000}"/>
    <cellStyle name="20% - Accent5 12 2 6" xfId="15199" xr:uid="{00000000-0005-0000-0000-000010180000}"/>
    <cellStyle name="20% - Accent5 12 3" xfId="10890" xr:uid="{00000000-0005-0000-0000-000011180000}"/>
    <cellStyle name="20% - Accent5 12 3 2" xfId="22178" xr:uid="{00000000-0005-0000-0000-000012180000}"/>
    <cellStyle name="20% - Accent5 12 4" xfId="8896" xr:uid="{00000000-0005-0000-0000-000013180000}"/>
    <cellStyle name="20% - Accent5 12 4 2" xfId="20184" xr:uid="{00000000-0005-0000-0000-000014180000}"/>
    <cellStyle name="20% - Accent5 12 5" xfId="6902" xr:uid="{00000000-0005-0000-0000-000015180000}"/>
    <cellStyle name="20% - Accent5 12 5 2" xfId="18190" xr:uid="{00000000-0005-0000-0000-000016180000}"/>
    <cellStyle name="20% - Accent5 12 6" xfId="4908" xr:uid="{00000000-0005-0000-0000-000017180000}"/>
    <cellStyle name="20% - Accent5 12 6 2" xfId="16196" xr:uid="{00000000-0005-0000-0000-000018180000}"/>
    <cellStyle name="20% - Accent5 12 7" xfId="14202" xr:uid="{00000000-0005-0000-0000-000019180000}"/>
    <cellStyle name="20% - Accent5 12 8" xfId="12888" xr:uid="{00000000-0005-0000-0000-00001A180000}"/>
    <cellStyle name="20% - Accent5 13" xfId="953" xr:uid="{00000000-0005-0000-0000-00001B180000}"/>
    <cellStyle name="20% - Accent5 13 2" xfId="3909" xr:uid="{00000000-0005-0000-0000-00001C180000}"/>
    <cellStyle name="20% - Accent5 13 2 2" xfId="11888" xr:uid="{00000000-0005-0000-0000-00001D180000}"/>
    <cellStyle name="20% - Accent5 13 2 2 2" xfId="23176" xr:uid="{00000000-0005-0000-0000-00001E180000}"/>
    <cellStyle name="20% - Accent5 13 2 3" xfId="9894" xr:uid="{00000000-0005-0000-0000-00001F180000}"/>
    <cellStyle name="20% - Accent5 13 2 3 2" xfId="21182" xr:uid="{00000000-0005-0000-0000-000020180000}"/>
    <cellStyle name="20% - Accent5 13 2 4" xfId="7900" xr:uid="{00000000-0005-0000-0000-000021180000}"/>
    <cellStyle name="20% - Accent5 13 2 4 2" xfId="19188" xr:uid="{00000000-0005-0000-0000-000022180000}"/>
    <cellStyle name="20% - Accent5 13 2 5" xfId="5906" xr:uid="{00000000-0005-0000-0000-000023180000}"/>
    <cellStyle name="20% - Accent5 13 2 5 2" xfId="17194" xr:uid="{00000000-0005-0000-0000-000024180000}"/>
    <cellStyle name="20% - Accent5 13 2 6" xfId="15200" xr:uid="{00000000-0005-0000-0000-000025180000}"/>
    <cellStyle name="20% - Accent5 13 3" xfId="10891" xr:uid="{00000000-0005-0000-0000-000026180000}"/>
    <cellStyle name="20% - Accent5 13 3 2" xfId="22179" xr:uid="{00000000-0005-0000-0000-000027180000}"/>
    <cellStyle name="20% - Accent5 13 4" xfId="8897" xr:uid="{00000000-0005-0000-0000-000028180000}"/>
    <cellStyle name="20% - Accent5 13 4 2" xfId="20185" xr:uid="{00000000-0005-0000-0000-000029180000}"/>
    <cellStyle name="20% - Accent5 13 5" xfId="6903" xr:uid="{00000000-0005-0000-0000-00002A180000}"/>
    <cellStyle name="20% - Accent5 13 5 2" xfId="18191" xr:uid="{00000000-0005-0000-0000-00002B180000}"/>
    <cellStyle name="20% - Accent5 13 6" xfId="4909" xr:uid="{00000000-0005-0000-0000-00002C180000}"/>
    <cellStyle name="20% - Accent5 13 6 2" xfId="16197" xr:uid="{00000000-0005-0000-0000-00002D180000}"/>
    <cellStyle name="20% - Accent5 13 7" xfId="14203" xr:uid="{00000000-0005-0000-0000-00002E180000}"/>
    <cellStyle name="20% - Accent5 13 8" xfId="12889" xr:uid="{00000000-0005-0000-0000-00002F180000}"/>
    <cellStyle name="20% - Accent5 14" xfId="954" xr:uid="{00000000-0005-0000-0000-000030180000}"/>
    <cellStyle name="20% - Accent5 14 2" xfId="3910" xr:uid="{00000000-0005-0000-0000-000031180000}"/>
    <cellStyle name="20% - Accent5 14 2 2" xfId="11889" xr:uid="{00000000-0005-0000-0000-000032180000}"/>
    <cellStyle name="20% - Accent5 14 2 2 2" xfId="23177" xr:uid="{00000000-0005-0000-0000-000033180000}"/>
    <cellStyle name="20% - Accent5 14 2 3" xfId="9895" xr:uid="{00000000-0005-0000-0000-000034180000}"/>
    <cellStyle name="20% - Accent5 14 2 3 2" xfId="21183" xr:uid="{00000000-0005-0000-0000-000035180000}"/>
    <cellStyle name="20% - Accent5 14 2 4" xfId="7901" xr:uid="{00000000-0005-0000-0000-000036180000}"/>
    <cellStyle name="20% - Accent5 14 2 4 2" xfId="19189" xr:uid="{00000000-0005-0000-0000-000037180000}"/>
    <cellStyle name="20% - Accent5 14 2 5" xfId="5907" xr:uid="{00000000-0005-0000-0000-000038180000}"/>
    <cellStyle name="20% - Accent5 14 2 5 2" xfId="17195" xr:uid="{00000000-0005-0000-0000-000039180000}"/>
    <cellStyle name="20% - Accent5 14 2 6" xfId="15201" xr:uid="{00000000-0005-0000-0000-00003A180000}"/>
    <cellStyle name="20% - Accent5 14 3" xfId="10892" xr:uid="{00000000-0005-0000-0000-00003B180000}"/>
    <cellStyle name="20% - Accent5 14 3 2" xfId="22180" xr:uid="{00000000-0005-0000-0000-00003C180000}"/>
    <cellStyle name="20% - Accent5 14 4" xfId="8898" xr:uid="{00000000-0005-0000-0000-00003D180000}"/>
    <cellStyle name="20% - Accent5 14 4 2" xfId="20186" xr:uid="{00000000-0005-0000-0000-00003E180000}"/>
    <cellStyle name="20% - Accent5 14 5" xfId="6904" xr:uid="{00000000-0005-0000-0000-00003F180000}"/>
    <cellStyle name="20% - Accent5 14 5 2" xfId="18192" xr:uid="{00000000-0005-0000-0000-000040180000}"/>
    <cellStyle name="20% - Accent5 14 6" xfId="4910" xr:uid="{00000000-0005-0000-0000-000041180000}"/>
    <cellStyle name="20% - Accent5 14 6 2" xfId="16198" xr:uid="{00000000-0005-0000-0000-000042180000}"/>
    <cellStyle name="20% - Accent5 14 7" xfId="14204" xr:uid="{00000000-0005-0000-0000-000043180000}"/>
    <cellStyle name="20% - Accent5 14 8" xfId="12890" xr:uid="{00000000-0005-0000-0000-000044180000}"/>
    <cellStyle name="20% - Accent5 15" xfId="955" xr:uid="{00000000-0005-0000-0000-000045180000}"/>
    <cellStyle name="20% - Accent5 15 2" xfId="3911" xr:uid="{00000000-0005-0000-0000-000046180000}"/>
    <cellStyle name="20% - Accent5 15 2 2" xfId="11890" xr:uid="{00000000-0005-0000-0000-000047180000}"/>
    <cellStyle name="20% - Accent5 15 2 2 2" xfId="23178" xr:uid="{00000000-0005-0000-0000-000048180000}"/>
    <cellStyle name="20% - Accent5 15 2 3" xfId="9896" xr:uid="{00000000-0005-0000-0000-000049180000}"/>
    <cellStyle name="20% - Accent5 15 2 3 2" xfId="21184" xr:uid="{00000000-0005-0000-0000-00004A180000}"/>
    <cellStyle name="20% - Accent5 15 2 4" xfId="7902" xr:uid="{00000000-0005-0000-0000-00004B180000}"/>
    <cellStyle name="20% - Accent5 15 2 4 2" xfId="19190" xr:uid="{00000000-0005-0000-0000-00004C180000}"/>
    <cellStyle name="20% - Accent5 15 2 5" xfId="5908" xr:uid="{00000000-0005-0000-0000-00004D180000}"/>
    <cellStyle name="20% - Accent5 15 2 5 2" xfId="17196" xr:uid="{00000000-0005-0000-0000-00004E180000}"/>
    <cellStyle name="20% - Accent5 15 2 6" xfId="15202" xr:uid="{00000000-0005-0000-0000-00004F180000}"/>
    <cellStyle name="20% - Accent5 15 3" xfId="10893" xr:uid="{00000000-0005-0000-0000-000050180000}"/>
    <cellStyle name="20% - Accent5 15 3 2" xfId="22181" xr:uid="{00000000-0005-0000-0000-000051180000}"/>
    <cellStyle name="20% - Accent5 15 4" xfId="8899" xr:uid="{00000000-0005-0000-0000-000052180000}"/>
    <cellStyle name="20% - Accent5 15 4 2" xfId="20187" xr:uid="{00000000-0005-0000-0000-000053180000}"/>
    <cellStyle name="20% - Accent5 15 5" xfId="6905" xr:uid="{00000000-0005-0000-0000-000054180000}"/>
    <cellStyle name="20% - Accent5 15 5 2" xfId="18193" xr:uid="{00000000-0005-0000-0000-000055180000}"/>
    <cellStyle name="20% - Accent5 15 6" xfId="4911" xr:uid="{00000000-0005-0000-0000-000056180000}"/>
    <cellStyle name="20% - Accent5 15 6 2" xfId="16199" xr:uid="{00000000-0005-0000-0000-000057180000}"/>
    <cellStyle name="20% - Accent5 15 7" xfId="14205" xr:uid="{00000000-0005-0000-0000-000058180000}"/>
    <cellStyle name="20% - Accent5 15 8" xfId="12891" xr:uid="{00000000-0005-0000-0000-000059180000}"/>
    <cellStyle name="20% - Accent5 16" xfId="956" xr:uid="{00000000-0005-0000-0000-00005A180000}"/>
    <cellStyle name="20% - Accent5 16 2" xfId="3912" xr:uid="{00000000-0005-0000-0000-00005B180000}"/>
    <cellStyle name="20% - Accent5 16 2 2" xfId="11891" xr:uid="{00000000-0005-0000-0000-00005C180000}"/>
    <cellStyle name="20% - Accent5 16 2 2 2" xfId="23179" xr:uid="{00000000-0005-0000-0000-00005D180000}"/>
    <cellStyle name="20% - Accent5 16 2 3" xfId="9897" xr:uid="{00000000-0005-0000-0000-00005E180000}"/>
    <cellStyle name="20% - Accent5 16 2 3 2" xfId="21185" xr:uid="{00000000-0005-0000-0000-00005F180000}"/>
    <cellStyle name="20% - Accent5 16 2 4" xfId="7903" xr:uid="{00000000-0005-0000-0000-000060180000}"/>
    <cellStyle name="20% - Accent5 16 2 4 2" xfId="19191" xr:uid="{00000000-0005-0000-0000-000061180000}"/>
    <cellStyle name="20% - Accent5 16 2 5" xfId="5909" xr:uid="{00000000-0005-0000-0000-000062180000}"/>
    <cellStyle name="20% - Accent5 16 2 5 2" xfId="17197" xr:uid="{00000000-0005-0000-0000-000063180000}"/>
    <cellStyle name="20% - Accent5 16 2 6" xfId="15203" xr:uid="{00000000-0005-0000-0000-000064180000}"/>
    <cellStyle name="20% - Accent5 16 3" xfId="10894" xr:uid="{00000000-0005-0000-0000-000065180000}"/>
    <cellStyle name="20% - Accent5 16 3 2" xfId="22182" xr:uid="{00000000-0005-0000-0000-000066180000}"/>
    <cellStyle name="20% - Accent5 16 4" xfId="8900" xr:uid="{00000000-0005-0000-0000-000067180000}"/>
    <cellStyle name="20% - Accent5 16 4 2" xfId="20188" xr:uid="{00000000-0005-0000-0000-000068180000}"/>
    <cellStyle name="20% - Accent5 16 5" xfId="6906" xr:uid="{00000000-0005-0000-0000-000069180000}"/>
    <cellStyle name="20% - Accent5 16 5 2" xfId="18194" xr:uid="{00000000-0005-0000-0000-00006A180000}"/>
    <cellStyle name="20% - Accent5 16 6" xfId="4912" xr:uid="{00000000-0005-0000-0000-00006B180000}"/>
    <cellStyle name="20% - Accent5 16 6 2" xfId="16200" xr:uid="{00000000-0005-0000-0000-00006C180000}"/>
    <cellStyle name="20% - Accent5 16 7" xfId="14206" xr:uid="{00000000-0005-0000-0000-00006D180000}"/>
    <cellStyle name="20% - Accent5 16 8" xfId="12892" xr:uid="{00000000-0005-0000-0000-00006E180000}"/>
    <cellStyle name="20% - Accent5 17" xfId="957" xr:uid="{00000000-0005-0000-0000-00006F180000}"/>
    <cellStyle name="20% - Accent5 17 2" xfId="3913" xr:uid="{00000000-0005-0000-0000-000070180000}"/>
    <cellStyle name="20% - Accent5 17 2 2" xfId="11892" xr:uid="{00000000-0005-0000-0000-000071180000}"/>
    <cellStyle name="20% - Accent5 17 2 2 2" xfId="23180" xr:uid="{00000000-0005-0000-0000-000072180000}"/>
    <cellStyle name="20% - Accent5 17 2 3" xfId="9898" xr:uid="{00000000-0005-0000-0000-000073180000}"/>
    <cellStyle name="20% - Accent5 17 2 3 2" xfId="21186" xr:uid="{00000000-0005-0000-0000-000074180000}"/>
    <cellStyle name="20% - Accent5 17 2 4" xfId="7904" xr:uid="{00000000-0005-0000-0000-000075180000}"/>
    <cellStyle name="20% - Accent5 17 2 4 2" xfId="19192" xr:uid="{00000000-0005-0000-0000-000076180000}"/>
    <cellStyle name="20% - Accent5 17 2 5" xfId="5910" xr:uid="{00000000-0005-0000-0000-000077180000}"/>
    <cellStyle name="20% - Accent5 17 2 5 2" xfId="17198" xr:uid="{00000000-0005-0000-0000-000078180000}"/>
    <cellStyle name="20% - Accent5 17 2 6" xfId="15204" xr:uid="{00000000-0005-0000-0000-000079180000}"/>
    <cellStyle name="20% - Accent5 17 3" xfId="10895" xr:uid="{00000000-0005-0000-0000-00007A180000}"/>
    <cellStyle name="20% - Accent5 17 3 2" xfId="22183" xr:uid="{00000000-0005-0000-0000-00007B180000}"/>
    <cellStyle name="20% - Accent5 17 4" xfId="8901" xr:uid="{00000000-0005-0000-0000-00007C180000}"/>
    <cellStyle name="20% - Accent5 17 4 2" xfId="20189" xr:uid="{00000000-0005-0000-0000-00007D180000}"/>
    <cellStyle name="20% - Accent5 17 5" xfId="6907" xr:uid="{00000000-0005-0000-0000-00007E180000}"/>
    <cellStyle name="20% - Accent5 17 5 2" xfId="18195" xr:uid="{00000000-0005-0000-0000-00007F180000}"/>
    <cellStyle name="20% - Accent5 17 6" xfId="4913" xr:uid="{00000000-0005-0000-0000-000080180000}"/>
    <cellStyle name="20% - Accent5 17 6 2" xfId="16201" xr:uid="{00000000-0005-0000-0000-000081180000}"/>
    <cellStyle name="20% - Accent5 17 7" xfId="14207" xr:uid="{00000000-0005-0000-0000-000082180000}"/>
    <cellStyle name="20% - Accent5 17 8" xfId="12893" xr:uid="{00000000-0005-0000-0000-000083180000}"/>
    <cellStyle name="20% - Accent5 18" xfId="958" xr:uid="{00000000-0005-0000-0000-000084180000}"/>
    <cellStyle name="20% - Accent5 18 2" xfId="3914" xr:uid="{00000000-0005-0000-0000-000085180000}"/>
    <cellStyle name="20% - Accent5 18 2 2" xfId="11893" xr:uid="{00000000-0005-0000-0000-000086180000}"/>
    <cellStyle name="20% - Accent5 18 2 2 2" xfId="23181" xr:uid="{00000000-0005-0000-0000-000087180000}"/>
    <cellStyle name="20% - Accent5 18 2 3" xfId="9899" xr:uid="{00000000-0005-0000-0000-000088180000}"/>
    <cellStyle name="20% - Accent5 18 2 3 2" xfId="21187" xr:uid="{00000000-0005-0000-0000-000089180000}"/>
    <cellStyle name="20% - Accent5 18 2 4" xfId="7905" xr:uid="{00000000-0005-0000-0000-00008A180000}"/>
    <cellStyle name="20% - Accent5 18 2 4 2" xfId="19193" xr:uid="{00000000-0005-0000-0000-00008B180000}"/>
    <cellStyle name="20% - Accent5 18 2 5" xfId="5911" xr:uid="{00000000-0005-0000-0000-00008C180000}"/>
    <cellStyle name="20% - Accent5 18 2 5 2" xfId="17199" xr:uid="{00000000-0005-0000-0000-00008D180000}"/>
    <cellStyle name="20% - Accent5 18 2 6" xfId="15205" xr:uid="{00000000-0005-0000-0000-00008E180000}"/>
    <cellStyle name="20% - Accent5 18 3" xfId="10896" xr:uid="{00000000-0005-0000-0000-00008F180000}"/>
    <cellStyle name="20% - Accent5 18 3 2" xfId="22184" xr:uid="{00000000-0005-0000-0000-000090180000}"/>
    <cellStyle name="20% - Accent5 18 4" xfId="8902" xr:uid="{00000000-0005-0000-0000-000091180000}"/>
    <cellStyle name="20% - Accent5 18 4 2" xfId="20190" xr:uid="{00000000-0005-0000-0000-000092180000}"/>
    <cellStyle name="20% - Accent5 18 5" xfId="6908" xr:uid="{00000000-0005-0000-0000-000093180000}"/>
    <cellStyle name="20% - Accent5 18 5 2" xfId="18196" xr:uid="{00000000-0005-0000-0000-000094180000}"/>
    <cellStyle name="20% - Accent5 18 6" xfId="4914" xr:uid="{00000000-0005-0000-0000-000095180000}"/>
    <cellStyle name="20% - Accent5 18 6 2" xfId="16202" xr:uid="{00000000-0005-0000-0000-000096180000}"/>
    <cellStyle name="20% - Accent5 18 7" xfId="14208" xr:uid="{00000000-0005-0000-0000-000097180000}"/>
    <cellStyle name="20% - Accent5 18 8" xfId="12894" xr:uid="{00000000-0005-0000-0000-000098180000}"/>
    <cellStyle name="20% - Accent5 19" xfId="959" xr:uid="{00000000-0005-0000-0000-000099180000}"/>
    <cellStyle name="20% - Accent5 19 2" xfId="3915" xr:uid="{00000000-0005-0000-0000-00009A180000}"/>
    <cellStyle name="20% - Accent5 19 2 2" xfId="11894" xr:uid="{00000000-0005-0000-0000-00009B180000}"/>
    <cellStyle name="20% - Accent5 19 2 2 2" xfId="23182" xr:uid="{00000000-0005-0000-0000-00009C180000}"/>
    <cellStyle name="20% - Accent5 19 2 3" xfId="9900" xr:uid="{00000000-0005-0000-0000-00009D180000}"/>
    <cellStyle name="20% - Accent5 19 2 3 2" xfId="21188" xr:uid="{00000000-0005-0000-0000-00009E180000}"/>
    <cellStyle name="20% - Accent5 19 2 4" xfId="7906" xr:uid="{00000000-0005-0000-0000-00009F180000}"/>
    <cellStyle name="20% - Accent5 19 2 4 2" xfId="19194" xr:uid="{00000000-0005-0000-0000-0000A0180000}"/>
    <cellStyle name="20% - Accent5 19 2 5" xfId="5912" xr:uid="{00000000-0005-0000-0000-0000A1180000}"/>
    <cellStyle name="20% - Accent5 19 2 5 2" xfId="17200" xr:uid="{00000000-0005-0000-0000-0000A2180000}"/>
    <cellStyle name="20% - Accent5 19 2 6" xfId="15206" xr:uid="{00000000-0005-0000-0000-0000A3180000}"/>
    <cellStyle name="20% - Accent5 19 3" xfId="10897" xr:uid="{00000000-0005-0000-0000-0000A4180000}"/>
    <cellStyle name="20% - Accent5 19 3 2" xfId="22185" xr:uid="{00000000-0005-0000-0000-0000A5180000}"/>
    <cellStyle name="20% - Accent5 19 4" xfId="8903" xr:uid="{00000000-0005-0000-0000-0000A6180000}"/>
    <cellStyle name="20% - Accent5 19 4 2" xfId="20191" xr:uid="{00000000-0005-0000-0000-0000A7180000}"/>
    <cellStyle name="20% - Accent5 19 5" xfId="6909" xr:uid="{00000000-0005-0000-0000-0000A8180000}"/>
    <cellStyle name="20% - Accent5 19 5 2" xfId="18197" xr:uid="{00000000-0005-0000-0000-0000A9180000}"/>
    <cellStyle name="20% - Accent5 19 6" xfId="4915" xr:uid="{00000000-0005-0000-0000-0000AA180000}"/>
    <cellStyle name="20% - Accent5 19 6 2" xfId="16203" xr:uid="{00000000-0005-0000-0000-0000AB180000}"/>
    <cellStyle name="20% - Accent5 19 7" xfId="14209" xr:uid="{00000000-0005-0000-0000-0000AC180000}"/>
    <cellStyle name="20% - Accent5 19 8" xfId="12895" xr:uid="{00000000-0005-0000-0000-0000AD180000}"/>
    <cellStyle name="20% - Accent5 2" xfId="960" xr:uid="{00000000-0005-0000-0000-0000AE180000}"/>
    <cellStyle name="20% - Accent5 2 10" xfId="24583" xr:uid="{00000000-0005-0000-0000-0000AF180000}"/>
    <cellStyle name="20% - Accent5 2 11" xfId="24973" xr:uid="{00000000-0005-0000-0000-0000B0180000}"/>
    <cellStyle name="20% - Accent5 2 2" xfId="3916" xr:uid="{00000000-0005-0000-0000-0000B1180000}"/>
    <cellStyle name="20% - Accent5 2 2 2" xfId="11895" xr:uid="{00000000-0005-0000-0000-0000B2180000}"/>
    <cellStyle name="20% - Accent5 2 2 2 2" xfId="23183" xr:uid="{00000000-0005-0000-0000-0000B3180000}"/>
    <cellStyle name="20% - Accent5 2 2 3" xfId="9901" xr:uid="{00000000-0005-0000-0000-0000B4180000}"/>
    <cellStyle name="20% - Accent5 2 2 3 2" xfId="21189" xr:uid="{00000000-0005-0000-0000-0000B5180000}"/>
    <cellStyle name="20% - Accent5 2 2 4" xfId="7907" xr:uid="{00000000-0005-0000-0000-0000B6180000}"/>
    <cellStyle name="20% - Accent5 2 2 4 2" xfId="19195" xr:uid="{00000000-0005-0000-0000-0000B7180000}"/>
    <cellStyle name="20% - Accent5 2 2 5" xfId="5913" xr:uid="{00000000-0005-0000-0000-0000B8180000}"/>
    <cellStyle name="20% - Accent5 2 2 5 2" xfId="17201" xr:uid="{00000000-0005-0000-0000-0000B9180000}"/>
    <cellStyle name="20% - Accent5 2 2 6" xfId="15207" xr:uid="{00000000-0005-0000-0000-0000BA180000}"/>
    <cellStyle name="20% - Accent5 2 2 7" xfId="24344" xr:uid="{00000000-0005-0000-0000-0000BB180000}"/>
    <cellStyle name="20% - Accent5 2 2 8" xfId="24808" xr:uid="{00000000-0005-0000-0000-0000BC180000}"/>
    <cellStyle name="20% - Accent5 2 2 9" xfId="25175" xr:uid="{00000000-0005-0000-0000-0000BD180000}"/>
    <cellStyle name="20% - Accent5 2 3" xfId="10898" xr:uid="{00000000-0005-0000-0000-0000BE180000}"/>
    <cellStyle name="20% - Accent5 2 3 2" xfId="22186" xr:uid="{00000000-0005-0000-0000-0000BF180000}"/>
    <cellStyle name="20% - Accent5 2 4" xfId="8904" xr:uid="{00000000-0005-0000-0000-0000C0180000}"/>
    <cellStyle name="20% - Accent5 2 4 2" xfId="20192" xr:uid="{00000000-0005-0000-0000-0000C1180000}"/>
    <cellStyle name="20% - Accent5 2 5" xfId="6910" xr:uid="{00000000-0005-0000-0000-0000C2180000}"/>
    <cellStyle name="20% - Accent5 2 5 2" xfId="18198" xr:uid="{00000000-0005-0000-0000-0000C3180000}"/>
    <cellStyle name="20% - Accent5 2 6" xfId="4916" xr:uid="{00000000-0005-0000-0000-0000C4180000}"/>
    <cellStyle name="20% - Accent5 2 6 2" xfId="16204" xr:uid="{00000000-0005-0000-0000-0000C5180000}"/>
    <cellStyle name="20% - Accent5 2 7" xfId="14210" xr:uid="{00000000-0005-0000-0000-0000C6180000}"/>
    <cellStyle name="20% - Accent5 2 8" xfId="12896" xr:uid="{00000000-0005-0000-0000-0000C7180000}"/>
    <cellStyle name="20% - Accent5 2 9" xfId="23956" xr:uid="{00000000-0005-0000-0000-0000C8180000}"/>
    <cellStyle name="20% - Accent5 20" xfId="961" xr:uid="{00000000-0005-0000-0000-0000C9180000}"/>
    <cellStyle name="20% - Accent5 20 2" xfId="3917" xr:uid="{00000000-0005-0000-0000-0000CA180000}"/>
    <cellStyle name="20% - Accent5 20 2 2" xfId="11896" xr:uid="{00000000-0005-0000-0000-0000CB180000}"/>
    <cellStyle name="20% - Accent5 20 2 2 2" xfId="23184" xr:uid="{00000000-0005-0000-0000-0000CC180000}"/>
    <cellStyle name="20% - Accent5 20 2 3" xfId="9902" xr:uid="{00000000-0005-0000-0000-0000CD180000}"/>
    <cellStyle name="20% - Accent5 20 2 3 2" xfId="21190" xr:uid="{00000000-0005-0000-0000-0000CE180000}"/>
    <cellStyle name="20% - Accent5 20 2 4" xfId="7908" xr:uid="{00000000-0005-0000-0000-0000CF180000}"/>
    <cellStyle name="20% - Accent5 20 2 4 2" xfId="19196" xr:uid="{00000000-0005-0000-0000-0000D0180000}"/>
    <cellStyle name="20% - Accent5 20 2 5" xfId="5914" xr:uid="{00000000-0005-0000-0000-0000D1180000}"/>
    <cellStyle name="20% - Accent5 20 2 5 2" xfId="17202" xr:uid="{00000000-0005-0000-0000-0000D2180000}"/>
    <cellStyle name="20% - Accent5 20 2 6" xfId="15208" xr:uid="{00000000-0005-0000-0000-0000D3180000}"/>
    <cellStyle name="20% - Accent5 20 3" xfId="10899" xr:uid="{00000000-0005-0000-0000-0000D4180000}"/>
    <cellStyle name="20% - Accent5 20 3 2" xfId="22187" xr:uid="{00000000-0005-0000-0000-0000D5180000}"/>
    <cellStyle name="20% - Accent5 20 4" xfId="8905" xr:uid="{00000000-0005-0000-0000-0000D6180000}"/>
    <cellStyle name="20% - Accent5 20 4 2" xfId="20193" xr:uid="{00000000-0005-0000-0000-0000D7180000}"/>
    <cellStyle name="20% - Accent5 20 5" xfId="6911" xr:uid="{00000000-0005-0000-0000-0000D8180000}"/>
    <cellStyle name="20% - Accent5 20 5 2" xfId="18199" xr:uid="{00000000-0005-0000-0000-0000D9180000}"/>
    <cellStyle name="20% - Accent5 20 6" xfId="4917" xr:uid="{00000000-0005-0000-0000-0000DA180000}"/>
    <cellStyle name="20% - Accent5 20 6 2" xfId="16205" xr:uid="{00000000-0005-0000-0000-0000DB180000}"/>
    <cellStyle name="20% - Accent5 20 7" xfId="14211" xr:uid="{00000000-0005-0000-0000-0000DC180000}"/>
    <cellStyle name="20% - Accent5 20 8" xfId="12897" xr:uid="{00000000-0005-0000-0000-0000DD180000}"/>
    <cellStyle name="20% - Accent5 21" xfId="962" xr:uid="{00000000-0005-0000-0000-0000DE180000}"/>
    <cellStyle name="20% - Accent5 21 2" xfId="3918" xr:uid="{00000000-0005-0000-0000-0000DF180000}"/>
    <cellStyle name="20% - Accent5 21 2 2" xfId="11897" xr:uid="{00000000-0005-0000-0000-0000E0180000}"/>
    <cellStyle name="20% - Accent5 21 2 2 2" xfId="23185" xr:uid="{00000000-0005-0000-0000-0000E1180000}"/>
    <cellStyle name="20% - Accent5 21 2 3" xfId="9903" xr:uid="{00000000-0005-0000-0000-0000E2180000}"/>
    <cellStyle name="20% - Accent5 21 2 3 2" xfId="21191" xr:uid="{00000000-0005-0000-0000-0000E3180000}"/>
    <cellStyle name="20% - Accent5 21 2 4" xfId="7909" xr:uid="{00000000-0005-0000-0000-0000E4180000}"/>
    <cellStyle name="20% - Accent5 21 2 4 2" xfId="19197" xr:uid="{00000000-0005-0000-0000-0000E5180000}"/>
    <cellStyle name="20% - Accent5 21 2 5" xfId="5915" xr:uid="{00000000-0005-0000-0000-0000E6180000}"/>
    <cellStyle name="20% - Accent5 21 2 5 2" xfId="17203" xr:uid="{00000000-0005-0000-0000-0000E7180000}"/>
    <cellStyle name="20% - Accent5 21 2 6" xfId="15209" xr:uid="{00000000-0005-0000-0000-0000E8180000}"/>
    <cellStyle name="20% - Accent5 21 3" xfId="10900" xr:uid="{00000000-0005-0000-0000-0000E9180000}"/>
    <cellStyle name="20% - Accent5 21 3 2" xfId="22188" xr:uid="{00000000-0005-0000-0000-0000EA180000}"/>
    <cellStyle name="20% - Accent5 21 4" xfId="8906" xr:uid="{00000000-0005-0000-0000-0000EB180000}"/>
    <cellStyle name="20% - Accent5 21 4 2" xfId="20194" xr:uid="{00000000-0005-0000-0000-0000EC180000}"/>
    <cellStyle name="20% - Accent5 21 5" xfId="6912" xr:uid="{00000000-0005-0000-0000-0000ED180000}"/>
    <cellStyle name="20% - Accent5 21 5 2" xfId="18200" xr:uid="{00000000-0005-0000-0000-0000EE180000}"/>
    <cellStyle name="20% - Accent5 21 6" xfId="4918" xr:uid="{00000000-0005-0000-0000-0000EF180000}"/>
    <cellStyle name="20% - Accent5 21 6 2" xfId="16206" xr:uid="{00000000-0005-0000-0000-0000F0180000}"/>
    <cellStyle name="20% - Accent5 21 7" xfId="14212" xr:uid="{00000000-0005-0000-0000-0000F1180000}"/>
    <cellStyle name="20% - Accent5 21 8" xfId="12898" xr:uid="{00000000-0005-0000-0000-0000F2180000}"/>
    <cellStyle name="20% - Accent5 22" xfId="963" xr:uid="{00000000-0005-0000-0000-0000F3180000}"/>
    <cellStyle name="20% - Accent5 22 2" xfId="3919" xr:uid="{00000000-0005-0000-0000-0000F4180000}"/>
    <cellStyle name="20% - Accent5 22 2 2" xfId="11898" xr:uid="{00000000-0005-0000-0000-0000F5180000}"/>
    <cellStyle name="20% - Accent5 22 2 2 2" xfId="23186" xr:uid="{00000000-0005-0000-0000-0000F6180000}"/>
    <cellStyle name="20% - Accent5 22 2 3" xfId="9904" xr:uid="{00000000-0005-0000-0000-0000F7180000}"/>
    <cellStyle name="20% - Accent5 22 2 3 2" xfId="21192" xr:uid="{00000000-0005-0000-0000-0000F8180000}"/>
    <cellStyle name="20% - Accent5 22 2 4" xfId="7910" xr:uid="{00000000-0005-0000-0000-0000F9180000}"/>
    <cellStyle name="20% - Accent5 22 2 4 2" xfId="19198" xr:uid="{00000000-0005-0000-0000-0000FA180000}"/>
    <cellStyle name="20% - Accent5 22 2 5" xfId="5916" xr:uid="{00000000-0005-0000-0000-0000FB180000}"/>
    <cellStyle name="20% - Accent5 22 2 5 2" xfId="17204" xr:uid="{00000000-0005-0000-0000-0000FC180000}"/>
    <cellStyle name="20% - Accent5 22 2 6" xfId="15210" xr:uid="{00000000-0005-0000-0000-0000FD180000}"/>
    <cellStyle name="20% - Accent5 22 3" xfId="10901" xr:uid="{00000000-0005-0000-0000-0000FE180000}"/>
    <cellStyle name="20% - Accent5 22 3 2" xfId="22189" xr:uid="{00000000-0005-0000-0000-0000FF180000}"/>
    <cellStyle name="20% - Accent5 22 4" xfId="8907" xr:uid="{00000000-0005-0000-0000-000000190000}"/>
    <cellStyle name="20% - Accent5 22 4 2" xfId="20195" xr:uid="{00000000-0005-0000-0000-000001190000}"/>
    <cellStyle name="20% - Accent5 22 5" xfId="6913" xr:uid="{00000000-0005-0000-0000-000002190000}"/>
    <cellStyle name="20% - Accent5 22 5 2" xfId="18201" xr:uid="{00000000-0005-0000-0000-000003190000}"/>
    <cellStyle name="20% - Accent5 22 6" xfId="4919" xr:uid="{00000000-0005-0000-0000-000004190000}"/>
    <cellStyle name="20% - Accent5 22 6 2" xfId="16207" xr:uid="{00000000-0005-0000-0000-000005190000}"/>
    <cellStyle name="20% - Accent5 22 7" xfId="14213" xr:uid="{00000000-0005-0000-0000-000006190000}"/>
    <cellStyle name="20% - Accent5 22 8" xfId="12899" xr:uid="{00000000-0005-0000-0000-000007190000}"/>
    <cellStyle name="20% - Accent5 23" xfId="964" xr:uid="{00000000-0005-0000-0000-000008190000}"/>
    <cellStyle name="20% - Accent5 23 2" xfId="3920" xr:uid="{00000000-0005-0000-0000-000009190000}"/>
    <cellStyle name="20% - Accent5 23 2 2" xfId="11899" xr:uid="{00000000-0005-0000-0000-00000A190000}"/>
    <cellStyle name="20% - Accent5 23 2 2 2" xfId="23187" xr:uid="{00000000-0005-0000-0000-00000B190000}"/>
    <cellStyle name="20% - Accent5 23 2 3" xfId="9905" xr:uid="{00000000-0005-0000-0000-00000C190000}"/>
    <cellStyle name="20% - Accent5 23 2 3 2" xfId="21193" xr:uid="{00000000-0005-0000-0000-00000D190000}"/>
    <cellStyle name="20% - Accent5 23 2 4" xfId="7911" xr:uid="{00000000-0005-0000-0000-00000E190000}"/>
    <cellStyle name="20% - Accent5 23 2 4 2" xfId="19199" xr:uid="{00000000-0005-0000-0000-00000F190000}"/>
    <cellStyle name="20% - Accent5 23 2 5" xfId="5917" xr:uid="{00000000-0005-0000-0000-000010190000}"/>
    <cellStyle name="20% - Accent5 23 2 5 2" xfId="17205" xr:uid="{00000000-0005-0000-0000-000011190000}"/>
    <cellStyle name="20% - Accent5 23 2 6" xfId="15211" xr:uid="{00000000-0005-0000-0000-000012190000}"/>
    <cellStyle name="20% - Accent5 23 3" xfId="10902" xr:uid="{00000000-0005-0000-0000-000013190000}"/>
    <cellStyle name="20% - Accent5 23 3 2" xfId="22190" xr:uid="{00000000-0005-0000-0000-000014190000}"/>
    <cellStyle name="20% - Accent5 23 4" xfId="8908" xr:uid="{00000000-0005-0000-0000-000015190000}"/>
    <cellStyle name="20% - Accent5 23 4 2" xfId="20196" xr:uid="{00000000-0005-0000-0000-000016190000}"/>
    <cellStyle name="20% - Accent5 23 5" xfId="6914" xr:uid="{00000000-0005-0000-0000-000017190000}"/>
    <cellStyle name="20% - Accent5 23 5 2" xfId="18202" xr:uid="{00000000-0005-0000-0000-000018190000}"/>
    <cellStyle name="20% - Accent5 23 6" xfId="4920" xr:uid="{00000000-0005-0000-0000-000019190000}"/>
    <cellStyle name="20% - Accent5 23 6 2" xfId="16208" xr:uid="{00000000-0005-0000-0000-00001A190000}"/>
    <cellStyle name="20% - Accent5 23 7" xfId="14214" xr:uid="{00000000-0005-0000-0000-00001B190000}"/>
    <cellStyle name="20% - Accent5 23 8" xfId="12900" xr:uid="{00000000-0005-0000-0000-00001C190000}"/>
    <cellStyle name="20% - Accent5 24" xfId="965" xr:uid="{00000000-0005-0000-0000-00001D190000}"/>
    <cellStyle name="20% - Accent5 24 2" xfId="3921" xr:uid="{00000000-0005-0000-0000-00001E190000}"/>
    <cellStyle name="20% - Accent5 24 2 2" xfId="11900" xr:uid="{00000000-0005-0000-0000-00001F190000}"/>
    <cellStyle name="20% - Accent5 24 2 2 2" xfId="23188" xr:uid="{00000000-0005-0000-0000-000020190000}"/>
    <cellStyle name="20% - Accent5 24 2 3" xfId="9906" xr:uid="{00000000-0005-0000-0000-000021190000}"/>
    <cellStyle name="20% - Accent5 24 2 3 2" xfId="21194" xr:uid="{00000000-0005-0000-0000-000022190000}"/>
    <cellStyle name="20% - Accent5 24 2 4" xfId="7912" xr:uid="{00000000-0005-0000-0000-000023190000}"/>
    <cellStyle name="20% - Accent5 24 2 4 2" xfId="19200" xr:uid="{00000000-0005-0000-0000-000024190000}"/>
    <cellStyle name="20% - Accent5 24 2 5" xfId="5918" xr:uid="{00000000-0005-0000-0000-000025190000}"/>
    <cellStyle name="20% - Accent5 24 2 5 2" xfId="17206" xr:uid="{00000000-0005-0000-0000-000026190000}"/>
    <cellStyle name="20% - Accent5 24 2 6" xfId="15212" xr:uid="{00000000-0005-0000-0000-000027190000}"/>
    <cellStyle name="20% - Accent5 24 3" xfId="10903" xr:uid="{00000000-0005-0000-0000-000028190000}"/>
    <cellStyle name="20% - Accent5 24 3 2" xfId="22191" xr:uid="{00000000-0005-0000-0000-000029190000}"/>
    <cellStyle name="20% - Accent5 24 4" xfId="8909" xr:uid="{00000000-0005-0000-0000-00002A190000}"/>
    <cellStyle name="20% - Accent5 24 4 2" xfId="20197" xr:uid="{00000000-0005-0000-0000-00002B190000}"/>
    <cellStyle name="20% - Accent5 24 5" xfId="6915" xr:uid="{00000000-0005-0000-0000-00002C190000}"/>
    <cellStyle name="20% - Accent5 24 5 2" xfId="18203" xr:uid="{00000000-0005-0000-0000-00002D190000}"/>
    <cellStyle name="20% - Accent5 24 6" xfId="4921" xr:uid="{00000000-0005-0000-0000-00002E190000}"/>
    <cellStyle name="20% - Accent5 24 6 2" xfId="16209" xr:uid="{00000000-0005-0000-0000-00002F190000}"/>
    <cellStyle name="20% - Accent5 24 7" xfId="14215" xr:uid="{00000000-0005-0000-0000-000030190000}"/>
    <cellStyle name="20% - Accent5 24 8" xfId="12901" xr:uid="{00000000-0005-0000-0000-000031190000}"/>
    <cellStyle name="20% - Accent5 25" xfId="966" xr:uid="{00000000-0005-0000-0000-000032190000}"/>
    <cellStyle name="20% - Accent5 25 2" xfId="3922" xr:uid="{00000000-0005-0000-0000-000033190000}"/>
    <cellStyle name="20% - Accent5 25 2 2" xfId="11901" xr:uid="{00000000-0005-0000-0000-000034190000}"/>
    <cellStyle name="20% - Accent5 25 2 2 2" xfId="23189" xr:uid="{00000000-0005-0000-0000-000035190000}"/>
    <cellStyle name="20% - Accent5 25 2 3" xfId="9907" xr:uid="{00000000-0005-0000-0000-000036190000}"/>
    <cellStyle name="20% - Accent5 25 2 3 2" xfId="21195" xr:uid="{00000000-0005-0000-0000-000037190000}"/>
    <cellStyle name="20% - Accent5 25 2 4" xfId="7913" xr:uid="{00000000-0005-0000-0000-000038190000}"/>
    <cellStyle name="20% - Accent5 25 2 4 2" xfId="19201" xr:uid="{00000000-0005-0000-0000-000039190000}"/>
    <cellStyle name="20% - Accent5 25 2 5" xfId="5919" xr:uid="{00000000-0005-0000-0000-00003A190000}"/>
    <cellStyle name="20% - Accent5 25 2 5 2" xfId="17207" xr:uid="{00000000-0005-0000-0000-00003B190000}"/>
    <cellStyle name="20% - Accent5 25 2 6" xfId="15213" xr:uid="{00000000-0005-0000-0000-00003C190000}"/>
    <cellStyle name="20% - Accent5 25 3" xfId="10904" xr:uid="{00000000-0005-0000-0000-00003D190000}"/>
    <cellStyle name="20% - Accent5 25 3 2" xfId="22192" xr:uid="{00000000-0005-0000-0000-00003E190000}"/>
    <cellStyle name="20% - Accent5 25 4" xfId="8910" xr:uid="{00000000-0005-0000-0000-00003F190000}"/>
    <cellStyle name="20% - Accent5 25 4 2" xfId="20198" xr:uid="{00000000-0005-0000-0000-000040190000}"/>
    <cellStyle name="20% - Accent5 25 5" xfId="6916" xr:uid="{00000000-0005-0000-0000-000041190000}"/>
    <cellStyle name="20% - Accent5 25 5 2" xfId="18204" xr:uid="{00000000-0005-0000-0000-000042190000}"/>
    <cellStyle name="20% - Accent5 25 6" xfId="4922" xr:uid="{00000000-0005-0000-0000-000043190000}"/>
    <cellStyle name="20% - Accent5 25 6 2" xfId="16210" xr:uid="{00000000-0005-0000-0000-000044190000}"/>
    <cellStyle name="20% - Accent5 25 7" xfId="14216" xr:uid="{00000000-0005-0000-0000-000045190000}"/>
    <cellStyle name="20% - Accent5 25 8" xfId="12902" xr:uid="{00000000-0005-0000-0000-000046190000}"/>
    <cellStyle name="20% - Accent5 26" xfId="967" xr:uid="{00000000-0005-0000-0000-000047190000}"/>
    <cellStyle name="20% - Accent5 26 2" xfId="3923" xr:uid="{00000000-0005-0000-0000-000048190000}"/>
    <cellStyle name="20% - Accent5 26 2 2" xfId="11902" xr:uid="{00000000-0005-0000-0000-000049190000}"/>
    <cellStyle name="20% - Accent5 26 2 2 2" xfId="23190" xr:uid="{00000000-0005-0000-0000-00004A190000}"/>
    <cellStyle name="20% - Accent5 26 2 3" xfId="9908" xr:uid="{00000000-0005-0000-0000-00004B190000}"/>
    <cellStyle name="20% - Accent5 26 2 3 2" xfId="21196" xr:uid="{00000000-0005-0000-0000-00004C190000}"/>
    <cellStyle name="20% - Accent5 26 2 4" xfId="7914" xr:uid="{00000000-0005-0000-0000-00004D190000}"/>
    <cellStyle name="20% - Accent5 26 2 4 2" xfId="19202" xr:uid="{00000000-0005-0000-0000-00004E190000}"/>
    <cellStyle name="20% - Accent5 26 2 5" xfId="5920" xr:uid="{00000000-0005-0000-0000-00004F190000}"/>
    <cellStyle name="20% - Accent5 26 2 5 2" xfId="17208" xr:uid="{00000000-0005-0000-0000-000050190000}"/>
    <cellStyle name="20% - Accent5 26 2 6" xfId="15214" xr:uid="{00000000-0005-0000-0000-000051190000}"/>
    <cellStyle name="20% - Accent5 26 3" xfId="10905" xr:uid="{00000000-0005-0000-0000-000052190000}"/>
    <cellStyle name="20% - Accent5 26 3 2" xfId="22193" xr:uid="{00000000-0005-0000-0000-000053190000}"/>
    <cellStyle name="20% - Accent5 26 4" xfId="8911" xr:uid="{00000000-0005-0000-0000-000054190000}"/>
    <cellStyle name="20% - Accent5 26 4 2" xfId="20199" xr:uid="{00000000-0005-0000-0000-000055190000}"/>
    <cellStyle name="20% - Accent5 26 5" xfId="6917" xr:uid="{00000000-0005-0000-0000-000056190000}"/>
    <cellStyle name="20% - Accent5 26 5 2" xfId="18205" xr:uid="{00000000-0005-0000-0000-000057190000}"/>
    <cellStyle name="20% - Accent5 26 6" xfId="4923" xr:uid="{00000000-0005-0000-0000-000058190000}"/>
    <cellStyle name="20% - Accent5 26 6 2" xfId="16211" xr:uid="{00000000-0005-0000-0000-000059190000}"/>
    <cellStyle name="20% - Accent5 26 7" xfId="14217" xr:uid="{00000000-0005-0000-0000-00005A190000}"/>
    <cellStyle name="20% - Accent5 26 8" xfId="12903" xr:uid="{00000000-0005-0000-0000-00005B190000}"/>
    <cellStyle name="20% - Accent5 27" xfId="968" xr:uid="{00000000-0005-0000-0000-00005C190000}"/>
    <cellStyle name="20% - Accent5 27 2" xfId="3924" xr:uid="{00000000-0005-0000-0000-00005D190000}"/>
    <cellStyle name="20% - Accent5 27 2 2" xfId="11903" xr:uid="{00000000-0005-0000-0000-00005E190000}"/>
    <cellStyle name="20% - Accent5 27 2 2 2" xfId="23191" xr:uid="{00000000-0005-0000-0000-00005F190000}"/>
    <cellStyle name="20% - Accent5 27 2 3" xfId="9909" xr:uid="{00000000-0005-0000-0000-000060190000}"/>
    <cellStyle name="20% - Accent5 27 2 3 2" xfId="21197" xr:uid="{00000000-0005-0000-0000-000061190000}"/>
    <cellStyle name="20% - Accent5 27 2 4" xfId="7915" xr:uid="{00000000-0005-0000-0000-000062190000}"/>
    <cellStyle name="20% - Accent5 27 2 4 2" xfId="19203" xr:uid="{00000000-0005-0000-0000-000063190000}"/>
    <cellStyle name="20% - Accent5 27 2 5" xfId="5921" xr:uid="{00000000-0005-0000-0000-000064190000}"/>
    <cellStyle name="20% - Accent5 27 2 5 2" xfId="17209" xr:uid="{00000000-0005-0000-0000-000065190000}"/>
    <cellStyle name="20% - Accent5 27 2 6" xfId="15215" xr:uid="{00000000-0005-0000-0000-000066190000}"/>
    <cellStyle name="20% - Accent5 27 3" xfId="10906" xr:uid="{00000000-0005-0000-0000-000067190000}"/>
    <cellStyle name="20% - Accent5 27 3 2" xfId="22194" xr:uid="{00000000-0005-0000-0000-000068190000}"/>
    <cellStyle name="20% - Accent5 27 4" xfId="8912" xr:uid="{00000000-0005-0000-0000-000069190000}"/>
    <cellStyle name="20% - Accent5 27 4 2" xfId="20200" xr:uid="{00000000-0005-0000-0000-00006A190000}"/>
    <cellStyle name="20% - Accent5 27 5" xfId="6918" xr:uid="{00000000-0005-0000-0000-00006B190000}"/>
    <cellStyle name="20% - Accent5 27 5 2" xfId="18206" xr:uid="{00000000-0005-0000-0000-00006C190000}"/>
    <cellStyle name="20% - Accent5 27 6" xfId="4924" xr:uid="{00000000-0005-0000-0000-00006D190000}"/>
    <cellStyle name="20% - Accent5 27 6 2" xfId="16212" xr:uid="{00000000-0005-0000-0000-00006E190000}"/>
    <cellStyle name="20% - Accent5 27 7" xfId="14218" xr:uid="{00000000-0005-0000-0000-00006F190000}"/>
    <cellStyle name="20% - Accent5 27 8" xfId="12904" xr:uid="{00000000-0005-0000-0000-000070190000}"/>
    <cellStyle name="20% - Accent5 28" xfId="969" xr:uid="{00000000-0005-0000-0000-000071190000}"/>
    <cellStyle name="20% - Accent5 28 2" xfId="3925" xr:uid="{00000000-0005-0000-0000-000072190000}"/>
    <cellStyle name="20% - Accent5 28 2 2" xfId="11904" xr:uid="{00000000-0005-0000-0000-000073190000}"/>
    <cellStyle name="20% - Accent5 28 2 2 2" xfId="23192" xr:uid="{00000000-0005-0000-0000-000074190000}"/>
    <cellStyle name="20% - Accent5 28 2 3" xfId="9910" xr:uid="{00000000-0005-0000-0000-000075190000}"/>
    <cellStyle name="20% - Accent5 28 2 3 2" xfId="21198" xr:uid="{00000000-0005-0000-0000-000076190000}"/>
    <cellStyle name="20% - Accent5 28 2 4" xfId="7916" xr:uid="{00000000-0005-0000-0000-000077190000}"/>
    <cellStyle name="20% - Accent5 28 2 4 2" xfId="19204" xr:uid="{00000000-0005-0000-0000-000078190000}"/>
    <cellStyle name="20% - Accent5 28 2 5" xfId="5922" xr:uid="{00000000-0005-0000-0000-000079190000}"/>
    <cellStyle name="20% - Accent5 28 2 5 2" xfId="17210" xr:uid="{00000000-0005-0000-0000-00007A190000}"/>
    <cellStyle name="20% - Accent5 28 2 6" xfId="15216" xr:uid="{00000000-0005-0000-0000-00007B190000}"/>
    <cellStyle name="20% - Accent5 28 3" xfId="10907" xr:uid="{00000000-0005-0000-0000-00007C190000}"/>
    <cellStyle name="20% - Accent5 28 3 2" xfId="22195" xr:uid="{00000000-0005-0000-0000-00007D190000}"/>
    <cellStyle name="20% - Accent5 28 4" xfId="8913" xr:uid="{00000000-0005-0000-0000-00007E190000}"/>
    <cellStyle name="20% - Accent5 28 4 2" xfId="20201" xr:uid="{00000000-0005-0000-0000-00007F190000}"/>
    <cellStyle name="20% - Accent5 28 5" xfId="6919" xr:uid="{00000000-0005-0000-0000-000080190000}"/>
    <cellStyle name="20% - Accent5 28 5 2" xfId="18207" xr:uid="{00000000-0005-0000-0000-000081190000}"/>
    <cellStyle name="20% - Accent5 28 6" xfId="4925" xr:uid="{00000000-0005-0000-0000-000082190000}"/>
    <cellStyle name="20% - Accent5 28 6 2" xfId="16213" xr:uid="{00000000-0005-0000-0000-000083190000}"/>
    <cellStyle name="20% - Accent5 28 7" xfId="14219" xr:uid="{00000000-0005-0000-0000-000084190000}"/>
    <cellStyle name="20% - Accent5 28 8" xfId="12905" xr:uid="{00000000-0005-0000-0000-000085190000}"/>
    <cellStyle name="20% - Accent5 29" xfId="970" xr:uid="{00000000-0005-0000-0000-000086190000}"/>
    <cellStyle name="20% - Accent5 29 2" xfId="3926" xr:uid="{00000000-0005-0000-0000-000087190000}"/>
    <cellStyle name="20% - Accent5 29 2 2" xfId="11905" xr:uid="{00000000-0005-0000-0000-000088190000}"/>
    <cellStyle name="20% - Accent5 29 2 2 2" xfId="23193" xr:uid="{00000000-0005-0000-0000-000089190000}"/>
    <cellStyle name="20% - Accent5 29 2 3" xfId="9911" xr:uid="{00000000-0005-0000-0000-00008A190000}"/>
    <cellStyle name="20% - Accent5 29 2 3 2" xfId="21199" xr:uid="{00000000-0005-0000-0000-00008B190000}"/>
    <cellStyle name="20% - Accent5 29 2 4" xfId="7917" xr:uid="{00000000-0005-0000-0000-00008C190000}"/>
    <cellStyle name="20% - Accent5 29 2 4 2" xfId="19205" xr:uid="{00000000-0005-0000-0000-00008D190000}"/>
    <cellStyle name="20% - Accent5 29 2 5" xfId="5923" xr:uid="{00000000-0005-0000-0000-00008E190000}"/>
    <cellStyle name="20% - Accent5 29 2 5 2" xfId="17211" xr:uid="{00000000-0005-0000-0000-00008F190000}"/>
    <cellStyle name="20% - Accent5 29 2 6" xfId="15217" xr:uid="{00000000-0005-0000-0000-000090190000}"/>
    <cellStyle name="20% - Accent5 29 3" xfId="10908" xr:uid="{00000000-0005-0000-0000-000091190000}"/>
    <cellStyle name="20% - Accent5 29 3 2" xfId="22196" xr:uid="{00000000-0005-0000-0000-000092190000}"/>
    <cellStyle name="20% - Accent5 29 4" xfId="8914" xr:uid="{00000000-0005-0000-0000-000093190000}"/>
    <cellStyle name="20% - Accent5 29 4 2" xfId="20202" xr:uid="{00000000-0005-0000-0000-000094190000}"/>
    <cellStyle name="20% - Accent5 29 5" xfId="6920" xr:uid="{00000000-0005-0000-0000-000095190000}"/>
    <cellStyle name="20% - Accent5 29 5 2" xfId="18208" xr:uid="{00000000-0005-0000-0000-000096190000}"/>
    <cellStyle name="20% - Accent5 29 6" xfId="4926" xr:uid="{00000000-0005-0000-0000-000097190000}"/>
    <cellStyle name="20% - Accent5 29 6 2" xfId="16214" xr:uid="{00000000-0005-0000-0000-000098190000}"/>
    <cellStyle name="20% - Accent5 29 7" xfId="14220" xr:uid="{00000000-0005-0000-0000-000099190000}"/>
    <cellStyle name="20% - Accent5 29 8" xfId="12906" xr:uid="{00000000-0005-0000-0000-00009A190000}"/>
    <cellStyle name="20% - Accent5 3" xfId="971" xr:uid="{00000000-0005-0000-0000-00009B190000}"/>
    <cellStyle name="20% - Accent5 3 10" xfId="24584" xr:uid="{00000000-0005-0000-0000-00009C190000}"/>
    <cellStyle name="20% - Accent5 3 11" xfId="24974" xr:uid="{00000000-0005-0000-0000-00009D190000}"/>
    <cellStyle name="20% - Accent5 3 2" xfId="3927" xr:uid="{00000000-0005-0000-0000-00009E190000}"/>
    <cellStyle name="20% - Accent5 3 2 2" xfId="11906" xr:uid="{00000000-0005-0000-0000-00009F190000}"/>
    <cellStyle name="20% - Accent5 3 2 2 2" xfId="23194" xr:uid="{00000000-0005-0000-0000-0000A0190000}"/>
    <cellStyle name="20% - Accent5 3 2 3" xfId="9912" xr:uid="{00000000-0005-0000-0000-0000A1190000}"/>
    <cellStyle name="20% - Accent5 3 2 3 2" xfId="21200" xr:uid="{00000000-0005-0000-0000-0000A2190000}"/>
    <cellStyle name="20% - Accent5 3 2 4" xfId="7918" xr:uid="{00000000-0005-0000-0000-0000A3190000}"/>
    <cellStyle name="20% - Accent5 3 2 4 2" xfId="19206" xr:uid="{00000000-0005-0000-0000-0000A4190000}"/>
    <cellStyle name="20% - Accent5 3 2 5" xfId="5924" xr:uid="{00000000-0005-0000-0000-0000A5190000}"/>
    <cellStyle name="20% - Accent5 3 2 5 2" xfId="17212" xr:uid="{00000000-0005-0000-0000-0000A6190000}"/>
    <cellStyle name="20% - Accent5 3 2 6" xfId="15218" xr:uid="{00000000-0005-0000-0000-0000A7190000}"/>
    <cellStyle name="20% - Accent5 3 2 7" xfId="24345" xr:uid="{00000000-0005-0000-0000-0000A8190000}"/>
    <cellStyle name="20% - Accent5 3 2 8" xfId="24809" xr:uid="{00000000-0005-0000-0000-0000A9190000}"/>
    <cellStyle name="20% - Accent5 3 2 9" xfId="25176" xr:uid="{00000000-0005-0000-0000-0000AA190000}"/>
    <cellStyle name="20% - Accent5 3 3" xfId="10909" xr:uid="{00000000-0005-0000-0000-0000AB190000}"/>
    <cellStyle name="20% - Accent5 3 3 2" xfId="22197" xr:uid="{00000000-0005-0000-0000-0000AC190000}"/>
    <cellStyle name="20% - Accent5 3 4" xfId="8915" xr:uid="{00000000-0005-0000-0000-0000AD190000}"/>
    <cellStyle name="20% - Accent5 3 4 2" xfId="20203" xr:uid="{00000000-0005-0000-0000-0000AE190000}"/>
    <cellStyle name="20% - Accent5 3 5" xfId="6921" xr:uid="{00000000-0005-0000-0000-0000AF190000}"/>
    <cellStyle name="20% - Accent5 3 5 2" xfId="18209" xr:uid="{00000000-0005-0000-0000-0000B0190000}"/>
    <cellStyle name="20% - Accent5 3 6" xfId="4927" xr:uid="{00000000-0005-0000-0000-0000B1190000}"/>
    <cellStyle name="20% - Accent5 3 6 2" xfId="16215" xr:uid="{00000000-0005-0000-0000-0000B2190000}"/>
    <cellStyle name="20% - Accent5 3 7" xfId="14221" xr:uid="{00000000-0005-0000-0000-0000B3190000}"/>
    <cellStyle name="20% - Accent5 3 8" xfId="12907" xr:uid="{00000000-0005-0000-0000-0000B4190000}"/>
    <cellStyle name="20% - Accent5 3 9" xfId="23957" xr:uid="{00000000-0005-0000-0000-0000B5190000}"/>
    <cellStyle name="20% - Accent5 30" xfId="972" xr:uid="{00000000-0005-0000-0000-0000B6190000}"/>
    <cellStyle name="20% - Accent5 30 2" xfId="3928" xr:uid="{00000000-0005-0000-0000-0000B7190000}"/>
    <cellStyle name="20% - Accent5 30 2 2" xfId="11907" xr:uid="{00000000-0005-0000-0000-0000B8190000}"/>
    <cellStyle name="20% - Accent5 30 2 2 2" xfId="23195" xr:uid="{00000000-0005-0000-0000-0000B9190000}"/>
    <cellStyle name="20% - Accent5 30 2 3" xfId="9913" xr:uid="{00000000-0005-0000-0000-0000BA190000}"/>
    <cellStyle name="20% - Accent5 30 2 3 2" xfId="21201" xr:uid="{00000000-0005-0000-0000-0000BB190000}"/>
    <cellStyle name="20% - Accent5 30 2 4" xfId="7919" xr:uid="{00000000-0005-0000-0000-0000BC190000}"/>
    <cellStyle name="20% - Accent5 30 2 4 2" xfId="19207" xr:uid="{00000000-0005-0000-0000-0000BD190000}"/>
    <cellStyle name="20% - Accent5 30 2 5" xfId="5925" xr:uid="{00000000-0005-0000-0000-0000BE190000}"/>
    <cellStyle name="20% - Accent5 30 2 5 2" xfId="17213" xr:uid="{00000000-0005-0000-0000-0000BF190000}"/>
    <cellStyle name="20% - Accent5 30 2 6" xfId="15219" xr:uid="{00000000-0005-0000-0000-0000C0190000}"/>
    <cellStyle name="20% - Accent5 30 3" xfId="10910" xr:uid="{00000000-0005-0000-0000-0000C1190000}"/>
    <cellStyle name="20% - Accent5 30 3 2" xfId="22198" xr:uid="{00000000-0005-0000-0000-0000C2190000}"/>
    <cellStyle name="20% - Accent5 30 4" xfId="8916" xr:uid="{00000000-0005-0000-0000-0000C3190000}"/>
    <cellStyle name="20% - Accent5 30 4 2" xfId="20204" xr:uid="{00000000-0005-0000-0000-0000C4190000}"/>
    <cellStyle name="20% - Accent5 30 5" xfId="6922" xr:uid="{00000000-0005-0000-0000-0000C5190000}"/>
    <cellStyle name="20% - Accent5 30 5 2" xfId="18210" xr:uid="{00000000-0005-0000-0000-0000C6190000}"/>
    <cellStyle name="20% - Accent5 30 6" xfId="4928" xr:uid="{00000000-0005-0000-0000-0000C7190000}"/>
    <cellStyle name="20% - Accent5 30 6 2" xfId="16216" xr:uid="{00000000-0005-0000-0000-0000C8190000}"/>
    <cellStyle name="20% - Accent5 30 7" xfId="14222" xr:uid="{00000000-0005-0000-0000-0000C9190000}"/>
    <cellStyle name="20% - Accent5 30 8" xfId="12908" xr:uid="{00000000-0005-0000-0000-0000CA190000}"/>
    <cellStyle name="20% - Accent5 31" xfId="973" xr:uid="{00000000-0005-0000-0000-0000CB190000}"/>
    <cellStyle name="20% - Accent5 31 2" xfId="3929" xr:uid="{00000000-0005-0000-0000-0000CC190000}"/>
    <cellStyle name="20% - Accent5 31 2 2" xfId="11908" xr:uid="{00000000-0005-0000-0000-0000CD190000}"/>
    <cellStyle name="20% - Accent5 31 2 2 2" xfId="23196" xr:uid="{00000000-0005-0000-0000-0000CE190000}"/>
    <cellStyle name="20% - Accent5 31 2 3" xfId="9914" xr:uid="{00000000-0005-0000-0000-0000CF190000}"/>
    <cellStyle name="20% - Accent5 31 2 3 2" xfId="21202" xr:uid="{00000000-0005-0000-0000-0000D0190000}"/>
    <cellStyle name="20% - Accent5 31 2 4" xfId="7920" xr:uid="{00000000-0005-0000-0000-0000D1190000}"/>
    <cellStyle name="20% - Accent5 31 2 4 2" xfId="19208" xr:uid="{00000000-0005-0000-0000-0000D2190000}"/>
    <cellStyle name="20% - Accent5 31 2 5" xfId="5926" xr:uid="{00000000-0005-0000-0000-0000D3190000}"/>
    <cellStyle name="20% - Accent5 31 2 5 2" xfId="17214" xr:uid="{00000000-0005-0000-0000-0000D4190000}"/>
    <cellStyle name="20% - Accent5 31 2 6" xfId="15220" xr:uid="{00000000-0005-0000-0000-0000D5190000}"/>
    <cellStyle name="20% - Accent5 31 3" xfId="10911" xr:uid="{00000000-0005-0000-0000-0000D6190000}"/>
    <cellStyle name="20% - Accent5 31 3 2" xfId="22199" xr:uid="{00000000-0005-0000-0000-0000D7190000}"/>
    <cellStyle name="20% - Accent5 31 4" xfId="8917" xr:uid="{00000000-0005-0000-0000-0000D8190000}"/>
    <cellStyle name="20% - Accent5 31 4 2" xfId="20205" xr:uid="{00000000-0005-0000-0000-0000D9190000}"/>
    <cellStyle name="20% - Accent5 31 5" xfId="6923" xr:uid="{00000000-0005-0000-0000-0000DA190000}"/>
    <cellStyle name="20% - Accent5 31 5 2" xfId="18211" xr:uid="{00000000-0005-0000-0000-0000DB190000}"/>
    <cellStyle name="20% - Accent5 31 6" xfId="4929" xr:uid="{00000000-0005-0000-0000-0000DC190000}"/>
    <cellStyle name="20% - Accent5 31 6 2" xfId="16217" xr:uid="{00000000-0005-0000-0000-0000DD190000}"/>
    <cellStyle name="20% - Accent5 31 7" xfId="14223" xr:uid="{00000000-0005-0000-0000-0000DE190000}"/>
    <cellStyle name="20% - Accent5 31 8" xfId="12909" xr:uid="{00000000-0005-0000-0000-0000DF190000}"/>
    <cellStyle name="20% - Accent5 32" xfId="974" xr:uid="{00000000-0005-0000-0000-0000E0190000}"/>
    <cellStyle name="20% - Accent5 32 2" xfId="3930" xr:uid="{00000000-0005-0000-0000-0000E1190000}"/>
    <cellStyle name="20% - Accent5 32 2 2" xfId="11909" xr:uid="{00000000-0005-0000-0000-0000E2190000}"/>
    <cellStyle name="20% - Accent5 32 2 2 2" xfId="23197" xr:uid="{00000000-0005-0000-0000-0000E3190000}"/>
    <cellStyle name="20% - Accent5 32 2 3" xfId="9915" xr:uid="{00000000-0005-0000-0000-0000E4190000}"/>
    <cellStyle name="20% - Accent5 32 2 3 2" xfId="21203" xr:uid="{00000000-0005-0000-0000-0000E5190000}"/>
    <cellStyle name="20% - Accent5 32 2 4" xfId="7921" xr:uid="{00000000-0005-0000-0000-0000E6190000}"/>
    <cellStyle name="20% - Accent5 32 2 4 2" xfId="19209" xr:uid="{00000000-0005-0000-0000-0000E7190000}"/>
    <cellStyle name="20% - Accent5 32 2 5" xfId="5927" xr:uid="{00000000-0005-0000-0000-0000E8190000}"/>
    <cellStyle name="20% - Accent5 32 2 5 2" xfId="17215" xr:uid="{00000000-0005-0000-0000-0000E9190000}"/>
    <cellStyle name="20% - Accent5 32 2 6" xfId="15221" xr:uid="{00000000-0005-0000-0000-0000EA190000}"/>
    <cellStyle name="20% - Accent5 32 3" xfId="10912" xr:uid="{00000000-0005-0000-0000-0000EB190000}"/>
    <cellStyle name="20% - Accent5 32 3 2" xfId="22200" xr:uid="{00000000-0005-0000-0000-0000EC190000}"/>
    <cellStyle name="20% - Accent5 32 4" xfId="8918" xr:uid="{00000000-0005-0000-0000-0000ED190000}"/>
    <cellStyle name="20% - Accent5 32 4 2" xfId="20206" xr:uid="{00000000-0005-0000-0000-0000EE190000}"/>
    <cellStyle name="20% - Accent5 32 5" xfId="6924" xr:uid="{00000000-0005-0000-0000-0000EF190000}"/>
    <cellStyle name="20% - Accent5 32 5 2" xfId="18212" xr:uid="{00000000-0005-0000-0000-0000F0190000}"/>
    <cellStyle name="20% - Accent5 32 6" xfId="4930" xr:uid="{00000000-0005-0000-0000-0000F1190000}"/>
    <cellStyle name="20% - Accent5 32 6 2" xfId="16218" xr:uid="{00000000-0005-0000-0000-0000F2190000}"/>
    <cellStyle name="20% - Accent5 32 7" xfId="14224" xr:uid="{00000000-0005-0000-0000-0000F3190000}"/>
    <cellStyle name="20% - Accent5 32 8" xfId="12910" xr:uid="{00000000-0005-0000-0000-0000F4190000}"/>
    <cellStyle name="20% - Accent5 33" xfId="975" xr:uid="{00000000-0005-0000-0000-0000F5190000}"/>
    <cellStyle name="20% - Accent5 33 2" xfId="3931" xr:uid="{00000000-0005-0000-0000-0000F6190000}"/>
    <cellStyle name="20% - Accent5 33 2 2" xfId="11910" xr:uid="{00000000-0005-0000-0000-0000F7190000}"/>
    <cellStyle name="20% - Accent5 33 2 2 2" xfId="23198" xr:uid="{00000000-0005-0000-0000-0000F8190000}"/>
    <cellStyle name="20% - Accent5 33 2 3" xfId="9916" xr:uid="{00000000-0005-0000-0000-0000F9190000}"/>
    <cellStyle name="20% - Accent5 33 2 3 2" xfId="21204" xr:uid="{00000000-0005-0000-0000-0000FA190000}"/>
    <cellStyle name="20% - Accent5 33 2 4" xfId="7922" xr:uid="{00000000-0005-0000-0000-0000FB190000}"/>
    <cellStyle name="20% - Accent5 33 2 4 2" xfId="19210" xr:uid="{00000000-0005-0000-0000-0000FC190000}"/>
    <cellStyle name="20% - Accent5 33 2 5" xfId="5928" xr:uid="{00000000-0005-0000-0000-0000FD190000}"/>
    <cellStyle name="20% - Accent5 33 2 5 2" xfId="17216" xr:uid="{00000000-0005-0000-0000-0000FE190000}"/>
    <cellStyle name="20% - Accent5 33 2 6" xfId="15222" xr:uid="{00000000-0005-0000-0000-0000FF190000}"/>
    <cellStyle name="20% - Accent5 33 3" xfId="10913" xr:uid="{00000000-0005-0000-0000-0000001A0000}"/>
    <cellStyle name="20% - Accent5 33 3 2" xfId="22201" xr:uid="{00000000-0005-0000-0000-0000011A0000}"/>
    <cellStyle name="20% - Accent5 33 4" xfId="8919" xr:uid="{00000000-0005-0000-0000-0000021A0000}"/>
    <cellStyle name="20% - Accent5 33 4 2" xfId="20207" xr:uid="{00000000-0005-0000-0000-0000031A0000}"/>
    <cellStyle name="20% - Accent5 33 5" xfId="6925" xr:uid="{00000000-0005-0000-0000-0000041A0000}"/>
    <cellStyle name="20% - Accent5 33 5 2" xfId="18213" xr:uid="{00000000-0005-0000-0000-0000051A0000}"/>
    <cellStyle name="20% - Accent5 33 6" xfId="4931" xr:uid="{00000000-0005-0000-0000-0000061A0000}"/>
    <cellStyle name="20% - Accent5 33 6 2" xfId="16219" xr:uid="{00000000-0005-0000-0000-0000071A0000}"/>
    <cellStyle name="20% - Accent5 33 7" xfId="14225" xr:uid="{00000000-0005-0000-0000-0000081A0000}"/>
    <cellStyle name="20% - Accent5 33 8" xfId="12911" xr:uid="{00000000-0005-0000-0000-0000091A0000}"/>
    <cellStyle name="20% - Accent5 34" xfId="976" xr:uid="{00000000-0005-0000-0000-00000A1A0000}"/>
    <cellStyle name="20% - Accent5 34 2" xfId="3932" xr:uid="{00000000-0005-0000-0000-00000B1A0000}"/>
    <cellStyle name="20% - Accent5 34 2 2" xfId="11911" xr:uid="{00000000-0005-0000-0000-00000C1A0000}"/>
    <cellStyle name="20% - Accent5 34 2 2 2" xfId="23199" xr:uid="{00000000-0005-0000-0000-00000D1A0000}"/>
    <cellStyle name="20% - Accent5 34 2 3" xfId="9917" xr:uid="{00000000-0005-0000-0000-00000E1A0000}"/>
    <cellStyle name="20% - Accent5 34 2 3 2" xfId="21205" xr:uid="{00000000-0005-0000-0000-00000F1A0000}"/>
    <cellStyle name="20% - Accent5 34 2 4" xfId="7923" xr:uid="{00000000-0005-0000-0000-0000101A0000}"/>
    <cellStyle name="20% - Accent5 34 2 4 2" xfId="19211" xr:uid="{00000000-0005-0000-0000-0000111A0000}"/>
    <cellStyle name="20% - Accent5 34 2 5" xfId="5929" xr:uid="{00000000-0005-0000-0000-0000121A0000}"/>
    <cellStyle name="20% - Accent5 34 2 5 2" xfId="17217" xr:uid="{00000000-0005-0000-0000-0000131A0000}"/>
    <cellStyle name="20% - Accent5 34 2 6" xfId="15223" xr:uid="{00000000-0005-0000-0000-0000141A0000}"/>
    <cellStyle name="20% - Accent5 34 3" xfId="10914" xr:uid="{00000000-0005-0000-0000-0000151A0000}"/>
    <cellStyle name="20% - Accent5 34 3 2" xfId="22202" xr:uid="{00000000-0005-0000-0000-0000161A0000}"/>
    <cellStyle name="20% - Accent5 34 4" xfId="8920" xr:uid="{00000000-0005-0000-0000-0000171A0000}"/>
    <cellStyle name="20% - Accent5 34 4 2" xfId="20208" xr:uid="{00000000-0005-0000-0000-0000181A0000}"/>
    <cellStyle name="20% - Accent5 34 5" xfId="6926" xr:uid="{00000000-0005-0000-0000-0000191A0000}"/>
    <cellStyle name="20% - Accent5 34 5 2" xfId="18214" xr:uid="{00000000-0005-0000-0000-00001A1A0000}"/>
    <cellStyle name="20% - Accent5 34 6" xfId="4932" xr:uid="{00000000-0005-0000-0000-00001B1A0000}"/>
    <cellStyle name="20% - Accent5 34 6 2" xfId="16220" xr:uid="{00000000-0005-0000-0000-00001C1A0000}"/>
    <cellStyle name="20% - Accent5 34 7" xfId="14226" xr:uid="{00000000-0005-0000-0000-00001D1A0000}"/>
    <cellStyle name="20% - Accent5 34 8" xfId="12912" xr:uid="{00000000-0005-0000-0000-00001E1A0000}"/>
    <cellStyle name="20% - Accent5 35" xfId="977" xr:uid="{00000000-0005-0000-0000-00001F1A0000}"/>
    <cellStyle name="20% - Accent5 35 2" xfId="3933" xr:uid="{00000000-0005-0000-0000-0000201A0000}"/>
    <cellStyle name="20% - Accent5 35 2 2" xfId="11912" xr:uid="{00000000-0005-0000-0000-0000211A0000}"/>
    <cellStyle name="20% - Accent5 35 2 2 2" xfId="23200" xr:uid="{00000000-0005-0000-0000-0000221A0000}"/>
    <cellStyle name="20% - Accent5 35 2 3" xfId="9918" xr:uid="{00000000-0005-0000-0000-0000231A0000}"/>
    <cellStyle name="20% - Accent5 35 2 3 2" xfId="21206" xr:uid="{00000000-0005-0000-0000-0000241A0000}"/>
    <cellStyle name="20% - Accent5 35 2 4" xfId="7924" xr:uid="{00000000-0005-0000-0000-0000251A0000}"/>
    <cellStyle name="20% - Accent5 35 2 4 2" xfId="19212" xr:uid="{00000000-0005-0000-0000-0000261A0000}"/>
    <cellStyle name="20% - Accent5 35 2 5" xfId="5930" xr:uid="{00000000-0005-0000-0000-0000271A0000}"/>
    <cellStyle name="20% - Accent5 35 2 5 2" xfId="17218" xr:uid="{00000000-0005-0000-0000-0000281A0000}"/>
    <cellStyle name="20% - Accent5 35 2 6" xfId="15224" xr:uid="{00000000-0005-0000-0000-0000291A0000}"/>
    <cellStyle name="20% - Accent5 35 3" xfId="10915" xr:uid="{00000000-0005-0000-0000-00002A1A0000}"/>
    <cellStyle name="20% - Accent5 35 3 2" xfId="22203" xr:uid="{00000000-0005-0000-0000-00002B1A0000}"/>
    <cellStyle name="20% - Accent5 35 4" xfId="8921" xr:uid="{00000000-0005-0000-0000-00002C1A0000}"/>
    <cellStyle name="20% - Accent5 35 4 2" xfId="20209" xr:uid="{00000000-0005-0000-0000-00002D1A0000}"/>
    <cellStyle name="20% - Accent5 35 5" xfId="6927" xr:uid="{00000000-0005-0000-0000-00002E1A0000}"/>
    <cellStyle name="20% - Accent5 35 5 2" xfId="18215" xr:uid="{00000000-0005-0000-0000-00002F1A0000}"/>
    <cellStyle name="20% - Accent5 35 6" xfId="4933" xr:uid="{00000000-0005-0000-0000-0000301A0000}"/>
    <cellStyle name="20% - Accent5 35 6 2" xfId="16221" xr:uid="{00000000-0005-0000-0000-0000311A0000}"/>
    <cellStyle name="20% - Accent5 35 7" xfId="14227" xr:uid="{00000000-0005-0000-0000-0000321A0000}"/>
    <cellStyle name="20% - Accent5 35 8" xfId="12913" xr:uid="{00000000-0005-0000-0000-0000331A0000}"/>
    <cellStyle name="20% - Accent5 36" xfId="978" xr:uid="{00000000-0005-0000-0000-0000341A0000}"/>
    <cellStyle name="20% - Accent5 36 2" xfId="3934" xr:uid="{00000000-0005-0000-0000-0000351A0000}"/>
    <cellStyle name="20% - Accent5 36 2 2" xfId="11913" xr:uid="{00000000-0005-0000-0000-0000361A0000}"/>
    <cellStyle name="20% - Accent5 36 2 2 2" xfId="23201" xr:uid="{00000000-0005-0000-0000-0000371A0000}"/>
    <cellStyle name="20% - Accent5 36 2 3" xfId="9919" xr:uid="{00000000-0005-0000-0000-0000381A0000}"/>
    <cellStyle name="20% - Accent5 36 2 3 2" xfId="21207" xr:uid="{00000000-0005-0000-0000-0000391A0000}"/>
    <cellStyle name="20% - Accent5 36 2 4" xfId="7925" xr:uid="{00000000-0005-0000-0000-00003A1A0000}"/>
    <cellStyle name="20% - Accent5 36 2 4 2" xfId="19213" xr:uid="{00000000-0005-0000-0000-00003B1A0000}"/>
    <cellStyle name="20% - Accent5 36 2 5" xfId="5931" xr:uid="{00000000-0005-0000-0000-00003C1A0000}"/>
    <cellStyle name="20% - Accent5 36 2 5 2" xfId="17219" xr:uid="{00000000-0005-0000-0000-00003D1A0000}"/>
    <cellStyle name="20% - Accent5 36 2 6" xfId="15225" xr:uid="{00000000-0005-0000-0000-00003E1A0000}"/>
    <cellStyle name="20% - Accent5 36 3" xfId="10916" xr:uid="{00000000-0005-0000-0000-00003F1A0000}"/>
    <cellStyle name="20% - Accent5 36 3 2" xfId="22204" xr:uid="{00000000-0005-0000-0000-0000401A0000}"/>
    <cellStyle name="20% - Accent5 36 4" xfId="8922" xr:uid="{00000000-0005-0000-0000-0000411A0000}"/>
    <cellStyle name="20% - Accent5 36 4 2" xfId="20210" xr:uid="{00000000-0005-0000-0000-0000421A0000}"/>
    <cellStyle name="20% - Accent5 36 5" xfId="6928" xr:uid="{00000000-0005-0000-0000-0000431A0000}"/>
    <cellStyle name="20% - Accent5 36 5 2" xfId="18216" xr:uid="{00000000-0005-0000-0000-0000441A0000}"/>
    <cellStyle name="20% - Accent5 36 6" xfId="4934" xr:uid="{00000000-0005-0000-0000-0000451A0000}"/>
    <cellStyle name="20% - Accent5 36 6 2" xfId="16222" xr:uid="{00000000-0005-0000-0000-0000461A0000}"/>
    <cellStyle name="20% - Accent5 36 7" xfId="14228" xr:uid="{00000000-0005-0000-0000-0000471A0000}"/>
    <cellStyle name="20% - Accent5 36 8" xfId="12914" xr:uid="{00000000-0005-0000-0000-0000481A0000}"/>
    <cellStyle name="20% - Accent5 37" xfId="979" xr:uid="{00000000-0005-0000-0000-0000491A0000}"/>
    <cellStyle name="20% - Accent5 37 2" xfId="3935" xr:uid="{00000000-0005-0000-0000-00004A1A0000}"/>
    <cellStyle name="20% - Accent5 37 2 2" xfId="11914" xr:uid="{00000000-0005-0000-0000-00004B1A0000}"/>
    <cellStyle name="20% - Accent5 37 2 2 2" xfId="23202" xr:uid="{00000000-0005-0000-0000-00004C1A0000}"/>
    <cellStyle name="20% - Accent5 37 2 3" xfId="9920" xr:uid="{00000000-0005-0000-0000-00004D1A0000}"/>
    <cellStyle name="20% - Accent5 37 2 3 2" xfId="21208" xr:uid="{00000000-0005-0000-0000-00004E1A0000}"/>
    <cellStyle name="20% - Accent5 37 2 4" xfId="7926" xr:uid="{00000000-0005-0000-0000-00004F1A0000}"/>
    <cellStyle name="20% - Accent5 37 2 4 2" xfId="19214" xr:uid="{00000000-0005-0000-0000-0000501A0000}"/>
    <cellStyle name="20% - Accent5 37 2 5" xfId="5932" xr:uid="{00000000-0005-0000-0000-0000511A0000}"/>
    <cellStyle name="20% - Accent5 37 2 5 2" xfId="17220" xr:uid="{00000000-0005-0000-0000-0000521A0000}"/>
    <cellStyle name="20% - Accent5 37 2 6" xfId="15226" xr:uid="{00000000-0005-0000-0000-0000531A0000}"/>
    <cellStyle name="20% - Accent5 37 3" xfId="10917" xr:uid="{00000000-0005-0000-0000-0000541A0000}"/>
    <cellStyle name="20% - Accent5 37 3 2" xfId="22205" xr:uid="{00000000-0005-0000-0000-0000551A0000}"/>
    <cellStyle name="20% - Accent5 37 4" xfId="8923" xr:uid="{00000000-0005-0000-0000-0000561A0000}"/>
    <cellStyle name="20% - Accent5 37 4 2" xfId="20211" xr:uid="{00000000-0005-0000-0000-0000571A0000}"/>
    <cellStyle name="20% - Accent5 37 5" xfId="6929" xr:uid="{00000000-0005-0000-0000-0000581A0000}"/>
    <cellStyle name="20% - Accent5 37 5 2" xfId="18217" xr:uid="{00000000-0005-0000-0000-0000591A0000}"/>
    <cellStyle name="20% - Accent5 37 6" xfId="4935" xr:uid="{00000000-0005-0000-0000-00005A1A0000}"/>
    <cellStyle name="20% - Accent5 37 6 2" xfId="16223" xr:uid="{00000000-0005-0000-0000-00005B1A0000}"/>
    <cellStyle name="20% - Accent5 37 7" xfId="14229" xr:uid="{00000000-0005-0000-0000-00005C1A0000}"/>
    <cellStyle name="20% - Accent5 37 8" xfId="12915" xr:uid="{00000000-0005-0000-0000-00005D1A0000}"/>
    <cellStyle name="20% - Accent5 38" xfId="980" xr:uid="{00000000-0005-0000-0000-00005E1A0000}"/>
    <cellStyle name="20% - Accent5 38 2" xfId="3936" xr:uid="{00000000-0005-0000-0000-00005F1A0000}"/>
    <cellStyle name="20% - Accent5 38 2 2" xfId="11915" xr:uid="{00000000-0005-0000-0000-0000601A0000}"/>
    <cellStyle name="20% - Accent5 38 2 2 2" xfId="23203" xr:uid="{00000000-0005-0000-0000-0000611A0000}"/>
    <cellStyle name="20% - Accent5 38 2 3" xfId="9921" xr:uid="{00000000-0005-0000-0000-0000621A0000}"/>
    <cellStyle name="20% - Accent5 38 2 3 2" xfId="21209" xr:uid="{00000000-0005-0000-0000-0000631A0000}"/>
    <cellStyle name="20% - Accent5 38 2 4" xfId="7927" xr:uid="{00000000-0005-0000-0000-0000641A0000}"/>
    <cellStyle name="20% - Accent5 38 2 4 2" xfId="19215" xr:uid="{00000000-0005-0000-0000-0000651A0000}"/>
    <cellStyle name="20% - Accent5 38 2 5" xfId="5933" xr:uid="{00000000-0005-0000-0000-0000661A0000}"/>
    <cellStyle name="20% - Accent5 38 2 5 2" xfId="17221" xr:uid="{00000000-0005-0000-0000-0000671A0000}"/>
    <cellStyle name="20% - Accent5 38 2 6" xfId="15227" xr:uid="{00000000-0005-0000-0000-0000681A0000}"/>
    <cellStyle name="20% - Accent5 38 3" xfId="10918" xr:uid="{00000000-0005-0000-0000-0000691A0000}"/>
    <cellStyle name="20% - Accent5 38 3 2" xfId="22206" xr:uid="{00000000-0005-0000-0000-00006A1A0000}"/>
    <cellStyle name="20% - Accent5 38 4" xfId="8924" xr:uid="{00000000-0005-0000-0000-00006B1A0000}"/>
    <cellStyle name="20% - Accent5 38 4 2" xfId="20212" xr:uid="{00000000-0005-0000-0000-00006C1A0000}"/>
    <cellStyle name="20% - Accent5 38 5" xfId="6930" xr:uid="{00000000-0005-0000-0000-00006D1A0000}"/>
    <cellStyle name="20% - Accent5 38 5 2" xfId="18218" xr:uid="{00000000-0005-0000-0000-00006E1A0000}"/>
    <cellStyle name="20% - Accent5 38 6" xfId="4936" xr:uid="{00000000-0005-0000-0000-00006F1A0000}"/>
    <cellStyle name="20% - Accent5 38 6 2" xfId="16224" xr:uid="{00000000-0005-0000-0000-0000701A0000}"/>
    <cellStyle name="20% - Accent5 38 7" xfId="14230" xr:uid="{00000000-0005-0000-0000-0000711A0000}"/>
    <cellStyle name="20% - Accent5 38 8" xfId="12916" xr:uid="{00000000-0005-0000-0000-0000721A0000}"/>
    <cellStyle name="20% - Accent5 39" xfId="981" xr:uid="{00000000-0005-0000-0000-0000731A0000}"/>
    <cellStyle name="20% - Accent5 39 2" xfId="3937" xr:uid="{00000000-0005-0000-0000-0000741A0000}"/>
    <cellStyle name="20% - Accent5 39 2 2" xfId="11916" xr:uid="{00000000-0005-0000-0000-0000751A0000}"/>
    <cellStyle name="20% - Accent5 39 2 2 2" xfId="23204" xr:uid="{00000000-0005-0000-0000-0000761A0000}"/>
    <cellStyle name="20% - Accent5 39 2 3" xfId="9922" xr:uid="{00000000-0005-0000-0000-0000771A0000}"/>
    <cellStyle name="20% - Accent5 39 2 3 2" xfId="21210" xr:uid="{00000000-0005-0000-0000-0000781A0000}"/>
    <cellStyle name="20% - Accent5 39 2 4" xfId="7928" xr:uid="{00000000-0005-0000-0000-0000791A0000}"/>
    <cellStyle name="20% - Accent5 39 2 4 2" xfId="19216" xr:uid="{00000000-0005-0000-0000-00007A1A0000}"/>
    <cellStyle name="20% - Accent5 39 2 5" xfId="5934" xr:uid="{00000000-0005-0000-0000-00007B1A0000}"/>
    <cellStyle name="20% - Accent5 39 2 5 2" xfId="17222" xr:uid="{00000000-0005-0000-0000-00007C1A0000}"/>
    <cellStyle name="20% - Accent5 39 2 6" xfId="15228" xr:uid="{00000000-0005-0000-0000-00007D1A0000}"/>
    <cellStyle name="20% - Accent5 39 3" xfId="10919" xr:uid="{00000000-0005-0000-0000-00007E1A0000}"/>
    <cellStyle name="20% - Accent5 39 3 2" xfId="22207" xr:uid="{00000000-0005-0000-0000-00007F1A0000}"/>
    <cellStyle name="20% - Accent5 39 4" xfId="8925" xr:uid="{00000000-0005-0000-0000-0000801A0000}"/>
    <cellStyle name="20% - Accent5 39 4 2" xfId="20213" xr:uid="{00000000-0005-0000-0000-0000811A0000}"/>
    <cellStyle name="20% - Accent5 39 5" xfId="6931" xr:uid="{00000000-0005-0000-0000-0000821A0000}"/>
    <cellStyle name="20% - Accent5 39 5 2" xfId="18219" xr:uid="{00000000-0005-0000-0000-0000831A0000}"/>
    <cellStyle name="20% - Accent5 39 6" xfId="4937" xr:uid="{00000000-0005-0000-0000-0000841A0000}"/>
    <cellStyle name="20% - Accent5 39 6 2" xfId="16225" xr:uid="{00000000-0005-0000-0000-0000851A0000}"/>
    <cellStyle name="20% - Accent5 39 7" xfId="14231" xr:uid="{00000000-0005-0000-0000-0000861A0000}"/>
    <cellStyle name="20% - Accent5 39 8" xfId="12917" xr:uid="{00000000-0005-0000-0000-0000871A0000}"/>
    <cellStyle name="20% - Accent5 4" xfId="982" xr:uid="{00000000-0005-0000-0000-0000881A0000}"/>
    <cellStyle name="20% - Accent5 4 10" xfId="24585" xr:uid="{00000000-0005-0000-0000-0000891A0000}"/>
    <cellStyle name="20% - Accent5 4 11" xfId="24975" xr:uid="{00000000-0005-0000-0000-00008A1A0000}"/>
    <cellStyle name="20% - Accent5 4 2" xfId="3938" xr:uid="{00000000-0005-0000-0000-00008B1A0000}"/>
    <cellStyle name="20% - Accent5 4 2 2" xfId="11917" xr:uid="{00000000-0005-0000-0000-00008C1A0000}"/>
    <cellStyle name="20% - Accent5 4 2 2 2" xfId="23205" xr:uid="{00000000-0005-0000-0000-00008D1A0000}"/>
    <cellStyle name="20% - Accent5 4 2 3" xfId="9923" xr:uid="{00000000-0005-0000-0000-00008E1A0000}"/>
    <cellStyle name="20% - Accent5 4 2 3 2" xfId="21211" xr:uid="{00000000-0005-0000-0000-00008F1A0000}"/>
    <cellStyle name="20% - Accent5 4 2 4" xfId="7929" xr:uid="{00000000-0005-0000-0000-0000901A0000}"/>
    <cellStyle name="20% - Accent5 4 2 4 2" xfId="19217" xr:uid="{00000000-0005-0000-0000-0000911A0000}"/>
    <cellStyle name="20% - Accent5 4 2 5" xfId="5935" xr:uid="{00000000-0005-0000-0000-0000921A0000}"/>
    <cellStyle name="20% - Accent5 4 2 5 2" xfId="17223" xr:uid="{00000000-0005-0000-0000-0000931A0000}"/>
    <cellStyle name="20% - Accent5 4 2 6" xfId="15229" xr:uid="{00000000-0005-0000-0000-0000941A0000}"/>
    <cellStyle name="20% - Accent5 4 2 7" xfId="24346" xr:uid="{00000000-0005-0000-0000-0000951A0000}"/>
    <cellStyle name="20% - Accent5 4 2 8" xfId="24810" xr:uid="{00000000-0005-0000-0000-0000961A0000}"/>
    <cellStyle name="20% - Accent5 4 2 9" xfId="25177" xr:uid="{00000000-0005-0000-0000-0000971A0000}"/>
    <cellStyle name="20% - Accent5 4 3" xfId="10920" xr:uid="{00000000-0005-0000-0000-0000981A0000}"/>
    <cellStyle name="20% - Accent5 4 3 2" xfId="22208" xr:uid="{00000000-0005-0000-0000-0000991A0000}"/>
    <cellStyle name="20% - Accent5 4 4" xfId="8926" xr:uid="{00000000-0005-0000-0000-00009A1A0000}"/>
    <cellStyle name="20% - Accent5 4 4 2" xfId="20214" xr:uid="{00000000-0005-0000-0000-00009B1A0000}"/>
    <cellStyle name="20% - Accent5 4 5" xfId="6932" xr:uid="{00000000-0005-0000-0000-00009C1A0000}"/>
    <cellStyle name="20% - Accent5 4 5 2" xfId="18220" xr:uid="{00000000-0005-0000-0000-00009D1A0000}"/>
    <cellStyle name="20% - Accent5 4 6" xfId="4938" xr:uid="{00000000-0005-0000-0000-00009E1A0000}"/>
    <cellStyle name="20% - Accent5 4 6 2" xfId="16226" xr:uid="{00000000-0005-0000-0000-00009F1A0000}"/>
    <cellStyle name="20% - Accent5 4 7" xfId="14232" xr:uid="{00000000-0005-0000-0000-0000A01A0000}"/>
    <cellStyle name="20% - Accent5 4 8" xfId="12918" xr:uid="{00000000-0005-0000-0000-0000A11A0000}"/>
    <cellStyle name="20% - Accent5 4 9" xfId="23958" xr:uid="{00000000-0005-0000-0000-0000A21A0000}"/>
    <cellStyle name="20% - Accent5 40" xfId="983" xr:uid="{00000000-0005-0000-0000-0000A31A0000}"/>
    <cellStyle name="20% - Accent5 40 2" xfId="3939" xr:uid="{00000000-0005-0000-0000-0000A41A0000}"/>
    <cellStyle name="20% - Accent5 40 2 2" xfId="11918" xr:uid="{00000000-0005-0000-0000-0000A51A0000}"/>
    <cellStyle name="20% - Accent5 40 2 2 2" xfId="23206" xr:uid="{00000000-0005-0000-0000-0000A61A0000}"/>
    <cellStyle name="20% - Accent5 40 2 3" xfId="9924" xr:uid="{00000000-0005-0000-0000-0000A71A0000}"/>
    <cellStyle name="20% - Accent5 40 2 3 2" xfId="21212" xr:uid="{00000000-0005-0000-0000-0000A81A0000}"/>
    <cellStyle name="20% - Accent5 40 2 4" xfId="7930" xr:uid="{00000000-0005-0000-0000-0000A91A0000}"/>
    <cellStyle name="20% - Accent5 40 2 4 2" xfId="19218" xr:uid="{00000000-0005-0000-0000-0000AA1A0000}"/>
    <cellStyle name="20% - Accent5 40 2 5" xfId="5936" xr:uid="{00000000-0005-0000-0000-0000AB1A0000}"/>
    <cellStyle name="20% - Accent5 40 2 5 2" xfId="17224" xr:uid="{00000000-0005-0000-0000-0000AC1A0000}"/>
    <cellStyle name="20% - Accent5 40 2 6" xfId="15230" xr:uid="{00000000-0005-0000-0000-0000AD1A0000}"/>
    <cellStyle name="20% - Accent5 40 3" xfId="10921" xr:uid="{00000000-0005-0000-0000-0000AE1A0000}"/>
    <cellStyle name="20% - Accent5 40 3 2" xfId="22209" xr:uid="{00000000-0005-0000-0000-0000AF1A0000}"/>
    <cellStyle name="20% - Accent5 40 4" xfId="8927" xr:uid="{00000000-0005-0000-0000-0000B01A0000}"/>
    <cellStyle name="20% - Accent5 40 4 2" xfId="20215" xr:uid="{00000000-0005-0000-0000-0000B11A0000}"/>
    <cellStyle name="20% - Accent5 40 5" xfId="6933" xr:uid="{00000000-0005-0000-0000-0000B21A0000}"/>
    <cellStyle name="20% - Accent5 40 5 2" xfId="18221" xr:uid="{00000000-0005-0000-0000-0000B31A0000}"/>
    <cellStyle name="20% - Accent5 40 6" xfId="4939" xr:uid="{00000000-0005-0000-0000-0000B41A0000}"/>
    <cellStyle name="20% - Accent5 40 6 2" xfId="16227" xr:uid="{00000000-0005-0000-0000-0000B51A0000}"/>
    <cellStyle name="20% - Accent5 40 7" xfId="14233" xr:uid="{00000000-0005-0000-0000-0000B61A0000}"/>
    <cellStyle name="20% - Accent5 40 8" xfId="12919" xr:uid="{00000000-0005-0000-0000-0000B71A0000}"/>
    <cellStyle name="20% - Accent5 41" xfId="984" xr:uid="{00000000-0005-0000-0000-0000B81A0000}"/>
    <cellStyle name="20% - Accent5 41 2" xfId="3940" xr:uid="{00000000-0005-0000-0000-0000B91A0000}"/>
    <cellStyle name="20% - Accent5 41 2 2" xfId="11919" xr:uid="{00000000-0005-0000-0000-0000BA1A0000}"/>
    <cellStyle name="20% - Accent5 41 2 2 2" xfId="23207" xr:uid="{00000000-0005-0000-0000-0000BB1A0000}"/>
    <cellStyle name="20% - Accent5 41 2 3" xfId="9925" xr:uid="{00000000-0005-0000-0000-0000BC1A0000}"/>
    <cellStyle name="20% - Accent5 41 2 3 2" xfId="21213" xr:uid="{00000000-0005-0000-0000-0000BD1A0000}"/>
    <cellStyle name="20% - Accent5 41 2 4" xfId="7931" xr:uid="{00000000-0005-0000-0000-0000BE1A0000}"/>
    <cellStyle name="20% - Accent5 41 2 4 2" xfId="19219" xr:uid="{00000000-0005-0000-0000-0000BF1A0000}"/>
    <cellStyle name="20% - Accent5 41 2 5" xfId="5937" xr:uid="{00000000-0005-0000-0000-0000C01A0000}"/>
    <cellStyle name="20% - Accent5 41 2 5 2" xfId="17225" xr:uid="{00000000-0005-0000-0000-0000C11A0000}"/>
    <cellStyle name="20% - Accent5 41 2 6" xfId="15231" xr:uid="{00000000-0005-0000-0000-0000C21A0000}"/>
    <cellStyle name="20% - Accent5 41 3" xfId="10922" xr:uid="{00000000-0005-0000-0000-0000C31A0000}"/>
    <cellStyle name="20% - Accent5 41 3 2" xfId="22210" xr:uid="{00000000-0005-0000-0000-0000C41A0000}"/>
    <cellStyle name="20% - Accent5 41 4" xfId="8928" xr:uid="{00000000-0005-0000-0000-0000C51A0000}"/>
    <cellStyle name="20% - Accent5 41 4 2" xfId="20216" xr:uid="{00000000-0005-0000-0000-0000C61A0000}"/>
    <cellStyle name="20% - Accent5 41 5" xfId="6934" xr:uid="{00000000-0005-0000-0000-0000C71A0000}"/>
    <cellStyle name="20% - Accent5 41 5 2" xfId="18222" xr:uid="{00000000-0005-0000-0000-0000C81A0000}"/>
    <cellStyle name="20% - Accent5 41 6" xfId="4940" xr:uid="{00000000-0005-0000-0000-0000C91A0000}"/>
    <cellStyle name="20% - Accent5 41 6 2" xfId="16228" xr:uid="{00000000-0005-0000-0000-0000CA1A0000}"/>
    <cellStyle name="20% - Accent5 41 7" xfId="14234" xr:uid="{00000000-0005-0000-0000-0000CB1A0000}"/>
    <cellStyle name="20% - Accent5 41 8" xfId="12920" xr:uid="{00000000-0005-0000-0000-0000CC1A0000}"/>
    <cellStyle name="20% - Accent5 42" xfId="985" xr:uid="{00000000-0005-0000-0000-0000CD1A0000}"/>
    <cellStyle name="20% - Accent5 42 2" xfId="3941" xr:uid="{00000000-0005-0000-0000-0000CE1A0000}"/>
    <cellStyle name="20% - Accent5 42 2 2" xfId="11920" xr:uid="{00000000-0005-0000-0000-0000CF1A0000}"/>
    <cellStyle name="20% - Accent5 42 2 2 2" xfId="23208" xr:uid="{00000000-0005-0000-0000-0000D01A0000}"/>
    <cellStyle name="20% - Accent5 42 2 3" xfId="9926" xr:uid="{00000000-0005-0000-0000-0000D11A0000}"/>
    <cellStyle name="20% - Accent5 42 2 3 2" xfId="21214" xr:uid="{00000000-0005-0000-0000-0000D21A0000}"/>
    <cellStyle name="20% - Accent5 42 2 4" xfId="7932" xr:uid="{00000000-0005-0000-0000-0000D31A0000}"/>
    <cellStyle name="20% - Accent5 42 2 4 2" xfId="19220" xr:uid="{00000000-0005-0000-0000-0000D41A0000}"/>
    <cellStyle name="20% - Accent5 42 2 5" xfId="5938" xr:uid="{00000000-0005-0000-0000-0000D51A0000}"/>
    <cellStyle name="20% - Accent5 42 2 5 2" xfId="17226" xr:uid="{00000000-0005-0000-0000-0000D61A0000}"/>
    <cellStyle name="20% - Accent5 42 2 6" xfId="15232" xr:uid="{00000000-0005-0000-0000-0000D71A0000}"/>
    <cellStyle name="20% - Accent5 42 3" xfId="10923" xr:uid="{00000000-0005-0000-0000-0000D81A0000}"/>
    <cellStyle name="20% - Accent5 42 3 2" xfId="22211" xr:uid="{00000000-0005-0000-0000-0000D91A0000}"/>
    <cellStyle name="20% - Accent5 42 4" xfId="8929" xr:uid="{00000000-0005-0000-0000-0000DA1A0000}"/>
    <cellStyle name="20% - Accent5 42 4 2" xfId="20217" xr:uid="{00000000-0005-0000-0000-0000DB1A0000}"/>
    <cellStyle name="20% - Accent5 42 5" xfId="6935" xr:uid="{00000000-0005-0000-0000-0000DC1A0000}"/>
    <cellStyle name="20% - Accent5 42 5 2" xfId="18223" xr:uid="{00000000-0005-0000-0000-0000DD1A0000}"/>
    <cellStyle name="20% - Accent5 42 6" xfId="4941" xr:uid="{00000000-0005-0000-0000-0000DE1A0000}"/>
    <cellStyle name="20% - Accent5 42 6 2" xfId="16229" xr:uid="{00000000-0005-0000-0000-0000DF1A0000}"/>
    <cellStyle name="20% - Accent5 42 7" xfId="14235" xr:uid="{00000000-0005-0000-0000-0000E01A0000}"/>
    <cellStyle name="20% - Accent5 42 8" xfId="12921" xr:uid="{00000000-0005-0000-0000-0000E11A0000}"/>
    <cellStyle name="20% - Accent5 43" xfId="986" xr:uid="{00000000-0005-0000-0000-0000E21A0000}"/>
    <cellStyle name="20% - Accent5 43 2" xfId="3942" xr:uid="{00000000-0005-0000-0000-0000E31A0000}"/>
    <cellStyle name="20% - Accent5 43 2 2" xfId="11921" xr:uid="{00000000-0005-0000-0000-0000E41A0000}"/>
    <cellStyle name="20% - Accent5 43 2 2 2" xfId="23209" xr:uid="{00000000-0005-0000-0000-0000E51A0000}"/>
    <cellStyle name="20% - Accent5 43 2 3" xfId="9927" xr:uid="{00000000-0005-0000-0000-0000E61A0000}"/>
    <cellStyle name="20% - Accent5 43 2 3 2" xfId="21215" xr:uid="{00000000-0005-0000-0000-0000E71A0000}"/>
    <cellStyle name="20% - Accent5 43 2 4" xfId="7933" xr:uid="{00000000-0005-0000-0000-0000E81A0000}"/>
    <cellStyle name="20% - Accent5 43 2 4 2" xfId="19221" xr:uid="{00000000-0005-0000-0000-0000E91A0000}"/>
    <cellStyle name="20% - Accent5 43 2 5" xfId="5939" xr:uid="{00000000-0005-0000-0000-0000EA1A0000}"/>
    <cellStyle name="20% - Accent5 43 2 5 2" xfId="17227" xr:uid="{00000000-0005-0000-0000-0000EB1A0000}"/>
    <cellStyle name="20% - Accent5 43 2 6" xfId="15233" xr:uid="{00000000-0005-0000-0000-0000EC1A0000}"/>
    <cellStyle name="20% - Accent5 43 3" xfId="10924" xr:uid="{00000000-0005-0000-0000-0000ED1A0000}"/>
    <cellStyle name="20% - Accent5 43 3 2" xfId="22212" xr:uid="{00000000-0005-0000-0000-0000EE1A0000}"/>
    <cellStyle name="20% - Accent5 43 4" xfId="8930" xr:uid="{00000000-0005-0000-0000-0000EF1A0000}"/>
    <cellStyle name="20% - Accent5 43 4 2" xfId="20218" xr:uid="{00000000-0005-0000-0000-0000F01A0000}"/>
    <cellStyle name="20% - Accent5 43 5" xfId="6936" xr:uid="{00000000-0005-0000-0000-0000F11A0000}"/>
    <cellStyle name="20% - Accent5 43 5 2" xfId="18224" xr:uid="{00000000-0005-0000-0000-0000F21A0000}"/>
    <cellStyle name="20% - Accent5 43 6" xfId="4942" xr:uid="{00000000-0005-0000-0000-0000F31A0000}"/>
    <cellStyle name="20% - Accent5 43 6 2" xfId="16230" xr:uid="{00000000-0005-0000-0000-0000F41A0000}"/>
    <cellStyle name="20% - Accent5 43 7" xfId="14236" xr:uid="{00000000-0005-0000-0000-0000F51A0000}"/>
    <cellStyle name="20% - Accent5 43 8" xfId="12922" xr:uid="{00000000-0005-0000-0000-0000F61A0000}"/>
    <cellStyle name="20% - Accent5 44" xfId="987" xr:uid="{00000000-0005-0000-0000-0000F71A0000}"/>
    <cellStyle name="20% - Accent5 44 2" xfId="3943" xr:uid="{00000000-0005-0000-0000-0000F81A0000}"/>
    <cellStyle name="20% - Accent5 44 2 2" xfId="11922" xr:uid="{00000000-0005-0000-0000-0000F91A0000}"/>
    <cellStyle name="20% - Accent5 44 2 2 2" xfId="23210" xr:uid="{00000000-0005-0000-0000-0000FA1A0000}"/>
    <cellStyle name="20% - Accent5 44 2 3" xfId="9928" xr:uid="{00000000-0005-0000-0000-0000FB1A0000}"/>
    <cellStyle name="20% - Accent5 44 2 3 2" xfId="21216" xr:uid="{00000000-0005-0000-0000-0000FC1A0000}"/>
    <cellStyle name="20% - Accent5 44 2 4" xfId="7934" xr:uid="{00000000-0005-0000-0000-0000FD1A0000}"/>
    <cellStyle name="20% - Accent5 44 2 4 2" xfId="19222" xr:uid="{00000000-0005-0000-0000-0000FE1A0000}"/>
    <cellStyle name="20% - Accent5 44 2 5" xfId="5940" xr:uid="{00000000-0005-0000-0000-0000FF1A0000}"/>
    <cellStyle name="20% - Accent5 44 2 5 2" xfId="17228" xr:uid="{00000000-0005-0000-0000-0000001B0000}"/>
    <cellStyle name="20% - Accent5 44 2 6" xfId="15234" xr:uid="{00000000-0005-0000-0000-0000011B0000}"/>
    <cellStyle name="20% - Accent5 44 3" xfId="10925" xr:uid="{00000000-0005-0000-0000-0000021B0000}"/>
    <cellStyle name="20% - Accent5 44 3 2" xfId="22213" xr:uid="{00000000-0005-0000-0000-0000031B0000}"/>
    <cellStyle name="20% - Accent5 44 4" xfId="8931" xr:uid="{00000000-0005-0000-0000-0000041B0000}"/>
    <cellStyle name="20% - Accent5 44 4 2" xfId="20219" xr:uid="{00000000-0005-0000-0000-0000051B0000}"/>
    <cellStyle name="20% - Accent5 44 5" xfId="6937" xr:uid="{00000000-0005-0000-0000-0000061B0000}"/>
    <cellStyle name="20% - Accent5 44 5 2" xfId="18225" xr:uid="{00000000-0005-0000-0000-0000071B0000}"/>
    <cellStyle name="20% - Accent5 44 6" xfId="4943" xr:uid="{00000000-0005-0000-0000-0000081B0000}"/>
    <cellStyle name="20% - Accent5 44 6 2" xfId="16231" xr:uid="{00000000-0005-0000-0000-0000091B0000}"/>
    <cellStyle name="20% - Accent5 44 7" xfId="14237" xr:uid="{00000000-0005-0000-0000-00000A1B0000}"/>
    <cellStyle name="20% - Accent5 44 8" xfId="12923" xr:uid="{00000000-0005-0000-0000-00000B1B0000}"/>
    <cellStyle name="20% - Accent5 45" xfId="988" xr:uid="{00000000-0005-0000-0000-00000C1B0000}"/>
    <cellStyle name="20% - Accent5 45 2" xfId="3944" xr:uid="{00000000-0005-0000-0000-00000D1B0000}"/>
    <cellStyle name="20% - Accent5 45 2 2" xfId="11923" xr:uid="{00000000-0005-0000-0000-00000E1B0000}"/>
    <cellStyle name="20% - Accent5 45 2 2 2" xfId="23211" xr:uid="{00000000-0005-0000-0000-00000F1B0000}"/>
    <cellStyle name="20% - Accent5 45 2 3" xfId="9929" xr:uid="{00000000-0005-0000-0000-0000101B0000}"/>
    <cellStyle name="20% - Accent5 45 2 3 2" xfId="21217" xr:uid="{00000000-0005-0000-0000-0000111B0000}"/>
    <cellStyle name="20% - Accent5 45 2 4" xfId="7935" xr:uid="{00000000-0005-0000-0000-0000121B0000}"/>
    <cellStyle name="20% - Accent5 45 2 4 2" xfId="19223" xr:uid="{00000000-0005-0000-0000-0000131B0000}"/>
    <cellStyle name="20% - Accent5 45 2 5" xfId="5941" xr:uid="{00000000-0005-0000-0000-0000141B0000}"/>
    <cellStyle name="20% - Accent5 45 2 5 2" xfId="17229" xr:uid="{00000000-0005-0000-0000-0000151B0000}"/>
    <cellStyle name="20% - Accent5 45 2 6" xfId="15235" xr:uid="{00000000-0005-0000-0000-0000161B0000}"/>
    <cellStyle name="20% - Accent5 45 3" xfId="10926" xr:uid="{00000000-0005-0000-0000-0000171B0000}"/>
    <cellStyle name="20% - Accent5 45 3 2" xfId="22214" xr:uid="{00000000-0005-0000-0000-0000181B0000}"/>
    <cellStyle name="20% - Accent5 45 4" xfId="8932" xr:uid="{00000000-0005-0000-0000-0000191B0000}"/>
    <cellStyle name="20% - Accent5 45 4 2" xfId="20220" xr:uid="{00000000-0005-0000-0000-00001A1B0000}"/>
    <cellStyle name="20% - Accent5 45 5" xfId="6938" xr:uid="{00000000-0005-0000-0000-00001B1B0000}"/>
    <cellStyle name="20% - Accent5 45 5 2" xfId="18226" xr:uid="{00000000-0005-0000-0000-00001C1B0000}"/>
    <cellStyle name="20% - Accent5 45 6" xfId="4944" xr:uid="{00000000-0005-0000-0000-00001D1B0000}"/>
    <cellStyle name="20% - Accent5 45 6 2" xfId="16232" xr:uid="{00000000-0005-0000-0000-00001E1B0000}"/>
    <cellStyle name="20% - Accent5 45 7" xfId="14238" xr:uid="{00000000-0005-0000-0000-00001F1B0000}"/>
    <cellStyle name="20% - Accent5 45 8" xfId="12924" xr:uid="{00000000-0005-0000-0000-0000201B0000}"/>
    <cellStyle name="20% - Accent5 46" xfId="989" xr:uid="{00000000-0005-0000-0000-0000211B0000}"/>
    <cellStyle name="20% - Accent5 46 2" xfId="3945" xr:uid="{00000000-0005-0000-0000-0000221B0000}"/>
    <cellStyle name="20% - Accent5 46 2 2" xfId="11924" xr:uid="{00000000-0005-0000-0000-0000231B0000}"/>
    <cellStyle name="20% - Accent5 46 2 2 2" xfId="23212" xr:uid="{00000000-0005-0000-0000-0000241B0000}"/>
    <cellStyle name="20% - Accent5 46 2 3" xfId="9930" xr:uid="{00000000-0005-0000-0000-0000251B0000}"/>
    <cellStyle name="20% - Accent5 46 2 3 2" xfId="21218" xr:uid="{00000000-0005-0000-0000-0000261B0000}"/>
    <cellStyle name="20% - Accent5 46 2 4" xfId="7936" xr:uid="{00000000-0005-0000-0000-0000271B0000}"/>
    <cellStyle name="20% - Accent5 46 2 4 2" xfId="19224" xr:uid="{00000000-0005-0000-0000-0000281B0000}"/>
    <cellStyle name="20% - Accent5 46 2 5" xfId="5942" xr:uid="{00000000-0005-0000-0000-0000291B0000}"/>
    <cellStyle name="20% - Accent5 46 2 5 2" xfId="17230" xr:uid="{00000000-0005-0000-0000-00002A1B0000}"/>
    <cellStyle name="20% - Accent5 46 2 6" xfId="15236" xr:uid="{00000000-0005-0000-0000-00002B1B0000}"/>
    <cellStyle name="20% - Accent5 46 3" xfId="10927" xr:uid="{00000000-0005-0000-0000-00002C1B0000}"/>
    <cellStyle name="20% - Accent5 46 3 2" xfId="22215" xr:uid="{00000000-0005-0000-0000-00002D1B0000}"/>
    <cellStyle name="20% - Accent5 46 4" xfId="8933" xr:uid="{00000000-0005-0000-0000-00002E1B0000}"/>
    <cellStyle name="20% - Accent5 46 4 2" xfId="20221" xr:uid="{00000000-0005-0000-0000-00002F1B0000}"/>
    <cellStyle name="20% - Accent5 46 5" xfId="6939" xr:uid="{00000000-0005-0000-0000-0000301B0000}"/>
    <cellStyle name="20% - Accent5 46 5 2" xfId="18227" xr:uid="{00000000-0005-0000-0000-0000311B0000}"/>
    <cellStyle name="20% - Accent5 46 6" xfId="4945" xr:uid="{00000000-0005-0000-0000-0000321B0000}"/>
    <cellStyle name="20% - Accent5 46 6 2" xfId="16233" xr:uid="{00000000-0005-0000-0000-0000331B0000}"/>
    <cellStyle name="20% - Accent5 46 7" xfId="14239" xr:uid="{00000000-0005-0000-0000-0000341B0000}"/>
    <cellStyle name="20% - Accent5 46 8" xfId="12925" xr:uid="{00000000-0005-0000-0000-0000351B0000}"/>
    <cellStyle name="20% - Accent5 47" xfId="990" xr:uid="{00000000-0005-0000-0000-0000361B0000}"/>
    <cellStyle name="20% - Accent5 47 2" xfId="3946" xr:uid="{00000000-0005-0000-0000-0000371B0000}"/>
    <cellStyle name="20% - Accent5 47 2 2" xfId="11925" xr:uid="{00000000-0005-0000-0000-0000381B0000}"/>
    <cellStyle name="20% - Accent5 47 2 2 2" xfId="23213" xr:uid="{00000000-0005-0000-0000-0000391B0000}"/>
    <cellStyle name="20% - Accent5 47 2 3" xfId="9931" xr:uid="{00000000-0005-0000-0000-00003A1B0000}"/>
    <cellStyle name="20% - Accent5 47 2 3 2" xfId="21219" xr:uid="{00000000-0005-0000-0000-00003B1B0000}"/>
    <cellStyle name="20% - Accent5 47 2 4" xfId="7937" xr:uid="{00000000-0005-0000-0000-00003C1B0000}"/>
    <cellStyle name="20% - Accent5 47 2 4 2" xfId="19225" xr:uid="{00000000-0005-0000-0000-00003D1B0000}"/>
    <cellStyle name="20% - Accent5 47 2 5" xfId="5943" xr:uid="{00000000-0005-0000-0000-00003E1B0000}"/>
    <cellStyle name="20% - Accent5 47 2 5 2" xfId="17231" xr:uid="{00000000-0005-0000-0000-00003F1B0000}"/>
    <cellStyle name="20% - Accent5 47 2 6" xfId="15237" xr:uid="{00000000-0005-0000-0000-0000401B0000}"/>
    <cellStyle name="20% - Accent5 47 3" xfId="10928" xr:uid="{00000000-0005-0000-0000-0000411B0000}"/>
    <cellStyle name="20% - Accent5 47 3 2" xfId="22216" xr:uid="{00000000-0005-0000-0000-0000421B0000}"/>
    <cellStyle name="20% - Accent5 47 4" xfId="8934" xr:uid="{00000000-0005-0000-0000-0000431B0000}"/>
    <cellStyle name="20% - Accent5 47 4 2" xfId="20222" xr:uid="{00000000-0005-0000-0000-0000441B0000}"/>
    <cellStyle name="20% - Accent5 47 5" xfId="6940" xr:uid="{00000000-0005-0000-0000-0000451B0000}"/>
    <cellStyle name="20% - Accent5 47 5 2" xfId="18228" xr:uid="{00000000-0005-0000-0000-0000461B0000}"/>
    <cellStyle name="20% - Accent5 47 6" xfId="4946" xr:uid="{00000000-0005-0000-0000-0000471B0000}"/>
    <cellStyle name="20% - Accent5 47 6 2" xfId="16234" xr:uid="{00000000-0005-0000-0000-0000481B0000}"/>
    <cellStyle name="20% - Accent5 47 7" xfId="14240" xr:uid="{00000000-0005-0000-0000-0000491B0000}"/>
    <cellStyle name="20% - Accent5 47 8" xfId="12926" xr:uid="{00000000-0005-0000-0000-00004A1B0000}"/>
    <cellStyle name="20% - Accent5 48" xfId="991" xr:uid="{00000000-0005-0000-0000-00004B1B0000}"/>
    <cellStyle name="20% - Accent5 48 2" xfId="3947" xr:uid="{00000000-0005-0000-0000-00004C1B0000}"/>
    <cellStyle name="20% - Accent5 48 2 2" xfId="11926" xr:uid="{00000000-0005-0000-0000-00004D1B0000}"/>
    <cellStyle name="20% - Accent5 48 2 2 2" xfId="23214" xr:uid="{00000000-0005-0000-0000-00004E1B0000}"/>
    <cellStyle name="20% - Accent5 48 2 3" xfId="9932" xr:uid="{00000000-0005-0000-0000-00004F1B0000}"/>
    <cellStyle name="20% - Accent5 48 2 3 2" xfId="21220" xr:uid="{00000000-0005-0000-0000-0000501B0000}"/>
    <cellStyle name="20% - Accent5 48 2 4" xfId="7938" xr:uid="{00000000-0005-0000-0000-0000511B0000}"/>
    <cellStyle name="20% - Accent5 48 2 4 2" xfId="19226" xr:uid="{00000000-0005-0000-0000-0000521B0000}"/>
    <cellStyle name="20% - Accent5 48 2 5" xfId="5944" xr:uid="{00000000-0005-0000-0000-0000531B0000}"/>
    <cellStyle name="20% - Accent5 48 2 5 2" xfId="17232" xr:uid="{00000000-0005-0000-0000-0000541B0000}"/>
    <cellStyle name="20% - Accent5 48 2 6" xfId="15238" xr:uid="{00000000-0005-0000-0000-0000551B0000}"/>
    <cellStyle name="20% - Accent5 48 3" xfId="10929" xr:uid="{00000000-0005-0000-0000-0000561B0000}"/>
    <cellStyle name="20% - Accent5 48 3 2" xfId="22217" xr:uid="{00000000-0005-0000-0000-0000571B0000}"/>
    <cellStyle name="20% - Accent5 48 4" xfId="8935" xr:uid="{00000000-0005-0000-0000-0000581B0000}"/>
    <cellStyle name="20% - Accent5 48 4 2" xfId="20223" xr:uid="{00000000-0005-0000-0000-0000591B0000}"/>
    <cellStyle name="20% - Accent5 48 5" xfId="6941" xr:uid="{00000000-0005-0000-0000-00005A1B0000}"/>
    <cellStyle name="20% - Accent5 48 5 2" xfId="18229" xr:uid="{00000000-0005-0000-0000-00005B1B0000}"/>
    <cellStyle name="20% - Accent5 48 6" xfId="4947" xr:uid="{00000000-0005-0000-0000-00005C1B0000}"/>
    <cellStyle name="20% - Accent5 48 6 2" xfId="16235" xr:uid="{00000000-0005-0000-0000-00005D1B0000}"/>
    <cellStyle name="20% - Accent5 48 7" xfId="14241" xr:uid="{00000000-0005-0000-0000-00005E1B0000}"/>
    <cellStyle name="20% - Accent5 48 8" xfId="12927" xr:uid="{00000000-0005-0000-0000-00005F1B0000}"/>
    <cellStyle name="20% - Accent5 49" xfId="992" xr:uid="{00000000-0005-0000-0000-0000601B0000}"/>
    <cellStyle name="20% - Accent5 49 2" xfId="3948" xr:uid="{00000000-0005-0000-0000-0000611B0000}"/>
    <cellStyle name="20% - Accent5 49 2 2" xfId="11927" xr:uid="{00000000-0005-0000-0000-0000621B0000}"/>
    <cellStyle name="20% - Accent5 49 2 2 2" xfId="23215" xr:uid="{00000000-0005-0000-0000-0000631B0000}"/>
    <cellStyle name="20% - Accent5 49 2 3" xfId="9933" xr:uid="{00000000-0005-0000-0000-0000641B0000}"/>
    <cellStyle name="20% - Accent5 49 2 3 2" xfId="21221" xr:uid="{00000000-0005-0000-0000-0000651B0000}"/>
    <cellStyle name="20% - Accent5 49 2 4" xfId="7939" xr:uid="{00000000-0005-0000-0000-0000661B0000}"/>
    <cellStyle name="20% - Accent5 49 2 4 2" xfId="19227" xr:uid="{00000000-0005-0000-0000-0000671B0000}"/>
    <cellStyle name="20% - Accent5 49 2 5" xfId="5945" xr:uid="{00000000-0005-0000-0000-0000681B0000}"/>
    <cellStyle name="20% - Accent5 49 2 5 2" xfId="17233" xr:uid="{00000000-0005-0000-0000-0000691B0000}"/>
    <cellStyle name="20% - Accent5 49 2 6" xfId="15239" xr:uid="{00000000-0005-0000-0000-00006A1B0000}"/>
    <cellStyle name="20% - Accent5 49 3" xfId="10930" xr:uid="{00000000-0005-0000-0000-00006B1B0000}"/>
    <cellStyle name="20% - Accent5 49 3 2" xfId="22218" xr:uid="{00000000-0005-0000-0000-00006C1B0000}"/>
    <cellStyle name="20% - Accent5 49 4" xfId="8936" xr:uid="{00000000-0005-0000-0000-00006D1B0000}"/>
    <cellStyle name="20% - Accent5 49 4 2" xfId="20224" xr:uid="{00000000-0005-0000-0000-00006E1B0000}"/>
    <cellStyle name="20% - Accent5 49 5" xfId="6942" xr:uid="{00000000-0005-0000-0000-00006F1B0000}"/>
    <cellStyle name="20% - Accent5 49 5 2" xfId="18230" xr:uid="{00000000-0005-0000-0000-0000701B0000}"/>
    <cellStyle name="20% - Accent5 49 6" xfId="4948" xr:uid="{00000000-0005-0000-0000-0000711B0000}"/>
    <cellStyle name="20% - Accent5 49 6 2" xfId="16236" xr:uid="{00000000-0005-0000-0000-0000721B0000}"/>
    <cellStyle name="20% - Accent5 49 7" xfId="14242" xr:uid="{00000000-0005-0000-0000-0000731B0000}"/>
    <cellStyle name="20% - Accent5 49 8" xfId="12928" xr:uid="{00000000-0005-0000-0000-0000741B0000}"/>
    <cellStyle name="20% - Accent5 5" xfId="993" xr:uid="{00000000-0005-0000-0000-0000751B0000}"/>
    <cellStyle name="20% - Accent5 5 10" xfId="24586" xr:uid="{00000000-0005-0000-0000-0000761B0000}"/>
    <cellStyle name="20% - Accent5 5 11" xfId="24976" xr:uid="{00000000-0005-0000-0000-0000771B0000}"/>
    <cellStyle name="20% - Accent5 5 2" xfId="3949" xr:uid="{00000000-0005-0000-0000-0000781B0000}"/>
    <cellStyle name="20% - Accent5 5 2 2" xfId="11928" xr:uid="{00000000-0005-0000-0000-0000791B0000}"/>
    <cellStyle name="20% - Accent5 5 2 2 2" xfId="23216" xr:uid="{00000000-0005-0000-0000-00007A1B0000}"/>
    <cellStyle name="20% - Accent5 5 2 3" xfId="9934" xr:uid="{00000000-0005-0000-0000-00007B1B0000}"/>
    <cellStyle name="20% - Accent5 5 2 3 2" xfId="21222" xr:uid="{00000000-0005-0000-0000-00007C1B0000}"/>
    <cellStyle name="20% - Accent5 5 2 4" xfId="7940" xr:uid="{00000000-0005-0000-0000-00007D1B0000}"/>
    <cellStyle name="20% - Accent5 5 2 4 2" xfId="19228" xr:uid="{00000000-0005-0000-0000-00007E1B0000}"/>
    <cellStyle name="20% - Accent5 5 2 5" xfId="5946" xr:uid="{00000000-0005-0000-0000-00007F1B0000}"/>
    <cellStyle name="20% - Accent5 5 2 5 2" xfId="17234" xr:uid="{00000000-0005-0000-0000-0000801B0000}"/>
    <cellStyle name="20% - Accent5 5 2 6" xfId="15240" xr:uid="{00000000-0005-0000-0000-0000811B0000}"/>
    <cellStyle name="20% - Accent5 5 2 7" xfId="24347" xr:uid="{00000000-0005-0000-0000-0000821B0000}"/>
    <cellStyle name="20% - Accent5 5 2 8" xfId="24811" xr:uid="{00000000-0005-0000-0000-0000831B0000}"/>
    <cellStyle name="20% - Accent5 5 2 9" xfId="25178" xr:uid="{00000000-0005-0000-0000-0000841B0000}"/>
    <cellStyle name="20% - Accent5 5 3" xfId="10931" xr:uid="{00000000-0005-0000-0000-0000851B0000}"/>
    <cellStyle name="20% - Accent5 5 3 2" xfId="22219" xr:uid="{00000000-0005-0000-0000-0000861B0000}"/>
    <cellStyle name="20% - Accent5 5 4" xfId="8937" xr:uid="{00000000-0005-0000-0000-0000871B0000}"/>
    <cellStyle name="20% - Accent5 5 4 2" xfId="20225" xr:uid="{00000000-0005-0000-0000-0000881B0000}"/>
    <cellStyle name="20% - Accent5 5 5" xfId="6943" xr:uid="{00000000-0005-0000-0000-0000891B0000}"/>
    <cellStyle name="20% - Accent5 5 5 2" xfId="18231" xr:uid="{00000000-0005-0000-0000-00008A1B0000}"/>
    <cellStyle name="20% - Accent5 5 6" xfId="4949" xr:uid="{00000000-0005-0000-0000-00008B1B0000}"/>
    <cellStyle name="20% - Accent5 5 6 2" xfId="16237" xr:uid="{00000000-0005-0000-0000-00008C1B0000}"/>
    <cellStyle name="20% - Accent5 5 7" xfId="14243" xr:uid="{00000000-0005-0000-0000-00008D1B0000}"/>
    <cellStyle name="20% - Accent5 5 8" xfId="12929" xr:uid="{00000000-0005-0000-0000-00008E1B0000}"/>
    <cellStyle name="20% - Accent5 5 9" xfId="23959" xr:uid="{00000000-0005-0000-0000-00008F1B0000}"/>
    <cellStyle name="20% - Accent5 50" xfId="994" xr:uid="{00000000-0005-0000-0000-0000901B0000}"/>
    <cellStyle name="20% - Accent5 50 2" xfId="3950" xr:uid="{00000000-0005-0000-0000-0000911B0000}"/>
    <cellStyle name="20% - Accent5 50 2 2" xfId="11929" xr:uid="{00000000-0005-0000-0000-0000921B0000}"/>
    <cellStyle name="20% - Accent5 50 2 2 2" xfId="23217" xr:uid="{00000000-0005-0000-0000-0000931B0000}"/>
    <cellStyle name="20% - Accent5 50 2 3" xfId="9935" xr:uid="{00000000-0005-0000-0000-0000941B0000}"/>
    <cellStyle name="20% - Accent5 50 2 3 2" xfId="21223" xr:uid="{00000000-0005-0000-0000-0000951B0000}"/>
    <cellStyle name="20% - Accent5 50 2 4" xfId="7941" xr:uid="{00000000-0005-0000-0000-0000961B0000}"/>
    <cellStyle name="20% - Accent5 50 2 4 2" xfId="19229" xr:uid="{00000000-0005-0000-0000-0000971B0000}"/>
    <cellStyle name="20% - Accent5 50 2 5" xfId="5947" xr:uid="{00000000-0005-0000-0000-0000981B0000}"/>
    <cellStyle name="20% - Accent5 50 2 5 2" xfId="17235" xr:uid="{00000000-0005-0000-0000-0000991B0000}"/>
    <cellStyle name="20% - Accent5 50 2 6" xfId="15241" xr:uid="{00000000-0005-0000-0000-00009A1B0000}"/>
    <cellStyle name="20% - Accent5 50 3" xfId="10932" xr:uid="{00000000-0005-0000-0000-00009B1B0000}"/>
    <cellStyle name="20% - Accent5 50 3 2" xfId="22220" xr:uid="{00000000-0005-0000-0000-00009C1B0000}"/>
    <cellStyle name="20% - Accent5 50 4" xfId="8938" xr:uid="{00000000-0005-0000-0000-00009D1B0000}"/>
    <cellStyle name="20% - Accent5 50 4 2" xfId="20226" xr:uid="{00000000-0005-0000-0000-00009E1B0000}"/>
    <cellStyle name="20% - Accent5 50 5" xfId="6944" xr:uid="{00000000-0005-0000-0000-00009F1B0000}"/>
    <cellStyle name="20% - Accent5 50 5 2" xfId="18232" xr:uid="{00000000-0005-0000-0000-0000A01B0000}"/>
    <cellStyle name="20% - Accent5 50 6" xfId="4950" xr:uid="{00000000-0005-0000-0000-0000A11B0000}"/>
    <cellStyle name="20% - Accent5 50 6 2" xfId="16238" xr:uid="{00000000-0005-0000-0000-0000A21B0000}"/>
    <cellStyle name="20% - Accent5 50 7" xfId="14244" xr:uid="{00000000-0005-0000-0000-0000A31B0000}"/>
    <cellStyle name="20% - Accent5 50 8" xfId="12930" xr:uid="{00000000-0005-0000-0000-0000A41B0000}"/>
    <cellStyle name="20% - Accent5 51" xfId="995" xr:uid="{00000000-0005-0000-0000-0000A51B0000}"/>
    <cellStyle name="20% - Accent5 51 2" xfId="3951" xr:uid="{00000000-0005-0000-0000-0000A61B0000}"/>
    <cellStyle name="20% - Accent5 51 2 2" xfId="11930" xr:uid="{00000000-0005-0000-0000-0000A71B0000}"/>
    <cellStyle name="20% - Accent5 51 2 2 2" xfId="23218" xr:uid="{00000000-0005-0000-0000-0000A81B0000}"/>
    <cellStyle name="20% - Accent5 51 2 3" xfId="9936" xr:uid="{00000000-0005-0000-0000-0000A91B0000}"/>
    <cellStyle name="20% - Accent5 51 2 3 2" xfId="21224" xr:uid="{00000000-0005-0000-0000-0000AA1B0000}"/>
    <cellStyle name="20% - Accent5 51 2 4" xfId="7942" xr:uid="{00000000-0005-0000-0000-0000AB1B0000}"/>
    <cellStyle name="20% - Accent5 51 2 4 2" xfId="19230" xr:uid="{00000000-0005-0000-0000-0000AC1B0000}"/>
    <cellStyle name="20% - Accent5 51 2 5" xfId="5948" xr:uid="{00000000-0005-0000-0000-0000AD1B0000}"/>
    <cellStyle name="20% - Accent5 51 2 5 2" xfId="17236" xr:uid="{00000000-0005-0000-0000-0000AE1B0000}"/>
    <cellStyle name="20% - Accent5 51 2 6" xfId="15242" xr:uid="{00000000-0005-0000-0000-0000AF1B0000}"/>
    <cellStyle name="20% - Accent5 51 3" xfId="10933" xr:uid="{00000000-0005-0000-0000-0000B01B0000}"/>
    <cellStyle name="20% - Accent5 51 3 2" xfId="22221" xr:uid="{00000000-0005-0000-0000-0000B11B0000}"/>
    <cellStyle name="20% - Accent5 51 4" xfId="8939" xr:uid="{00000000-0005-0000-0000-0000B21B0000}"/>
    <cellStyle name="20% - Accent5 51 4 2" xfId="20227" xr:uid="{00000000-0005-0000-0000-0000B31B0000}"/>
    <cellStyle name="20% - Accent5 51 5" xfId="6945" xr:uid="{00000000-0005-0000-0000-0000B41B0000}"/>
    <cellStyle name="20% - Accent5 51 5 2" xfId="18233" xr:uid="{00000000-0005-0000-0000-0000B51B0000}"/>
    <cellStyle name="20% - Accent5 51 6" xfId="4951" xr:uid="{00000000-0005-0000-0000-0000B61B0000}"/>
    <cellStyle name="20% - Accent5 51 6 2" xfId="16239" xr:uid="{00000000-0005-0000-0000-0000B71B0000}"/>
    <cellStyle name="20% - Accent5 51 7" xfId="14245" xr:uid="{00000000-0005-0000-0000-0000B81B0000}"/>
    <cellStyle name="20% - Accent5 51 8" xfId="12931" xr:uid="{00000000-0005-0000-0000-0000B91B0000}"/>
    <cellStyle name="20% - Accent5 52" xfId="996" xr:uid="{00000000-0005-0000-0000-0000BA1B0000}"/>
    <cellStyle name="20% - Accent5 52 2" xfId="3952" xr:uid="{00000000-0005-0000-0000-0000BB1B0000}"/>
    <cellStyle name="20% - Accent5 52 2 2" xfId="11931" xr:uid="{00000000-0005-0000-0000-0000BC1B0000}"/>
    <cellStyle name="20% - Accent5 52 2 2 2" xfId="23219" xr:uid="{00000000-0005-0000-0000-0000BD1B0000}"/>
    <cellStyle name="20% - Accent5 52 2 3" xfId="9937" xr:uid="{00000000-0005-0000-0000-0000BE1B0000}"/>
    <cellStyle name="20% - Accent5 52 2 3 2" xfId="21225" xr:uid="{00000000-0005-0000-0000-0000BF1B0000}"/>
    <cellStyle name="20% - Accent5 52 2 4" xfId="7943" xr:uid="{00000000-0005-0000-0000-0000C01B0000}"/>
    <cellStyle name="20% - Accent5 52 2 4 2" xfId="19231" xr:uid="{00000000-0005-0000-0000-0000C11B0000}"/>
    <cellStyle name="20% - Accent5 52 2 5" xfId="5949" xr:uid="{00000000-0005-0000-0000-0000C21B0000}"/>
    <cellStyle name="20% - Accent5 52 2 5 2" xfId="17237" xr:uid="{00000000-0005-0000-0000-0000C31B0000}"/>
    <cellStyle name="20% - Accent5 52 2 6" xfId="15243" xr:uid="{00000000-0005-0000-0000-0000C41B0000}"/>
    <cellStyle name="20% - Accent5 52 3" xfId="10934" xr:uid="{00000000-0005-0000-0000-0000C51B0000}"/>
    <cellStyle name="20% - Accent5 52 3 2" xfId="22222" xr:uid="{00000000-0005-0000-0000-0000C61B0000}"/>
    <cellStyle name="20% - Accent5 52 4" xfId="8940" xr:uid="{00000000-0005-0000-0000-0000C71B0000}"/>
    <cellStyle name="20% - Accent5 52 4 2" xfId="20228" xr:uid="{00000000-0005-0000-0000-0000C81B0000}"/>
    <cellStyle name="20% - Accent5 52 5" xfId="6946" xr:uid="{00000000-0005-0000-0000-0000C91B0000}"/>
    <cellStyle name="20% - Accent5 52 5 2" xfId="18234" xr:uid="{00000000-0005-0000-0000-0000CA1B0000}"/>
    <cellStyle name="20% - Accent5 52 6" xfId="4952" xr:uid="{00000000-0005-0000-0000-0000CB1B0000}"/>
    <cellStyle name="20% - Accent5 52 6 2" xfId="16240" xr:uid="{00000000-0005-0000-0000-0000CC1B0000}"/>
    <cellStyle name="20% - Accent5 52 7" xfId="14246" xr:uid="{00000000-0005-0000-0000-0000CD1B0000}"/>
    <cellStyle name="20% - Accent5 52 8" xfId="12932" xr:uid="{00000000-0005-0000-0000-0000CE1B0000}"/>
    <cellStyle name="20% - Accent5 53" xfId="997" xr:uid="{00000000-0005-0000-0000-0000CF1B0000}"/>
    <cellStyle name="20% - Accent5 53 2" xfId="3953" xr:uid="{00000000-0005-0000-0000-0000D01B0000}"/>
    <cellStyle name="20% - Accent5 53 2 2" xfId="11932" xr:uid="{00000000-0005-0000-0000-0000D11B0000}"/>
    <cellStyle name="20% - Accent5 53 2 2 2" xfId="23220" xr:uid="{00000000-0005-0000-0000-0000D21B0000}"/>
    <cellStyle name="20% - Accent5 53 2 3" xfId="9938" xr:uid="{00000000-0005-0000-0000-0000D31B0000}"/>
    <cellStyle name="20% - Accent5 53 2 3 2" xfId="21226" xr:uid="{00000000-0005-0000-0000-0000D41B0000}"/>
    <cellStyle name="20% - Accent5 53 2 4" xfId="7944" xr:uid="{00000000-0005-0000-0000-0000D51B0000}"/>
    <cellStyle name="20% - Accent5 53 2 4 2" xfId="19232" xr:uid="{00000000-0005-0000-0000-0000D61B0000}"/>
    <cellStyle name="20% - Accent5 53 2 5" xfId="5950" xr:uid="{00000000-0005-0000-0000-0000D71B0000}"/>
    <cellStyle name="20% - Accent5 53 2 5 2" xfId="17238" xr:uid="{00000000-0005-0000-0000-0000D81B0000}"/>
    <cellStyle name="20% - Accent5 53 2 6" xfId="15244" xr:uid="{00000000-0005-0000-0000-0000D91B0000}"/>
    <cellStyle name="20% - Accent5 53 3" xfId="10935" xr:uid="{00000000-0005-0000-0000-0000DA1B0000}"/>
    <cellStyle name="20% - Accent5 53 3 2" xfId="22223" xr:uid="{00000000-0005-0000-0000-0000DB1B0000}"/>
    <cellStyle name="20% - Accent5 53 4" xfId="8941" xr:uid="{00000000-0005-0000-0000-0000DC1B0000}"/>
    <cellStyle name="20% - Accent5 53 4 2" xfId="20229" xr:uid="{00000000-0005-0000-0000-0000DD1B0000}"/>
    <cellStyle name="20% - Accent5 53 5" xfId="6947" xr:uid="{00000000-0005-0000-0000-0000DE1B0000}"/>
    <cellStyle name="20% - Accent5 53 5 2" xfId="18235" xr:uid="{00000000-0005-0000-0000-0000DF1B0000}"/>
    <cellStyle name="20% - Accent5 53 6" xfId="4953" xr:uid="{00000000-0005-0000-0000-0000E01B0000}"/>
    <cellStyle name="20% - Accent5 53 6 2" xfId="16241" xr:uid="{00000000-0005-0000-0000-0000E11B0000}"/>
    <cellStyle name="20% - Accent5 53 7" xfId="14247" xr:uid="{00000000-0005-0000-0000-0000E21B0000}"/>
    <cellStyle name="20% - Accent5 53 8" xfId="12933" xr:uid="{00000000-0005-0000-0000-0000E31B0000}"/>
    <cellStyle name="20% - Accent5 54" xfId="998" xr:uid="{00000000-0005-0000-0000-0000E41B0000}"/>
    <cellStyle name="20% - Accent5 54 2" xfId="3954" xr:uid="{00000000-0005-0000-0000-0000E51B0000}"/>
    <cellStyle name="20% - Accent5 54 2 2" xfId="11933" xr:uid="{00000000-0005-0000-0000-0000E61B0000}"/>
    <cellStyle name="20% - Accent5 54 2 2 2" xfId="23221" xr:uid="{00000000-0005-0000-0000-0000E71B0000}"/>
    <cellStyle name="20% - Accent5 54 2 3" xfId="9939" xr:uid="{00000000-0005-0000-0000-0000E81B0000}"/>
    <cellStyle name="20% - Accent5 54 2 3 2" xfId="21227" xr:uid="{00000000-0005-0000-0000-0000E91B0000}"/>
    <cellStyle name="20% - Accent5 54 2 4" xfId="7945" xr:uid="{00000000-0005-0000-0000-0000EA1B0000}"/>
    <cellStyle name="20% - Accent5 54 2 4 2" xfId="19233" xr:uid="{00000000-0005-0000-0000-0000EB1B0000}"/>
    <cellStyle name="20% - Accent5 54 2 5" xfId="5951" xr:uid="{00000000-0005-0000-0000-0000EC1B0000}"/>
    <cellStyle name="20% - Accent5 54 2 5 2" xfId="17239" xr:uid="{00000000-0005-0000-0000-0000ED1B0000}"/>
    <cellStyle name="20% - Accent5 54 2 6" xfId="15245" xr:uid="{00000000-0005-0000-0000-0000EE1B0000}"/>
    <cellStyle name="20% - Accent5 54 3" xfId="10936" xr:uid="{00000000-0005-0000-0000-0000EF1B0000}"/>
    <cellStyle name="20% - Accent5 54 3 2" xfId="22224" xr:uid="{00000000-0005-0000-0000-0000F01B0000}"/>
    <cellStyle name="20% - Accent5 54 4" xfId="8942" xr:uid="{00000000-0005-0000-0000-0000F11B0000}"/>
    <cellStyle name="20% - Accent5 54 4 2" xfId="20230" xr:uid="{00000000-0005-0000-0000-0000F21B0000}"/>
    <cellStyle name="20% - Accent5 54 5" xfId="6948" xr:uid="{00000000-0005-0000-0000-0000F31B0000}"/>
    <cellStyle name="20% - Accent5 54 5 2" xfId="18236" xr:uid="{00000000-0005-0000-0000-0000F41B0000}"/>
    <cellStyle name="20% - Accent5 54 6" xfId="4954" xr:uid="{00000000-0005-0000-0000-0000F51B0000}"/>
    <cellStyle name="20% - Accent5 54 6 2" xfId="16242" xr:uid="{00000000-0005-0000-0000-0000F61B0000}"/>
    <cellStyle name="20% - Accent5 54 7" xfId="14248" xr:uid="{00000000-0005-0000-0000-0000F71B0000}"/>
    <cellStyle name="20% - Accent5 54 8" xfId="12934" xr:uid="{00000000-0005-0000-0000-0000F81B0000}"/>
    <cellStyle name="20% - Accent5 55" xfId="999" xr:uid="{00000000-0005-0000-0000-0000F91B0000}"/>
    <cellStyle name="20% - Accent5 55 2" xfId="3955" xr:uid="{00000000-0005-0000-0000-0000FA1B0000}"/>
    <cellStyle name="20% - Accent5 55 2 2" xfId="11934" xr:uid="{00000000-0005-0000-0000-0000FB1B0000}"/>
    <cellStyle name="20% - Accent5 55 2 2 2" xfId="23222" xr:uid="{00000000-0005-0000-0000-0000FC1B0000}"/>
    <cellStyle name="20% - Accent5 55 2 3" xfId="9940" xr:uid="{00000000-0005-0000-0000-0000FD1B0000}"/>
    <cellStyle name="20% - Accent5 55 2 3 2" xfId="21228" xr:uid="{00000000-0005-0000-0000-0000FE1B0000}"/>
    <cellStyle name="20% - Accent5 55 2 4" xfId="7946" xr:uid="{00000000-0005-0000-0000-0000FF1B0000}"/>
    <cellStyle name="20% - Accent5 55 2 4 2" xfId="19234" xr:uid="{00000000-0005-0000-0000-0000001C0000}"/>
    <cellStyle name="20% - Accent5 55 2 5" xfId="5952" xr:uid="{00000000-0005-0000-0000-0000011C0000}"/>
    <cellStyle name="20% - Accent5 55 2 5 2" xfId="17240" xr:uid="{00000000-0005-0000-0000-0000021C0000}"/>
    <cellStyle name="20% - Accent5 55 2 6" xfId="15246" xr:uid="{00000000-0005-0000-0000-0000031C0000}"/>
    <cellStyle name="20% - Accent5 55 3" xfId="10937" xr:uid="{00000000-0005-0000-0000-0000041C0000}"/>
    <cellStyle name="20% - Accent5 55 3 2" xfId="22225" xr:uid="{00000000-0005-0000-0000-0000051C0000}"/>
    <cellStyle name="20% - Accent5 55 4" xfId="8943" xr:uid="{00000000-0005-0000-0000-0000061C0000}"/>
    <cellStyle name="20% - Accent5 55 4 2" xfId="20231" xr:uid="{00000000-0005-0000-0000-0000071C0000}"/>
    <cellStyle name="20% - Accent5 55 5" xfId="6949" xr:uid="{00000000-0005-0000-0000-0000081C0000}"/>
    <cellStyle name="20% - Accent5 55 5 2" xfId="18237" xr:uid="{00000000-0005-0000-0000-0000091C0000}"/>
    <cellStyle name="20% - Accent5 55 6" xfId="4955" xr:uid="{00000000-0005-0000-0000-00000A1C0000}"/>
    <cellStyle name="20% - Accent5 55 6 2" xfId="16243" xr:uid="{00000000-0005-0000-0000-00000B1C0000}"/>
    <cellStyle name="20% - Accent5 55 7" xfId="14249" xr:uid="{00000000-0005-0000-0000-00000C1C0000}"/>
    <cellStyle name="20% - Accent5 55 8" xfId="12935" xr:uid="{00000000-0005-0000-0000-00000D1C0000}"/>
    <cellStyle name="20% - Accent5 56" xfId="1000" xr:uid="{00000000-0005-0000-0000-00000E1C0000}"/>
    <cellStyle name="20% - Accent5 56 2" xfId="3956" xr:uid="{00000000-0005-0000-0000-00000F1C0000}"/>
    <cellStyle name="20% - Accent5 56 2 2" xfId="11935" xr:uid="{00000000-0005-0000-0000-0000101C0000}"/>
    <cellStyle name="20% - Accent5 56 2 2 2" xfId="23223" xr:uid="{00000000-0005-0000-0000-0000111C0000}"/>
    <cellStyle name="20% - Accent5 56 2 3" xfId="9941" xr:uid="{00000000-0005-0000-0000-0000121C0000}"/>
    <cellStyle name="20% - Accent5 56 2 3 2" xfId="21229" xr:uid="{00000000-0005-0000-0000-0000131C0000}"/>
    <cellStyle name="20% - Accent5 56 2 4" xfId="7947" xr:uid="{00000000-0005-0000-0000-0000141C0000}"/>
    <cellStyle name="20% - Accent5 56 2 4 2" xfId="19235" xr:uid="{00000000-0005-0000-0000-0000151C0000}"/>
    <cellStyle name="20% - Accent5 56 2 5" xfId="5953" xr:uid="{00000000-0005-0000-0000-0000161C0000}"/>
    <cellStyle name="20% - Accent5 56 2 5 2" xfId="17241" xr:uid="{00000000-0005-0000-0000-0000171C0000}"/>
    <cellStyle name="20% - Accent5 56 2 6" xfId="15247" xr:uid="{00000000-0005-0000-0000-0000181C0000}"/>
    <cellStyle name="20% - Accent5 56 3" xfId="10938" xr:uid="{00000000-0005-0000-0000-0000191C0000}"/>
    <cellStyle name="20% - Accent5 56 3 2" xfId="22226" xr:uid="{00000000-0005-0000-0000-00001A1C0000}"/>
    <cellStyle name="20% - Accent5 56 4" xfId="8944" xr:uid="{00000000-0005-0000-0000-00001B1C0000}"/>
    <cellStyle name="20% - Accent5 56 4 2" xfId="20232" xr:uid="{00000000-0005-0000-0000-00001C1C0000}"/>
    <cellStyle name="20% - Accent5 56 5" xfId="6950" xr:uid="{00000000-0005-0000-0000-00001D1C0000}"/>
    <cellStyle name="20% - Accent5 56 5 2" xfId="18238" xr:uid="{00000000-0005-0000-0000-00001E1C0000}"/>
    <cellStyle name="20% - Accent5 56 6" xfId="4956" xr:uid="{00000000-0005-0000-0000-00001F1C0000}"/>
    <cellStyle name="20% - Accent5 56 6 2" xfId="16244" xr:uid="{00000000-0005-0000-0000-0000201C0000}"/>
    <cellStyle name="20% - Accent5 56 7" xfId="14250" xr:uid="{00000000-0005-0000-0000-0000211C0000}"/>
    <cellStyle name="20% - Accent5 56 8" xfId="12936" xr:uid="{00000000-0005-0000-0000-0000221C0000}"/>
    <cellStyle name="20% - Accent5 57" xfId="1001" xr:uid="{00000000-0005-0000-0000-0000231C0000}"/>
    <cellStyle name="20% - Accent5 57 2" xfId="3957" xr:uid="{00000000-0005-0000-0000-0000241C0000}"/>
    <cellStyle name="20% - Accent5 57 2 2" xfId="11936" xr:uid="{00000000-0005-0000-0000-0000251C0000}"/>
    <cellStyle name="20% - Accent5 57 2 2 2" xfId="23224" xr:uid="{00000000-0005-0000-0000-0000261C0000}"/>
    <cellStyle name="20% - Accent5 57 2 3" xfId="9942" xr:uid="{00000000-0005-0000-0000-0000271C0000}"/>
    <cellStyle name="20% - Accent5 57 2 3 2" xfId="21230" xr:uid="{00000000-0005-0000-0000-0000281C0000}"/>
    <cellStyle name="20% - Accent5 57 2 4" xfId="7948" xr:uid="{00000000-0005-0000-0000-0000291C0000}"/>
    <cellStyle name="20% - Accent5 57 2 4 2" xfId="19236" xr:uid="{00000000-0005-0000-0000-00002A1C0000}"/>
    <cellStyle name="20% - Accent5 57 2 5" xfId="5954" xr:uid="{00000000-0005-0000-0000-00002B1C0000}"/>
    <cellStyle name="20% - Accent5 57 2 5 2" xfId="17242" xr:uid="{00000000-0005-0000-0000-00002C1C0000}"/>
    <cellStyle name="20% - Accent5 57 2 6" xfId="15248" xr:uid="{00000000-0005-0000-0000-00002D1C0000}"/>
    <cellStyle name="20% - Accent5 57 3" xfId="10939" xr:uid="{00000000-0005-0000-0000-00002E1C0000}"/>
    <cellStyle name="20% - Accent5 57 3 2" xfId="22227" xr:uid="{00000000-0005-0000-0000-00002F1C0000}"/>
    <cellStyle name="20% - Accent5 57 4" xfId="8945" xr:uid="{00000000-0005-0000-0000-0000301C0000}"/>
    <cellStyle name="20% - Accent5 57 4 2" xfId="20233" xr:uid="{00000000-0005-0000-0000-0000311C0000}"/>
    <cellStyle name="20% - Accent5 57 5" xfId="6951" xr:uid="{00000000-0005-0000-0000-0000321C0000}"/>
    <cellStyle name="20% - Accent5 57 5 2" xfId="18239" xr:uid="{00000000-0005-0000-0000-0000331C0000}"/>
    <cellStyle name="20% - Accent5 57 6" xfId="4957" xr:uid="{00000000-0005-0000-0000-0000341C0000}"/>
    <cellStyle name="20% - Accent5 57 6 2" xfId="16245" xr:uid="{00000000-0005-0000-0000-0000351C0000}"/>
    <cellStyle name="20% - Accent5 57 7" xfId="14251" xr:uid="{00000000-0005-0000-0000-0000361C0000}"/>
    <cellStyle name="20% - Accent5 57 8" xfId="12937" xr:uid="{00000000-0005-0000-0000-0000371C0000}"/>
    <cellStyle name="20% - Accent5 58" xfId="1002" xr:uid="{00000000-0005-0000-0000-0000381C0000}"/>
    <cellStyle name="20% - Accent5 58 2" xfId="3958" xr:uid="{00000000-0005-0000-0000-0000391C0000}"/>
    <cellStyle name="20% - Accent5 58 2 2" xfId="11937" xr:uid="{00000000-0005-0000-0000-00003A1C0000}"/>
    <cellStyle name="20% - Accent5 58 2 2 2" xfId="23225" xr:uid="{00000000-0005-0000-0000-00003B1C0000}"/>
    <cellStyle name="20% - Accent5 58 2 3" xfId="9943" xr:uid="{00000000-0005-0000-0000-00003C1C0000}"/>
    <cellStyle name="20% - Accent5 58 2 3 2" xfId="21231" xr:uid="{00000000-0005-0000-0000-00003D1C0000}"/>
    <cellStyle name="20% - Accent5 58 2 4" xfId="7949" xr:uid="{00000000-0005-0000-0000-00003E1C0000}"/>
    <cellStyle name="20% - Accent5 58 2 4 2" xfId="19237" xr:uid="{00000000-0005-0000-0000-00003F1C0000}"/>
    <cellStyle name="20% - Accent5 58 2 5" xfId="5955" xr:uid="{00000000-0005-0000-0000-0000401C0000}"/>
    <cellStyle name="20% - Accent5 58 2 5 2" xfId="17243" xr:uid="{00000000-0005-0000-0000-0000411C0000}"/>
    <cellStyle name="20% - Accent5 58 2 6" xfId="15249" xr:uid="{00000000-0005-0000-0000-0000421C0000}"/>
    <cellStyle name="20% - Accent5 58 3" xfId="10940" xr:uid="{00000000-0005-0000-0000-0000431C0000}"/>
    <cellStyle name="20% - Accent5 58 3 2" xfId="22228" xr:uid="{00000000-0005-0000-0000-0000441C0000}"/>
    <cellStyle name="20% - Accent5 58 4" xfId="8946" xr:uid="{00000000-0005-0000-0000-0000451C0000}"/>
    <cellStyle name="20% - Accent5 58 4 2" xfId="20234" xr:uid="{00000000-0005-0000-0000-0000461C0000}"/>
    <cellStyle name="20% - Accent5 58 5" xfId="6952" xr:uid="{00000000-0005-0000-0000-0000471C0000}"/>
    <cellStyle name="20% - Accent5 58 5 2" xfId="18240" xr:uid="{00000000-0005-0000-0000-0000481C0000}"/>
    <cellStyle name="20% - Accent5 58 6" xfId="4958" xr:uid="{00000000-0005-0000-0000-0000491C0000}"/>
    <cellStyle name="20% - Accent5 58 6 2" xfId="16246" xr:uid="{00000000-0005-0000-0000-00004A1C0000}"/>
    <cellStyle name="20% - Accent5 58 7" xfId="14252" xr:uid="{00000000-0005-0000-0000-00004B1C0000}"/>
    <cellStyle name="20% - Accent5 58 8" xfId="12938" xr:uid="{00000000-0005-0000-0000-00004C1C0000}"/>
    <cellStyle name="20% - Accent5 59" xfId="1003" xr:uid="{00000000-0005-0000-0000-00004D1C0000}"/>
    <cellStyle name="20% - Accent5 59 2" xfId="3959" xr:uid="{00000000-0005-0000-0000-00004E1C0000}"/>
    <cellStyle name="20% - Accent5 59 2 2" xfId="11938" xr:uid="{00000000-0005-0000-0000-00004F1C0000}"/>
    <cellStyle name="20% - Accent5 59 2 2 2" xfId="23226" xr:uid="{00000000-0005-0000-0000-0000501C0000}"/>
    <cellStyle name="20% - Accent5 59 2 3" xfId="9944" xr:uid="{00000000-0005-0000-0000-0000511C0000}"/>
    <cellStyle name="20% - Accent5 59 2 3 2" xfId="21232" xr:uid="{00000000-0005-0000-0000-0000521C0000}"/>
    <cellStyle name="20% - Accent5 59 2 4" xfId="7950" xr:uid="{00000000-0005-0000-0000-0000531C0000}"/>
    <cellStyle name="20% - Accent5 59 2 4 2" xfId="19238" xr:uid="{00000000-0005-0000-0000-0000541C0000}"/>
    <cellStyle name="20% - Accent5 59 2 5" xfId="5956" xr:uid="{00000000-0005-0000-0000-0000551C0000}"/>
    <cellStyle name="20% - Accent5 59 2 5 2" xfId="17244" xr:uid="{00000000-0005-0000-0000-0000561C0000}"/>
    <cellStyle name="20% - Accent5 59 2 6" xfId="15250" xr:uid="{00000000-0005-0000-0000-0000571C0000}"/>
    <cellStyle name="20% - Accent5 59 3" xfId="10941" xr:uid="{00000000-0005-0000-0000-0000581C0000}"/>
    <cellStyle name="20% - Accent5 59 3 2" xfId="22229" xr:uid="{00000000-0005-0000-0000-0000591C0000}"/>
    <cellStyle name="20% - Accent5 59 4" xfId="8947" xr:uid="{00000000-0005-0000-0000-00005A1C0000}"/>
    <cellStyle name="20% - Accent5 59 4 2" xfId="20235" xr:uid="{00000000-0005-0000-0000-00005B1C0000}"/>
    <cellStyle name="20% - Accent5 59 5" xfId="6953" xr:uid="{00000000-0005-0000-0000-00005C1C0000}"/>
    <cellStyle name="20% - Accent5 59 5 2" xfId="18241" xr:uid="{00000000-0005-0000-0000-00005D1C0000}"/>
    <cellStyle name="20% - Accent5 59 6" xfId="4959" xr:uid="{00000000-0005-0000-0000-00005E1C0000}"/>
    <cellStyle name="20% - Accent5 59 6 2" xfId="16247" xr:uid="{00000000-0005-0000-0000-00005F1C0000}"/>
    <cellStyle name="20% - Accent5 59 7" xfId="14253" xr:uid="{00000000-0005-0000-0000-0000601C0000}"/>
    <cellStyle name="20% - Accent5 59 8" xfId="12939" xr:uid="{00000000-0005-0000-0000-0000611C0000}"/>
    <cellStyle name="20% - Accent5 6" xfId="1004" xr:uid="{00000000-0005-0000-0000-0000621C0000}"/>
    <cellStyle name="20% - Accent5 6 10" xfId="24587" xr:uid="{00000000-0005-0000-0000-0000631C0000}"/>
    <cellStyle name="20% - Accent5 6 11" xfId="24977" xr:uid="{00000000-0005-0000-0000-0000641C0000}"/>
    <cellStyle name="20% - Accent5 6 2" xfId="3960" xr:uid="{00000000-0005-0000-0000-0000651C0000}"/>
    <cellStyle name="20% - Accent5 6 2 2" xfId="11939" xr:uid="{00000000-0005-0000-0000-0000661C0000}"/>
    <cellStyle name="20% - Accent5 6 2 2 2" xfId="23227" xr:uid="{00000000-0005-0000-0000-0000671C0000}"/>
    <cellStyle name="20% - Accent5 6 2 3" xfId="9945" xr:uid="{00000000-0005-0000-0000-0000681C0000}"/>
    <cellStyle name="20% - Accent5 6 2 3 2" xfId="21233" xr:uid="{00000000-0005-0000-0000-0000691C0000}"/>
    <cellStyle name="20% - Accent5 6 2 4" xfId="7951" xr:uid="{00000000-0005-0000-0000-00006A1C0000}"/>
    <cellStyle name="20% - Accent5 6 2 4 2" xfId="19239" xr:uid="{00000000-0005-0000-0000-00006B1C0000}"/>
    <cellStyle name="20% - Accent5 6 2 5" xfId="5957" xr:uid="{00000000-0005-0000-0000-00006C1C0000}"/>
    <cellStyle name="20% - Accent5 6 2 5 2" xfId="17245" xr:uid="{00000000-0005-0000-0000-00006D1C0000}"/>
    <cellStyle name="20% - Accent5 6 2 6" xfId="15251" xr:uid="{00000000-0005-0000-0000-00006E1C0000}"/>
    <cellStyle name="20% - Accent5 6 2 7" xfId="24348" xr:uid="{00000000-0005-0000-0000-00006F1C0000}"/>
    <cellStyle name="20% - Accent5 6 2 8" xfId="24812" xr:uid="{00000000-0005-0000-0000-0000701C0000}"/>
    <cellStyle name="20% - Accent5 6 2 9" xfId="25179" xr:uid="{00000000-0005-0000-0000-0000711C0000}"/>
    <cellStyle name="20% - Accent5 6 3" xfId="10942" xr:uid="{00000000-0005-0000-0000-0000721C0000}"/>
    <cellStyle name="20% - Accent5 6 3 2" xfId="22230" xr:uid="{00000000-0005-0000-0000-0000731C0000}"/>
    <cellStyle name="20% - Accent5 6 4" xfId="8948" xr:uid="{00000000-0005-0000-0000-0000741C0000}"/>
    <cellStyle name="20% - Accent5 6 4 2" xfId="20236" xr:uid="{00000000-0005-0000-0000-0000751C0000}"/>
    <cellStyle name="20% - Accent5 6 5" xfId="6954" xr:uid="{00000000-0005-0000-0000-0000761C0000}"/>
    <cellStyle name="20% - Accent5 6 5 2" xfId="18242" xr:uid="{00000000-0005-0000-0000-0000771C0000}"/>
    <cellStyle name="20% - Accent5 6 6" xfId="4960" xr:uid="{00000000-0005-0000-0000-0000781C0000}"/>
    <cellStyle name="20% - Accent5 6 6 2" xfId="16248" xr:uid="{00000000-0005-0000-0000-0000791C0000}"/>
    <cellStyle name="20% - Accent5 6 7" xfId="14254" xr:uid="{00000000-0005-0000-0000-00007A1C0000}"/>
    <cellStyle name="20% - Accent5 6 8" xfId="12940" xr:uid="{00000000-0005-0000-0000-00007B1C0000}"/>
    <cellStyle name="20% - Accent5 6 9" xfId="23960" xr:uid="{00000000-0005-0000-0000-00007C1C0000}"/>
    <cellStyle name="20% - Accent5 60" xfId="1005" xr:uid="{00000000-0005-0000-0000-00007D1C0000}"/>
    <cellStyle name="20% - Accent5 60 2" xfId="3961" xr:uid="{00000000-0005-0000-0000-00007E1C0000}"/>
    <cellStyle name="20% - Accent5 60 2 2" xfId="11940" xr:uid="{00000000-0005-0000-0000-00007F1C0000}"/>
    <cellStyle name="20% - Accent5 60 2 2 2" xfId="23228" xr:uid="{00000000-0005-0000-0000-0000801C0000}"/>
    <cellStyle name="20% - Accent5 60 2 3" xfId="9946" xr:uid="{00000000-0005-0000-0000-0000811C0000}"/>
    <cellStyle name="20% - Accent5 60 2 3 2" xfId="21234" xr:uid="{00000000-0005-0000-0000-0000821C0000}"/>
    <cellStyle name="20% - Accent5 60 2 4" xfId="7952" xr:uid="{00000000-0005-0000-0000-0000831C0000}"/>
    <cellStyle name="20% - Accent5 60 2 4 2" xfId="19240" xr:uid="{00000000-0005-0000-0000-0000841C0000}"/>
    <cellStyle name="20% - Accent5 60 2 5" xfId="5958" xr:uid="{00000000-0005-0000-0000-0000851C0000}"/>
    <cellStyle name="20% - Accent5 60 2 5 2" xfId="17246" xr:uid="{00000000-0005-0000-0000-0000861C0000}"/>
    <cellStyle name="20% - Accent5 60 2 6" xfId="15252" xr:uid="{00000000-0005-0000-0000-0000871C0000}"/>
    <cellStyle name="20% - Accent5 60 3" xfId="10943" xr:uid="{00000000-0005-0000-0000-0000881C0000}"/>
    <cellStyle name="20% - Accent5 60 3 2" xfId="22231" xr:uid="{00000000-0005-0000-0000-0000891C0000}"/>
    <cellStyle name="20% - Accent5 60 4" xfId="8949" xr:uid="{00000000-0005-0000-0000-00008A1C0000}"/>
    <cellStyle name="20% - Accent5 60 4 2" xfId="20237" xr:uid="{00000000-0005-0000-0000-00008B1C0000}"/>
    <cellStyle name="20% - Accent5 60 5" xfId="6955" xr:uid="{00000000-0005-0000-0000-00008C1C0000}"/>
    <cellStyle name="20% - Accent5 60 5 2" xfId="18243" xr:uid="{00000000-0005-0000-0000-00008D1C0000}"/>
    <cellStyle name="20% - Accent5 60 6" xfId="4961" xr:uid="{00000000-0005-0000-0000-00008E1C0000}"/>
    <cellStyle name="20% - Accent5 60 6 2" xfId="16249" xr:uid="{00000000-0005-0000-0000-00008F1C0000}"/>
    <cellStyle name="20% - Accent5 60 7" xfId="14255" xr:uid="{00000000-0005-0000-0000-0000901C0000}"/>
    <cellStyle name="20% - Accent5 60 8" xfId="12941" xr:uid="{00000000-0005-0000-0000-0000911C0000}"/>
    <cellStyle name="20% - Accent5 61" xfId="1006" xr:uid="{00000000-0005-0000-0000-0000921C0000}"/>
    <cellStyle name="20% - Accent5 61 2" xfId="3962" xr:uid="{00000000-0005-0000-0000-0000931C0000}"/>
    <cellStyle name="20% - Accent5 61 2 2" xfId="11941" xr:uid="{00000000-0005-0000-0000-0000941C0000}"/>
    <cellStyle name="20% - Accent5 61 2 2 2" xfId="23229" xr:uid="{00000000-0005-0000-0000-0000951C0000}"/>
    <cellStyle name="20% - Accent5 61 2 3" xfId="9947" xr:uid="{00000000-0005-0000-0000-0000961C0000}"/>
    <cellStyle name="20% - Accent5 61 2 3 2" xfId="21235" xr:uid="{00000000-0005-0000-0000-0000971C0000}"/>
    <cellStyle name="20% - Accent5 61 2 4" xfId="7953" xr:uid="{00000000-0005-0000-0000-0000981C0000}"/>
    <cellStyle name="20% - Accent5 61 2 4 2" xfId="19241" xr:uid="{00000000-0005-0000-0000-0000991C0000}"/>
    <cellStyle name="20% - Accent5 61 2 5" xfId="5959" xr:uid="{00000000-0005-0000-0000-00009A1C0000}"/>
    <cellStyle name="20% - Accent5 61 2 5 2" xfId="17247" xr:uid="{00000000-0005-0000-0000-00009B1C0000}"/>
    <cellStyle name="20% - Accent5 61 2 6" xfId="15253" xr:uid="{00000000-0005-0000-0000-00009C1C0000}"/>
    <cellStyle name="20% - Accent5 61 3" xfId="10944" xr:uid="{00000000-0005-0000-0000-00009D1C0000}"/>
    <cellStyle name="20% - Accent5 61 3 2" xfId="22232" xr:uid="{00000000-0005-0000-0000-00009E1C0000}"/>
    <cellStyle name="20% - Accent5 61 4" xfId="8950" xr:uid="{00000000-0005-0000-0000-00009F1C0000}"/>
    <cellStyle name="20% - Accent5 61 4 2" xfId="20238" xr:uid="{00000000-0005-0000-0000-0000A01C0000}"/>
    <cellStyle name="20% - Accent5 61 5" xfId="6956" xr:uid="{00000000-0005-0000-0000-0000A11C0000}"/>
    <cellStyle name="20% - Accent5 61 5 2" xfId="18244" xr:uid="{00000000-0005-0000-0000-0000A21C0000}"/>
    <cellStyle name="20% - Accent5 61 6" xfId="4962" xr:uid="{00000000-0005-0000-0000-0000A31C0000}"/>
    <cellStyle name="20% - Accent5 61 6 2" xfId="16250" xr:uid="{00000000-0005-0000-0000-0000A41C0000}"/>
    <cellStyle name="20% - Accent5 61 7" xfId="14256" xr:uid="{00000000-0005-0000-0000-0000A51C0000}"/>
    <cellStyle name="20% - Accent5 61 8" xfId="12942" xr:uid="{00000000-0005-0000-0000-0000A61C0000}"/>
    <cellStyle name="20% - Accent5 62" xfId="1007" xr:uid="{00000000-0005-0000-0000-0000A71C0000}"/>
    <cellStyle name="20% - Accent5 62 2" xfId="3963" xr:uid="{00000000-0005-0000-0000-0000A81C0000}"/>
    <cellStyle name="20% - Accent5 62 2 2" xfId="11942" xr:uid="{00000000-0005-0000-0000-0000A91C0000}"/>
    <cellStyle name="20% - Accent5 62 2 2 2" xfId="23230" xr:uid="{00000000-0005-0000-0000-0000AA1C0000}"/>
    <cellStyle name="20% - Accent5 62 2 3" xfId="9948" xr:uid="{00000000-0005-0000-0000-0000AB1C0000}"/>
    <cellStyle name="20% - Accent5 62 2 3 2" xfId="21236" xr:uid="{00000000-0005-0000-0000-0000AC1C0000}"/>
    <cellStyle name="20% - Accent5 62 2 4" xfId="7954" xr:uid="{00000000-0005-0000-0000-0000AD1C0000}"/>
    <cellStyle name="20% - Accent5 62 2 4 2" xfId="19242" xr:uid="{00000000-0005-0000-0000-0000AE1C0000}"/>
    <cellStyle name="20% - Accent5 62 2 5" xfId="5960" xr:uid="{00000000-0005-0000-0000-0000AF1C0000}"/>
    <cellStyle name="20% - Accent5 62 2 5 2" xfId="17248" xr:uid="{00000000-0005-0000-0000-0000B01C0000}"/>
    <cellStyle name="20% - Accent5 62 2 6" xfId="15254" xr:uid="{00000000-0005-0000-0000-0000B11C0000}"/>
    <cellStyle name="20% - Accent5 62 3" xfId="10945" xr:uid="{00000000-0005-0000-0000-0000B21C0000}"/>
    <cellStyle name="20% - Accent5 62 3 2" xfId="22233" xr:uid="{00000000-0005-0000-0000-0000B31C0000}"/>
    <cellStyle name="20% - Accent5 62 4" xfId="8951" xr:uid="{00000000-0005-0000-0000-0000B41C0000}"/>
    <cellStyle name="20% - Accent5 62 4 2" xfId="20239" xr:uid="{00000000-0005-0000-0000-0000B51C0000}"/>
    <cellStyle name="20% - Accent5 62 5" xfId="6957" xr:uid="{00000000-0005-0000-0000-0000B61C0000}"/>
    <cellStyle name="20% - Accent5 62 5 2" xfId="18245" xr:uid="{00000000-0005-0000-0000-0000B71C0000}"/>
    <cellStyle name="20% - Accent5 62 6" xfId="4963" xr:uid="{00000000-0005-0000-0000-0000B81C0000}"/>
    <cellStyle name="20% - Accent5 62 6 2" xfId="16251" xr:uid="{00000000-0005-0000-0000-0000B91C0000}"/>
    <cellStyle name="20% - Accent5 62 7" xfId="14257" xr:uid="{00000000-0005-0000-0000-0000BA1C0000}"/>
    <cellStyle name="20% - Accent5 62 8" xfId="12943" xr:uid="{00000000-0005-0000-0000-0000BB1C0000}"/>
    <cellStyle name="20% - Accent5 63" xfId="1008" xr:uid="{00000000-0005-0000-0000-0000BC1C0000}"/>
    <cellStyle name="20% - Accent5 63 2" xfId="3964" xr:uid="{00000000-0005-0000-0000-0000BD1C0000}"/>
    <cellStyle name="20% - Accent5 63 2 2" xfId="11943" xr:uid="{00000000-0005-0000-0000-0000BE1C0000}"/>
    <cellStyle name="20% - Accent5 63 2 2 2" xfId="23231" xr:uid="{00000000-0005-0000-0000-0000BF1C0000}"/>
    <cellStyle name="20% - Accent5 63 2 3" xfId="9949" xr:uid="{00000000-0005-0000-0000-0000C01C0000}"/>
    <cellStyle name="20% - Accent5 63 2 3 2" xfId="21237" xr:uid="{00000000-0005-0000-0000-0000C11C0000}"/>
    <cellStyle name="20% - Accent5 63 2 4" xfId="7955" xr:uid="{00000000-0005-0000-0000-0000C21C0000}"/>
    <cellStyle name="20% - Accent5 63 2 4 2" xfId="19243" xr:uid="{00000000-0005-0000-0000-0000C31C0000}"/>
    <cellStyle name="20% - Accent5 63 2 5" xfId="5961" xr:uid="{00000000-0005-0000-0000-0000C41C0000}"/>
    <cellStyle name="20% - Accent5 63 2 5 2" xfId="17249" xr:uid="{00000000-0005-0000-0000-0000C51C0000}"/>
    <cellStyle name="20% - Accent5 63 2 6" xfId="15255" xr:uid="{00000000-0005-0000-0000-0000C61C0000}"/>
    <cellStyle name="20% - Accent5 63 3" xfId="10946" xr:uid="{00000000-0005-0000-0000-0000C71C0000}"/>
    <cellStyle name="20% - Accent5 63 3 2" xfId="22234" xr:uid="{00000000-0005-0000-0000-0000C81C0000}"/>
    <cellStyle name="20% - Accent5 63 4" xfId="8952" xr:uid="{00000000-0005-0000-0000-0000C91C0000}"/>
    <cellStyle name="20% - Accent5 63 4 2" xfId="20240" xr:uid="{00000000-0005-0000-0000-0000CA1C0000}"/>
    <cellStyle name="20% - Accent5 63 5" xfId="6958" xr:uid="{00000000-0005-0000-0000-0000CB1C0000}"/>
    <cellStyle name="20% - Accent5 63 5 2" xfId="18246" xr:uid="{00000000-0005-0000-0000-0000CC1C0000}"/>
    <cellStyle name="20% - Accent5 63 6" xfId="4964" xr:uid="{00000000-0005-0000-0000-0000CD1C0000}"/>
    <cellStyle name="20% - Accent5 63 6 2" xfId="16252" xr:uid="{00000000-0005-0000-0000-0000CE1C0000}"/>
    <cellStyle name="20% - Accent5 63 7" xfId="14258" xr:uid="{00000000-0005-0000-0000-0000CF1C0000}"/>
    <cellStyle name="20% - Accent5 63 8" xfId="12944" xr:uid="{00000000-0005-0000-0000-0000D01C0000}"/>
    <cellStyle name="20% - Accent5 64" xfId="1009" xr:uid="{00000000-0005-0000-0000-0000D11C0000}"/>
    <cellStyle name="20% - Accent5 64 2" xfId="3965" xr:uid="{00000000-0005-0000-0000-0000D21C0000}"/>
    <cellStyle name="20% - Accent5 64 2 2" xfId="11944" xr:uid="{00000000-0005-0000-0000-0000D31C0000}"/>
    <cellStyle name="20% - Accent5 64 2 2 2" xfId="23232" xr:uid="{00000000-0005-0000-0000-0000D41C0000}"/>
    <cellStyle name="20% - Accent5 64 2 3" xfId="9950" xr:uid="{00000000-0005-0000-0000-0000D51C0000}"/>
    <cellStyle name="20% - Accent5 64 2 3 2" xfId="21238" xr:uid="{00000000-0005-0000-0000-0000D61C0000}"/>
    <cellStyle name="20% - Accent5 64 2 4" xfId="7956" xr:uid="{00000000-0005-0000-0000-0000D71C0000}"/>
    <cellStyle name="20% - Accent5 64 2 4 2" xfId="19244" xr:uid="{00000000-0005-0000-0000-0000D81C0000}"/>
    <cellStyle name="20% - Accent5 64 2 5" xfId="5962" xr:uid="{00000000-0005-0000-0000-0000D91C0000}"/>
    <cellStyle name="20% - Accent5 64 2 5 2" xfId="17250" xr:uid="{00000000-0005-0000-0000-0000DA1C0000}"/>
    <cellStyle name="20% - Accent5 64 2 6" xfId="15256" xr:uid="{00000000-0005-0000-0000-0000DB1C0000}"/>
    <cellStyle name="20% - Accent5 64 3" xfId="10947" xr:uid="{00000000-0005-0000-0000-0000DC1C0000}"/>
    <cellStyle name="20% - Accent5 64 3 2" xfId="22235" xr:uid="{00000000-0005-0000-0000-0000DD1C0000}"/>
    <cellStyle name="20% - Accent5 64 4" xfId="8953" xr:uid="{00000000-0005-0000-0000-0000DE1C0000}"/>
    <cellStyle name="20% - Accent5 64 4 2" xfId="20241" xr:uid="{00000000-0005-0000-0000-0000DF1C0000}"/>
    <cellStyle name="20% - Accent5 64 5" xfId="6959" xr:uid="{00000000-0005-0000-0000-0000E01C0000}"/>
    <cellStyle name="20% - Accent5 64 5 2" xfId="18247" xr:uid="{00000000-0005-0000-0000-0000E11C0000}"/>
    <cellStyle name="20% - Accent5 64 6" xfId="4965" xr:uid="{00000000-0005-0000-0000-0000E21C0000}"/>
    <cellStyle name="20% - Accent5 64 6 2" xfId="16253" xr:uid="{00000000-0005-0000-0000-0000E31C0000}"/>
    <cellStyle name="20% - Accent5 64 7" xfId="14259" xr:uid="{00000000-0005-0000-0000-0000E41C0000}"/>
    <cellStyle name="20% - Accent5 64 8" xfId="12945" xr:uid="{00000000-0005-0000-0000-0000E51C0000}"/>
    <cellStyle name="20% - Accent5 65" xfId="1010" xr:uid="{00000000-0005-0000-0000-0000E61C0000}"/>
    <cellStyle name="20% - Accent5 65 2" xfId="3966" xr:uid="{00000000-0005-0000-0000-0000E71C0000}"/>
    <cellStyle name="20% - Accent5 65 2 2" xfId="11945" xr:uid="{00000000-0005-0000-0000-0000E81C0000}"/>
    <cellStyle name="20% - Accent5 65 2 2 2" xfId="23233" xr:uid="{00000000-0005-0000-0000-0000E91C0000}"/>
    <cellStyle name="20% - Accent5 65 2 3" xfId="9951" xr:uid="{00000000-0005-0000-0000-0000EA1C0000}"/>
    <cellStyle name="20% - Accent5 65 2 3 2" xfId="21239" xr:uid="{00000000-0005-0000-0000-0000EB1C0000}"/>
    <cellStyle name="20% - Accent5 65 2 4" xfId="7957" xr:uid="{00000000-0005-0000-0000-0000EC1C0000}"/>
    <cellStyle name="20% - Accent5 65 2 4 2" xfId="19245" xr:uid="{00000000-0005-0000-0000-0000ED1C0000}"/>
    <cellStyle name="20% - Accent5 65 2 5" xfId="5963" xr:uid="{00000000-0005-0000-0000-0000EE1C0000}"/>
    <cellStyle name="20% - Accent5 65 2 5 2" xfId="17251" xr:uid="{00000000-0005-0000-0000-0000EF1C0000}"/>
    <cellStyle name="20% - Accent5 65 2 6" xfId="15257" xr:uid="{00000000-0005-0000-0000-0000F01C0000}"/>
    <cellStyle name="20% - Accent5 65 3" xfId="10948" xr:uid="{00000000-0005-0000-0000-0000F11C0000}"/>
    <cellStyle name="20% - Accent5 65 3 2" xfId="22236" xr:uid="{00000000-0005-0000-0000-0000F21C0000}"/>
    <cellStyle name="20% - Accent5 65 4" xfId="8954" xr:uid="{00000000-0005-0000-0000-0000F31C0000}"/>
    <cellStyle name="20% - Accent5 65 4 2" xfId="20242" xr:uid="{00000000-0005-0000-0000-0000F41C0000}"/>
    <cellStyle name="20% - Accent5 65 5" xfId="6960" xr:uid="{00000000-0005-0000-0000-0000F51C0000}"/>
    <cellStyle name="20% - Accent5 65 5 2" xfId="18248" xr:uid="{00000000-0005-0000-0000-0000F61C0000}"/>
    <cellStyle name="20% - Accent5 65 6" xfId="4966" xr:uid="{00000000-0005-0000-0000-0000F71C0000}"/>
    <cellStyle name="20% - Accent5 65 6 2" xfId="16254" xr:uid="{00000000-0005-0000-0000-0000F81C0000}"/>
    <cellStyle name="20% - Accent5 65 7" xfId="14260" xr:uid="{00000000-0005-0000-0000-0000F91C0000}"/>
    <cellStyle name="20% - Accent5 65 8" xfId="12946" xr:uid="{00000000-0005-0000-0000-0000FA1C0000}"/>
    <cellStyle name="20% - Accent5 66" xfId="1011" xr:uid="{00000000-0005-0000-0000-0000FB1C0000}"/>
    <cellStyle name="20% - Accent5 66 2" xfId="3967" xr:uid="{00000000-0005-0000-0000-0000FC1C0000}"/>
    <cellStyle name="20% - Accent5 66 2 2" xfId="11946" xr:uid="{00000000-0005-0000-0000-0000FD1C0000}"/>
    <cellStyle name="20% - Accent5 66 2 2 2" xfId="23234" xr:uid="{00000000-0005-0000-0000-0000FE1C0000}"/>
    <cellStyle name="20% - Accent5 66 2 3" xfId="9952" xr:uid="{00000000-0005-0000-0000-0000FF1C0000}"/>
    <cellStyle name="20% - Accent5 66 2 3 2" xfId="21240" xr:uid="{00000000-0005-0000-0000-0000001D0000}"/>
    <cellStyle name="20% - Accent5 66 2 4" xfId="7958" xr:uid="{00000000-0005-0000-0000-0000011D0000}"/>
    <cellStyle name="20% - Accent5 66 2 4 2" xfId="19246" xr:uid="{00000000-0005-0000-0000-0000021D0000}"/>
    <cellStyle name="20% - Accent5 66 2 5" xfId="5964" xr:uid="{00000000-0005-0000-0000-0000031D0000}"/>
    <cellStyle name="20% - Accent5 66 2 5 2" xfId="17252" xr:uid="{00000000-0005-0000-0000-0000041D0000}"/>
    <cellStyle name="20% - Accent5 66 2 6" xfId="15258" xr:uid="{00000000-0005-0000-0000-0000051D0000}"/>
    <cellStyle name="20% - Accent5 66 3" xfId="10949" xr:uid="{00000000-0005-0000-0000-0000061D0000}"/>
    <cellStyle name="20% - Accent5 66 3 2" xfId="22237" xr:uid="{00000000-0005-0000-0000-0000071D0000}"/>
    <cellStyle name="20% - Accent5 66 4" xfId="8955" xr:uid="{00000000-0005-0000-0000-0000081D0000}"/>
    <cellStyle name="20% - Accent5 66 4 2" xfId="20243" xr:uid="{00000000-0005-0000-0000-0000091D0000}"/>
    <cellStyle name="20% - Accent5 66 5" xfId="6961" xr:uid="{00000000-0005-0000-0000-00000A1D0000}"/>
    <cellStyle name="20% - Accent5 66 5 2" xfId="18249" xr:uid="{00000000-0005-0000-0000-00000B1D0000}"/>
    <cellStyle name="20% - Accent5 66 6" xfId="4967" xr:uid="{00000000-0005-0000-0000-00000C1D0000}"/>
    <cellStyle name="20% - Accent5 66 6 2" xfId="16255" xr:uid="{00000000-0005-0000-0000-00000D1D0000}"/>
    <cellStyle name="20% - Accent5 66 7" xfId="14261" xr:uid="{00000000-0005-0000-0000-00000E1D0000}"/>
    <cellStyle name="20% - Accent5 66 8" xfId="12947" xr:uid="{00000000-0005-0000-0000-00000F1D0000}"/>
    <cellStyle name="20% - Accent5 67" xfId="1012" xr:uid="{00000000-0005-0000-0000-0000101D0000}"/>
    <cellStyle name="20% - Accent5 67 2" xfId="3968" xr:uid="{00000000-0005-0000-0000-0000111D0000}"/>
    <cellStyle name="20% - Accent5 67 2 2" xfId="11947" xr:uid="{00000000-0005-0000-0000-0000121D0000}"/>
    <cellStyle name="20% - Accent5 67 2 2 2" xfId="23235" xr:uid="{00000000-0005-0000-0000-0000131D0000}"/>
    <cellStyle name="20% - Accent5 67 2 3" xfId="9953" xr:uid="{00000000-0005-0000-0000-0000141D0000}"/>
    <cellStyle name="20% - Accent5 67 2 3 2" xfId="21241" xr:uid="{00000000-0005-0000-0000-0000151D0000}"/>
    <cellStyle name="20% - Accent5 67 2 4" xfId="7959" xr:uid="{00000000-0005-0000-0000-0000161D0000}"/>
    <cellStyle name="20% - Accent5 67 2 4 2" xfId="19247" xr:uid="{00000000-0005-0000-0000-0000171D0000}"/>
    <cellStyle name="20% - Accent5 67 2 5" xfId="5965" xr:uid="{00000000-0005-0000-0000-0000181D0000}"/>
    <cellStyle name="20% - Accent5 67 2 5 2" xfId="17253" xr:uid="{00000000-0005-0000-0000-0000191D0000}"/>
    <cellStyle name="20% - Accent5 67 2 6" xfId="15259" xr:uid="{00000000-0005-0000-0000-00001A1D0000}"/>
    <cellStyle name="20% - Accent5 67 3" xfId="10950" xr:uid="{00000000-0005-0000-0000-00001B1D0000}"/>
    <cellStyle name="20% - Accent5 67 3 2" xfId="22238" xr:uid="{00000000-0005-0000-0000-00001C1D0000}"/>
    <cellStyle name="20% - Accent5 67 4" xfId="8956" xr:uid="{00000000-0005-0000-0000-00001D1D0000}"/>
    <cellStyle name="20% - Accent5 67 4 2" xfId="20244" xr:uid="{00000000-0005-0000-0000-00001E1D0000}"/>
    <cellStyle name="20% - Accent5 67 5" xfId="6962" xr:uid="{00000000-0005-0000-0000-00001F1D0000}"/>
    <cellStyle name="20% - Accent5 67 5 2" xfId="18250" xr:uid="{00000000-0005-0000-0000-0000201D0000}"/>
    <cellStyle name="20% - Accent5 67 6" xfId="4968" xr:uid="{00000000-0005-0000-0000-0000211D0000}"/>
    <cellStyle name="20% - Accent5 67 6 2" xfId="16256" xr:uid="{00000000-0005-0000-0000-0000221D0000}"/>
    <cellStyle name="20% - Accent5 67 7" xfId="14262" xr:uid="{00000000-0005-0000-0000-0000231D0000}"/>
    <cellStyle name="20% - Accent5 67 8" xfId="12948" xr:uid="{00000000-0005-0000-0000-0000241D0000}"/>
    <cellStyle name="20% - Accent5 68" xfId="1013" xr:uid="{00000000-0005-0000-0000-0000251D0000}"/>
    <cellStyle name="20% - Accent5 68 2" xfId="3969" xr:uid="{00000000-0005-0000-0000-0000261D0000}"/>
    <cellStyle name="20% - Accent5 68 2 2" xfId="11948" xr:uid="{00000000-0005-0000-0000-0000271D0000}"/>
    <cellStyle name="20% - Accent5 68 2 2 2" xfId="23236" xr:uid="{00000000-0005-0000-0000-0000281D0000}"/>
    <cellStyle name="20% - Accent5 68 2 3" xfId="9954" xr:uid="{00000000-0005-0000-0000-0000291D0000}"/>
    <cellStyle name="20% - Accent5 68 2 3 2" xfId="21242" xr:uid="{00000000-0005-0000-0000-00002A1D0000}"/>
    <cellStyle name="20% - Accent5 68 2 4" xfId="7960" xr:uid="{00000000-0005-0000-0000-00002B1D0000}"/>
    <cellStyle name="20% - Accent5 68 2 4 2" xfId="19248" xr:uid="{00000000-0005-0000-0000-00002C1D0000}"/>
    <cellStyle name="20% - Accent5 68 2 5" xfId="5966" xr:uid="{00000000-0005-0000-0000-00002D1D0000}"/>
    <cellStyle name="20% - Accent5 68 2 5 2" xfId="17254" xr:uid="{00000000-0005-0000-0000-00002E1D0000}"/>
    <cellStyle name="20% - Accent5 68 2 6" xfId="15260" xr:uid="{00000000-0005-0000-0000-00002F1D0000}"/>
    <cellStyle name="20% - Accent5 68 3" xfId="10951" xr:uid="{00000000-0005-0000-0000-0000301D0000}"/>
    <cellStyle name="20% - Accent5 68 3 2" xfId="22239" xr:uid="{00000000-0005-0000-0000-0000311D0000}"/>
    <cellStyle name="20% - Accent5 68 4" xfId="8957" xr:uid="{00000000-0005-0000-0000-0000321D0000}"/>
    <cellStyle name="20% - Accent5 68 4 2" xfId="20245" xr:uid="{00000000-0005-0000-0000-0000331D0000}"/>
    <cellStyle name="20% - Accent5 68 5" xfId="6963" xr:uid="{00000000-0005-0000-0000-0000341D0000}"/>
    <cellStyle name="20% - Accent5 68 5 2" xfId="18251" xr:uid="{00000000-0005-0000-0000-0000351D0000}"/>
    <cellStyle name="20% - Accent5 68 6" xfId="4969" xr:uid="{00000000-0005-0000-0000-0000361D0000}"/>
    <cellStyle name="20% - Accent5 68 6 2" xfId="16257" xr:uid="{00000000-0005-0000-0000-0000371D0000}"/>
    <cellStyle name="20% - Accent5 68 7" xfId="14263" xr:uid="{00000000-0005-0000-0000-0000381D0000}"/>
    <cellStyle name="20% - Accent5 68 8" xfId="12949" xr:uid="{00000000-0005-0000-0000-0000391D0000}"/>
    <cellStyle name="20% - Accent5 69" xfId="1014" xr:uid="{00000000-0005-0000-0000-00003A1D0000}"/>
    <cellStyle name="20% - Accent5 69 2" xfId="3970" xr:uid="{00000000-0005-0000-0000-00003B1D0000}"/>
    <cellStyle name="20% - Accent5 69 2 2" xfId="11949" xr:uid="{00000000-0005-0000-0000-00003C1D0000}"/>
    <cellStyle name="20% - Accent5 69 2 2 2" xfId="23237" xr:uid="{00000000-0005-0000-0000-00003D1D0000}"/>
    <cellStyle name="20% - Accent5 69 2 3" xfId="9955" xr:uid="{00000000-0005-0000-0000-00003E1D0000}"/>
    <cellStyle name="20% - Accent5 69 2 3 2" xfId="21243" xr:uid="{00000000-0005-0000-0000-00003F1D0000}"/>
    <cellStyle name="20% - Accent5 69 2 4" xfId="7961" xr:uid="{00000000-0005-0000-0000-0000401D0000}"/>
    <cellStyle name="20% - Accent5 69 2 4 2" xfId="19249" xr:uid="{00000000-0005-0000-0000-0000411D0000}"/>
    <cellStyle name="20% - Accent5 69 2 5" xfId="5967" xr:uid="{00000000-0005-0000-0000-0000421D0000}"/>
    <cellStyle name="20% - Accent5 69 2 5 2" xfId="17255" xr:uid="{00000000-0005-0000-0000-0000431D0000}"/>
    <cellStyle name="20% - Accent5 69 2 6" xfId="15261" xr:uid="{00000000-0005-0000-0000-0000441D0000}"/>
    <cellStyle name="20% - Accent5 69 3" xfId="10952" xr:uid="{00000000-0005-0000-0000-0000451D0000}"/>
    <cellStyle name="20% - Accent5 69 3 2" xfId="22240" xr:uid="{00000000-0005-0000-0000-0000461D0000}"/>
    <cellStyle name="20% - Accent5 69 4" xfId="8958" xr:uid="{00000000-0005-0000-0000-0000471D0000}"/>
    <cellStyle name="20% - Accent5 69 4 2" xfId="20246" xr:uid="{00000000-0005-0000-0000-0000481D0000}"/>
    <cellStyle name="20% - Accent5 69 5" xfId="6964" xr:uid="{00000000-0005-0000-0000-0000491D0000}"/>
    <cellStyle name="20% - Accent5 69 5 2" xfId="18252" xr:uid="{00000000-0005-0000-0000-00004A1D0000}"/>
    <cellStyle name="20% - Accent5 69 6" xfId="4970" xr:uid="{00000000-0005-0000-0000-00004B1D0000}"/>
    <cellStyle name="20% - Accent5 69 6 2" xfId="16258" xr:uid="{00000000-0005-0000-0000-00004C1D0000}"/>
    <cellStyle name="20% - Accent5 69 7" xfId="14264" xr:uid="{00000000-0005-0000-0000-00004D1D0000}"/>
    <cellStyle name="20% - Accent5 69 8" xfId="12950" xr:uid="{00000000-0005-0000-0000-00004E1D0000}"/>
    <cellStyle name="20% - Accent5 7" xfId="1015" xr:uid="{00000000-0005-0000-0000-00004F1D0000}"/>
    <cellStyle name="20% - Accent5 7 10" xfId="24588" xr:uid="{00000000-0005-0000-0000-0000501D0000}"/>
    <cellStyle name="20% - Accent5 7 11" xfId="24978" xr:uid="{00000000-0005-0000-0000-0000511D0000}"/>
    <cellStyle name="20% - Accent5 7 2" xfId="3971" xr:uid="{00000000-0005-0000-0000-0000521D0000}"/>
    <cellStyle name="20% - Accent5 7 2 2" xfId="11950" xr:uid="{00000000-0005-0000-0000-0000531D0000}"/>
    <cellStyle name="20% - Accent5 7 2 2 2" xfId="23238" xr:uid="{00000000-0005-0000-0000-0000541D0000}"/>
    <cellStyle name="20% - Accent5 7 2 3" xfId="9956" xr:uid="{00000000-0005-0000-0000-0000551D0000}"/>
    <cellStyle name="20% - Accent5 7 2 3 2" xfId="21244" xr:uid="{00000000-0005-0000-0000-0000561D0000}"/>
    <cellStyle name="20% - Accent5 7 2 4" xfId="7962" xr:uid="{00000000-0005-0000-0000-0000571D0000}"/>
    <cellStyle name="20% - Accent5 7 2 4 2" xfId="19250" xr:uid="{00000000-0005-0000-0000-0000581D0000}"/>
    <cellStyle name="20% - Accent5 7 2 5" xfId="5968" xr:uid="{00000000-0005-0000-0000-0000591D0000}"/>
    <cellStyle name="20% - Accent5 7 2 5 2" xfId="17256" xr:uid="{00000000-0005-0000-0000-00005A1D0000}"/>
    <cellStyle name="20% - Accent5 7 2 6" xfId="15262" xr:uid="{00000000-0005-0000-0000-00005B1D0000}"/>
    <cellStyle name="20% - Accent5 7 2 7" xfId="24349" xr:uid="{00000000-0005-0000-0000-00005C1D0000}"/>
    <cellStyle name="20% - Accent5 7 2 8" xfId="24813" xr:uid="{00000000-0005-0000-0000-00005D1D0000}"/>
    <cellStyle name="20% - Accent5 7 2 9" xfId="25180" xr:uid="{00000000-0005-0000-0000-00005E1D0000}"/>
    <cellStyle name="20% - Accent5 7 3" xfId="10953" xr:uid="{00000000-0005-0000-0000-00005F1D0000}"/>
    <cellStyle name="20% - Accent5 7 3 2" xfId="22241" xr:uid="{00000000-0005-0000-0000-0000601D0000}"/>
    <cellStyle name="20% - Accent5 7 4" xfId="8959" xr:uid="{00000000-0005-0000-0000-0000611D0000}"/>
    <cellStyle name="20% - Accent5 7 4 2" xfId="20247" xr:uid="{00000000-0005-0000-0000-0000621D0000}"/>
    <cellStyle name="20% - Accent5 7 5" xfId="6965" xr:uid="{00000000-0005-0000-0000-0000631D0000}"/>
    <cellStyle name="20% - Accent5 7 5 2" xfId="18253" xr:uid="{00000000-0005-0000-0000-0000641D0000}"/>
    <cellStyle name="20% - Accent5 7 6" xfId="4971" xr:uid="{00000000-0005-0000-0000-0000651D0000}"/>
    <cellStyle name="20% - Accent5 7 6 2" xfId="16259" xr:uid="{00000000-0005-0000-0000-0000661D0000}"/>
    <cellStyle name="20% - Accent5 7 7" xfId="14265" xr:uid="{00000000-0005-0000-0000-0000671D0000}"/>
    <cellStyle name="20% - Accent5 7 8" xfId="12951" xr:uid="{00000000-0005-0000-0000-0000681D0000}"/>
    <cellStyle name="20% - Accent5 7 9" xfId="23961" xr:uid="{00000000-0005-0000-0000-0000691D0000}"/>
    <cellStyle name="20% - Accent5 70" xfId="1016" xr:uid="{00000000-0005-0000-0000-00006A1D0000}"/>
    <cellStyle name="20% - Accent5 70 2" xfId="3972" xr:uid="{00000000-0005-0000-0000-00006B1D0000}"/>
    <cellStyle name="20% - Accent5 70 2 2" xfId="11951" xr:uid="{00000000-0005-0000-0000-00006C1D0000}"/>
    <cellStyle name="20% - Accent5 70 2 2 2" xfId="23239" xr:uid="{00000000-0005-0000-0000-00006D1D0000}"/>
    <cellStyle name="20% - Accent5 70 2 3" xfId="9957" xr:uid="{00000000-0005-0000-0000-00006E1D0000}"/>
    <cellStyle name="20% - Accent5 70 2 3 2" xfId="21245" xr:uid="{00000000-0005-0000-0000-00006F1D0000}"/>
    <cellStyle name="20% - Accent5 70 2 4" xfId="7963" xr:uid="{00000000-0005-0000-0000-0000701D0000}"/>
    <cellStyle name="20% - Accent5 70 2 4 2" xfId="19251" xr:uid="{00000000-0005-0000-0000-0000711D0000}"/>
    <cellStyle name="20% - Accent5 70 2 5" xfId="5969" xr:uid="{00000000-0005-0000-0000-0000721D0000}"/>
    <cellStyle name="20% - Accent5 70 2 5 2" xfId="17257" xr:uid="{00000000-0005-0000-0000-0000731D0000}"/>
    <cellStyle name="20% - Accent5 70 2 6" xfId="15263" xr:uid="{00000000-0005-0000-0000-0000741D0000}"/>
    <cellStyle name="20% - Accent5 70 3" xfId="10954" xr:uid="{00000000-0005-0000-0000-0000751D0000}"/>
    <cellStyle name="20% - Accent5 70 3 2" xfId="22242" xr:uid="{00000000-0005-0000-0000-0000761D0000}"/>
    <cellStyle name="20% - Accent5 70 4" xfId="8960" xr:uid="{00000000-0005-0000-0000-0000771D0000}"/>
    <cellStyle name="20% - Accent5 70 4 2" xfId="20248" xr:uid="{00000000-0005-0000-0000-0000781D0000}"/>
    <cellStyle name="20% - Accent5 70 5" xfId="6966" xr:uid="{00000000-0005-0000-0000-0000791D0000}"/>
    <cellStyle name="20% - Accent5 70 5 2" xfId="18254" xr:uid="{00000000-0005-0000-0000-00007A1D0000}"/>
    <cellStyle name="20% - Accent5 70 6" xfId="4972" xr:uid="{00000000-0005-0000-0000-00007B1D0000}"/>
    <cellStyle name="20% - Accent5 70 6 2" xfId="16260" xr:uid="{00000000-0005-0000-0000-00007C1D0000}"/>
    <cellStyle name="20% - Accent5 70 7" xfId="14266" xr:uid="{00000000-0005-0000-0000-00007D1D0000}"/>
    <cellStyle name="20% - Accent5 70 8" xfId="12952" xr:uid="{00000000-0005-0000-0000-00007E1D0000}"/>
    <cellStyle name="20% - Accent5 71" xfId="1017" xr:uid="{00000000-0005-0000-0000-00007F1D0000}"/>
    <cellStyle name="20% - Accent5 71 2" xfId="3973" xr:uid="{00000000-0005-0000-0000-0000801D0000}"/>
    <cellStyle name="20% - Accent5 71 2 2" xfId="11952" xr:uid="{00000000-0005-0000-0000-0000811D0000}"/>
    <cellStyle name="20% - Accent5 71 2 2 2" xfId="23240" xr:uid="{00000000-0005-0000-0000-0000821D0000}"/>
    <cellStyle name="20% - Accent5 71 2 3" xfId="9958" xr:uid="{00000000-0005-0000-0000-0000831D0000}"/>
    <cellStyle name="20% - Accent5 71 2 3 2" xfId="21246" xr:uid="{00000000-0005-0000-0000-0000841D0000}"/>
    <cellStyle name="20% - Accent5 71 2 4" xfId="7964" xr:uid="{00000000-0005-0000-0000-0000851D0000}"/>
    <cellStyle name="20% - Accent5 71 2 4 2" xfId="19252" xr:uid="{00000000-0005-0000-0000-0000861D0000}"/>
    <cellStyle name="20% - Accent5 71 2 5" xfId="5970" xr:uid="{00000000-0005-0000-0000-0000871D0000}"/>
    <cellStyle name="20% - Accent5 71 2 5 2" xfId="17258" xr:uid="{00000000-0005-0000-0000-0000881D0000}"/>
    <cellStyle name="20% - Accent5 71 2 6" xfId="15264" xr:uid="{00000000-0005-0000-0000-0000891D0000}"/>
    <cellStyle name="20% - Accent5 71 3" xfId="10955" xr:uid="{00000000-0005-0000-0000-00008A1D0000}"/>
    <cellStyle name="20% - Accent5 71 3 2" xfId="22243" xr:uid="{00000000-0005-0000-0000-00008B1D0000}"/>
    <cellStyle name="20% - Accent5 71 4" xfId="8961" xr:uid="{00000000-0005-0000-0000-00008C1D0000}"/>
    <cellStyle name="20% - Accent5 71 4 2" xfId="20249" xr:uid="{00000000-0005-0000-0000-00008D1D0000}"/>
    <cellStyle name="20% - Accent5 71 5" xfId="6967" xr:uid="{00000000-0005-0000-0000-00008E1D0000}"/>
    <cellStyle name="20% - Accent5 71 5 2" xfId="18255" xr:uid="{00000000-0005-0000-0000-00008F1D0000}"/>
    <cellStyle name="20% - Accent5 71 6" xfId="4973" xr:uid="{00000000-0005-0000-0000-0000901D0000}"/>
    <cellStyle name="20% - Accent5 71 6 2" xfId="16261" xr:uid="{00000000-0005-0000-0000-0000911D0000}"/>
    <cellStyle name="20% - Accent5 71 7" xfId="14267" xr:uid="{00000000-0005-0000-0000-0000921D0000}"/>
    <cellStyle name="20% - Accent5 71 8" xfId="12953" xr:uid="{00000000-0005-0000-0000-0000931D0000}"/>
    <cellStyle name="20% - Accent5 72" xfId="1018" xr:uid="{00000000-0005-0000-0000-0000941D0000}"/>
    <cellStyle name="20% - Accent5 72 2" xfId="3974" xr:uid="{00000000-0005-0000-0000-0000951D0000}"/>
    <cellStyle name="20% - Accent5 72 2 2" xfId="11953" xr:uid="{00000000-0005-0000-0000-0000961D0000}"/>
    <cellStyle name="20% - Accent5 72 2 2 2" xfId="23241" xr:uid="{00000000-0005-0000-0000-0000971D0000}"/>
    <cellStyle name="20% - Accent5 72 2 3" xfId="9959" xr:uid="{00000000-0005-0000-0000-0000981D0000}"/>
    <cellStyle name="20% - Accent5 72 2 3 2" xfId="21247" xr:uid="{00000000-0005-0000-0000-0000991D0000}"/>
    <cellStyle name="20% - Accent5 72 2 4" xfId="7965" xr:uid="{00000000-0005-0000-0000-00009A1D0000}"/>
    <cellStyle name="20% - Accent5 72 2 4 2" xfId="19253" xr:uid="{00000000-0005-0000-0000-00009B1D0000}"/>
    <cellStyle name="20% - Accent5 72 2 5" xfId="5971" xr:uid="{00000000-0005-0000-0000-00009C1D0000}"/>
    <cellStyle name="20% - Accent5 72 2 5 2" xfId="17259" xr:uid="{00000000-0005-0000-0000-00009D1D0000}"/>
    <cellStyle name="20% - Accent5 72 2 6" xfId="15265" xr:uid="{00000000-0005-0000-0000-00009E1D0000}"/>
    <cellStyle name="20% - Accent5 72 3" xfId="10956" xr:uid="{00000000-0005-0000-0000-00009F1D0000}"/>
    <cellStyle name="20% - Accent5 72 3 2" xfId="22244" xr:uid="{00000000-0005-0000-0000-0000A01D0000}"/>
    <cellStyle name="20% - Accent5 72 4" xfId="8962" xr:uid="{00000000-0005-0000-0000-0000A11D0000}"/>
    <cellStyle name="20% - Accent5 72 4 2" xfId="20250" xr:uid="{00000000-0005-0000-0000-0000A21D0000}"/>
    <cellStyle name="20% - Accent5 72 5" xfId="6968" xr:uid="{00000000-0005-0000-0000-0000A31D0000}"/>
    <cellStyle name="20% - Accent5 72 5 2" xfId="18256" xr:uid="{00000000-0005-0000-0000-0000A41D0000}"/>
    <cellStyle name="20% - Accent5 72 6" xfId="4974" xr:uid="{00000000-0005-0000-0000-0000A51D0000}"/>
    <cellStyle name="20% - Accent5 72 6 2" xfId="16262" xr:uid="{00000000-0005-0000-0000-0000A61D0000}"/>
    <cellStyle name="20% - Accent5 72 7" xfId="14268" xr:uid="{00000000-0005-0000-0000-0000A71D0000}"/>
    <cellStyle name="20% - Accent5 72 8" xfId="12954" xr:uid="{00000000-0005-0000-0000-0000A81D0000}"/>
    <cellStyle name="20% - Accent5 8" xfId="1019" xr:uid="{00000000-0005-0000-0000-0000A91D0000}"/>
    <cellStyle name="20% - Accent5 8 2" xfId="3975" xr:uid="{00000000-0005-0000-0000-0000AA1D0000}"/>
    <cellStyle name="20% - Accent5 8 2 2" xfId="11954" xr:uid="{00000000-0005-0000-0000-0000AB1D0000}"/>
    <cellStyle name="20% - Accent5 8 2 2 2" xfId="23242" xr:uid="{00000000-0005-0000-0000-0000AC1D0000}"/>
    <cellStyle name="20% - Accent5 8 2 3" xfId="9960" xr:uid="{00000000-0005-0000-0000-0000AD1D0000}"/>
    <cellStyle name="20% - Accent5 8 2 3 2" xfId="21248" xr:uid="{00000000-0005-0000-0000-0000AE1D0000}"/>
    <cellStyle name="20% - Accent5 8 2 4" xfId="7966" xr:uid="{00000000-0005-0000-0000-0000AF1D0000}"/>
    <cellStyle name="20% - Accent5 8 2 4 2" xfId="19254" xr:uid="{00000000-0005-0000-0000-0000B01D0000}"/>
    <cellStyle name="20% - Accent5 8 2 5" xfId="5972" xr:uid="{00000000-0005-0000-0000-0000B11D0000}"/>
    <cellStyle name="20% - Accent5 8 2 5 2" xfId="17260" xr:uid="{00000000-0005-0000-0000-0000B21D0000}"/>
    <cellStyle name="20% - Accent5 8 2 6" xfId="15266" xr:uid="{00000000-0005-0000-0000-0000B31D0000}"/>
    <cellStyle name="20% - Accent5 8 3" xfId="10957" xr:uid="{00000000-0005-0000-0000-0000B41D0000}"/>
    <cellStyle name="20% - Accent5 8 3 2" xfId="22245" xr:uid="{00000000-0005-0000-0000-0000B51D0000}"/>
    <cellStyle name="20% - Accent5 8 4" xfId="8963" xr:uid="{00000000-0005-0000-0000-0000B61D0000}"/>
    <cellStyle name="20% - Accent5 8 4 2" xfId="20251" xr:uid="{00000000-0005-0000-0000-0000B71D0000}"/>
    <cellStyle name="20% - Accent5 8 5" xfId="6969" xr:uid="{00000000-0005-0000-0000-0000B81D0000}"/>
    <cellStyle name="20% - Accent5 8 5 2" xfId="18257" xr:uid="{00000000-0005-0000-0000-0000B91D0000}"/>
    <cellStyle name="20% - Accent5 8 6" xfId="4975" xr:uid="{00000000-0005-0000-0000-0000BA1D0000}"/>
    <cellStyle name="20% - Accent5 8 6 2" xfId="16263" xr:uid="{00000000-0005-0000-0000-0000BB1D0000}"/>
    <cellStyle name="20% - Accent5 8 7" xfId="14269" xr:uid="{00000000-0005-0000-0000-0000BC1D0000}"/>
    <cellStyle name="20% - Accent5 8 8" xfId="12955" xr:uid="{00000000-0005-0000-0000-0000BD1D0000}"/>
    <cellStyle name="20% - Accent5 9" xfId="1020" xr:uid="{00000000-0005-0000-0000-0000BE1D0000}"/>
    <cellStyle name="20% - Accent5 9 2" xfId="3976" xr:uid="{00000000-0005-0000-0000-0000BF1D0000}"/>
    <cellStyle name="20% - Accent5 9 2 2" xfId="11955" xr:uid="{00000000-0005-0000-0000-0000C01D0000}"/>
    <cellStyle name="20% - Accent5 9 2 2 2" xfId="23243" xr:uid="{00000000-0005-0000-0000-0000C11D0000}"/>
    <cellStyle name="20% - Accent5 9 2 3" xfId="9961" xr:uid="{00000000-0005-0000-0000-0000C21D0000}"/>
    <cellStyle name="20% - Accent5 9 2 3 2" xfId="21249" xr:uid="{00000000-0005-0000-0000-0000C31D0000}"/>
    <cellStyle name="20% - Accent5 9 2 4" xfId="7967" xr:uid="{00000000-0005-0000-0000-0000C41D0000}"/>
    <cellStyle name="20% - Accent5 9 2 4 2" xfId="19255" xr:uid="{00000000-0005-0000-0000-0000C51D0000}"/>
    <cellStyle name="20% - Accent5 9 2 5" xfId="5973" xr:uid="{00000000-0005-0000-0000-0000C61D0000}"/>
    <cellStyle name="20% - Accent5 9 2 5 2" xfId="17261" xr:uid="{00000000-0005-0000-0000-0000C71D0000}"/>
    <cellStyle name="20% - Accent5 9 2 6" xfId="15267" xr:uid="{00000000-0005-0000-0000-0000C81D0000}"/>
    <cellStyle name="20% - Accent5 9 3" xfId="10958" xr:uid="{00000000-0005-0000-0000-0000C91D0000}"/>
    <cellStyle name="20% - Accent5 9 3 2" xfId="22246" xr:uid="{00000000-0005-0000-0000-0000CA1D0000}"/>
    <cellStyle name="20% - Accent5 9 4" xfId="8964" xr:uid="{00000000-0005-0000-0000-0000CB1D0000}"/>
    <cellStyle name="20% - Accent5 9 4 2" xfId="20252" xr:uid="{00000000-0005-0000-0000-0000CC1D0000}"/>
    <cellStyle name="20% - Accent5 9 5" xfId="6970" xr:uid="{00000000-0005-0000-0000-0000CD1D0000}"/>
    <cellStyle name="20% - Accent5 9 5 2" xfId="18258" xr:uid="{00000000-0005-0000-0000-0000CE1D0000}"/>
    <cellStyle name="20% - Accent5 9 6" xfId="4976" xr:uid="{00000000-0005-0000-0000-0000CF1D0000}"/>
    <cellStyle name="20% - Accent5 9 6 2" xfId="16264" xr:uid="{00000000-0005-0000-0000-0000D01D0000}"/>
    <cellStyle name="20% - Accent5 9 7" xfId="14270" xr:uid="{00000000-0005-0000-0000-0000D11D0000}"/>
    <cellStyle name="20% - Accent5 9 8" xfId="12956" xr:uid="{00000000-0005-0000-0000-0000D21D0000}"/>
    <cellStyle name="20% - Accent6 10" xfId="1021" xr:uid="{00000000-0005-0000-0000-0000D31D0000}"/>
    <cellStyle name="20% - Accent6 10 2" xfId="3977" xr:uid="{00000000-0005-0000-0000-0000D41D0000}"/>
    <cellStyle name="20% - Accent6 10 2 2" xfId="11956" xr:uid="{00000000-0005-0000-0000-0000D51D0000}"/>
    <cellStyle name="20% - Accent6 10 2 2 2" xfId="23244" xr:uid="{00000000-0005-0000-0000-0000D61D0000}"/>
    <cellStyle name="20% - Accent6 10 2 3" xfId="9962" xr:uid="{00000000-0005-0000-0000-0000D71D0000}"/>
    <cellStyle name="20% - Accent6 10 2 3 2" xfId="21250" xr:uid="{00000000-0005-0000-0000-0000D81D0000}"/>
    <cellStyle name="20% - Accent6 10 2 4" xfId="7968" xr:uid="{00000000-0005-0000-0000-0000D91D0000}"/>
    <cellStyle name="20% - Accent6 10 2 4 2" xfId="19256" xr:uid="{00000000-0005-0000-0000-0000DA1D0000}"/>
    <cellStyle name="20% - Accent6 10 2 5" xfId="5974" xr:uid="{00000000-0005-0000-0000-0000DB1D0000}"/>
    <cellStyle name="20% - Accent6 10 2 5 2" xfId="17262" xr:uid="{00000000-0005-0000-0000-0000DC1D0000}"/>
    <cellStyle name="20% - Accent6 10 2 6" xfId="15268" xr:uid="{00000000-0005-0000-0000-0000DD1D0000}"/>
    <cellStyle name="20% - Accent6 10 3" xfId="10959" xr:uid="{00000000-0005-0000-0000-0000DE1D0000}"/>
    <cellStyle name="20% - Accent6 10 3 2" xfId="22247" xr:uid="{00000000-0005-0000-0000-0000DF1D0000}"/>
    <cellStyle name="20% - Accent6 10 4" xfId="8965" xr:uid="{00000000-0005-0000-0000-0000E01D0000}"/>
    <cellStyle name="20% - Accent6 10 4 2" xfId="20253" xr:uid="{00000000-0005-0000-0000-0000E11D0000}"/>
    <cellStyle name="20% - Accent6 10 5" xfId="6971" xr:uid="{00000000-0005-0000-0000-0000E21D0000}"/>
    <cellStyle name="20% - Accent6 10 5 2" xfId="18259" xr:uid="{00000000-0005-0000-0000-0000E31D0000}"/>
    <cellStyle name="20% - Accent6 10 6" xfId="4977" xr:uid="{00000000-0005-0000-0000-0000E41D0000}"/>
    <cellStyle name="20% - Accent6 10 6 2" xfId="16265" xr:uid="{00000000-0005-0000-0000-0000E51D0000}"/>
    <cellStyle name="20% - Accent6 10 7" xfId="14271" xr:uid="{00000000-0005-0000-0000-0000E61D0000}"/>
    <cellStyle name="20% - Accent6 10 8" xfId="12957" xr:uid="{00000000-0005-0000-0000-0000E71D0000}"/>
    <cellStyle name="20% - Accent6 11" xfId="1022" xr:uid="{00000000-0005-0000-0000-0000E81D0000}"/>
    <cellStyle name="20% - Accent6 11 2" xfId="3978" xr:uid="{00000000-0005-0000-0000-0000E91D0000}"/>
    <cellStyle name="20% - Accent6 11 2 2" xfId="11957" xr:uid="{00000000-0005-0000-0000-0000EA1D0000}"/>
    <cellStyle name="20% - Accent6 11 2 2 2" xfId="23245" xr:uid="{00000000-0005-0000-0000-0000EB1D0000}"/>
    <cellStyle name="20% - Accent6 11 2 3" xfId="9963" xr:uid="{00000000-0005-0000-0000-0000EC1D0000}"/>
    <cellStyle name="20% - Accent6 11 2 3 2" xfId="21251" xr:uid="{00000000-0005-0000-0000-0000ED1D0000}"/>
    <cellStyle name="20% - Accent6 11 2 4" xfId="7969" xr:uid="{00000000-0005-0000-0000-0000EE1D0000}"/>
    <cellStyle name="20% - Accent6 11 2 4 2" xfId="19257" xr:uid="{00000000-0005-0000-0000-0000EF1D0000}"/>
    <cellStyle name="20% - Accent6 11 2 5" xfId="5975" xr:uid="{00000000-0005-0000-0000-0000F01D0000}"/>
    <cellStyle name="20% - Accent6 11 2 5 2" xfId="17263" xr:uid="{00000000-0005-0000-0000-0000F11D0000}"/>
    <cellStyle name="20% - Accent6 11 2 6" xfId="15269" xr:uid="{00000000-0005-0000-0000-0000F21D0000}"/>
    <cellStyle name="20% - Accent6 11 3" xfId="10960" xr:uid="{00000000-0005-0000-0000-0000F31D0000}"/>
    <cellStyle name="20% - Accent6 11 3 2" xfId="22248" xr:uid="{00000000-0005-0000-0000-0000F41D0000}"/>
    <cellStyle name="20% - Accent6 11 4" xfId="8966" xr:uid="{00000000-0005-0000-0000-0000F51D0000}"/>
    <cellStyle name="20% - Accent6 11 4 2" xfId="20254" xr:uid="{00000000-0005-0000-0000-0000F61D0000}"/>
    <cellStyle name="20% - Accent6 11 5" xfId="6972" xr:uid="{00000000-0005-0000-0000-0000F71D0000}"/>
    <cellStyle name="20% - Accent6 11 5 2" xfId="18260" xr:uid="{00000000-0005-0000-0000-0000F81D0000}"/>
    <cellStyle name="20% - Accent6 11 6" xfId="4978" xr:uid="{00000000-0005-0000-0000-0000F91D0000}"/>
    <cellStyle name="20% - Accent6 11 6 2" xfId="16266" xr:uid="{00000000-0005-0000-0000-0000FA1D0000}"/>
    <cellStyle name="20% - Accent6 11 7" xfId="14272" xr:uid="{00000000-0005-0000-0000-0000FB1D0000}"/>
    <cellStyle name="20% - Accent6 11 8" xfId="12958" xr:uid="{00000000-0005-0000-0000-0000FC1D0000}"/>
    <cellStyle name="20% - Accent6 12" xfId="1023" xr:uid="{00000000-0005-0000-0000-0000FD1D0000}"/>
    <cellStyle name="20% - Accent6 12 2" xfId="3979" xr:uid="{00000000-0005-0000-0000-0000FE1D0000}"/>
    <cellStyle name="20% - Accent6 12 2 2" xfId="11958" xr:uid="{00000000-0005-0000-0000-0000FF1D0000}"/>
    <cellStyle name="20% - Accent6 12 2 2 2" xfId="23246" xr:uid="{00000000-0005-0000-0000-0000001E0000}"/>
    <cellStyle name="20% - Accent6 12 2 3" xfId="9964" xr:uid="{00000000-0005-0000-0000-0000011E0000}"/>
    <cellStyle name="20% - Accent6 12 2 3 2" xfId="21252" xr:uid="{00000000-0005-0000-0000-0000021E0000}"/>
    <cellStyle name="20% - Accent6 12 2 4" xfId="7970" xr:uid="{00000000-0005-0000-0000-0000031E0000}"/>
    <cellStyle name="20% - Accent6 12 2 4 2" xfId="19258" xr:uid="{00000000-0005-0000-0000-0000041E0000}"/>
    <cellStyle name="20% - Accent6 12 2 5" xfId="5976" xr:uid="{00000000-0005-0000-0000-0000051E0000}"/>
    <cellStyle name="20% - Accent6 12 2 5 2" xfId="17264" xr:uid="{00000000-0005-0000-0000-0000061E0000}"/>
    <cellStyle name="20% - Accent6 12 2 6" xfId="15270" xr:uid="{00000000-0005-0000-0000-0000071E0000}"/>
    <cellStyle name="20% - Accent6 12 3" xfId="10961" xr:uid="{00000000-0005-0000-0000-0000081E0000}"/>
    <cellStyle name="20% - Accent6 12 3 2" xfId="22249" xr:uid="{00000000-0005-0000-0000-0000091E0000}"/>
    <cellStyle name="20% - Accent6 12 4" xfId="8967" xr:uid="{00000000-0005-0000-0000-00000A1E0000}"/>
    <cellStyle name="20% - Accent6 12 4 2" xfId="20255" xr:uid="{00000000-0005-0000-0000-00000B1E0000}"/>
    <cellStyle name="20% - Accent6 12 5" xfId="6973" xr:uid="{00000000-0005-0000-0000-00000C1E0000}"/>
    <cellStyle name="20% - Accent6 12 5 2" xfId="18261" xr:uid="{00000000-0005-0000-0000-00000D1E0000}"/>
    <cellStyle name="20% - Accent6 12 6" xfId="4979" xr:uid="{00000000-0005-0000-0000-00000E1E0000}"/>
    <cellStyle name="20% - Accent6 12 6 2" xfId="16267" xr:uid="{00000000-0005-0000-0000-00000F1E0000}"/>
    <cellStyle name="20% - Accent6 12 7" xfId="14273" xr:uid="{00000000-0005-0000-0000-0000101E0000}"/>
    <cellStyle name="20% - Accent6 12 8" xfId="12959" xr:uid="{00000000-0005-0000-0000-0000111E0000}"/>
    <cellStyle name="20% - Accent6 13" xfId="1024" xr:uid="{00000000-0005-0000-0000-0000121E0000}"/>
    <cellStyle name="20% - Accent6 13 2" xfId="3980" xr:uid="{00000000-0005-0000-0000-0000131E0000}"/>
    <cellStyle name="20% - Accent6 13 2 2" xfId="11959" xr:uid="{00000000-0005-0000-0000-0000141E0000}"/>
    <cellStyle name="20% - Accent6 13 2 2 2" xfId="23247" xr:uid="{00000000-0005-0000-0000-0000151E0000}"/>
    <cellStyle name="20% - Accent6 13 2 3" xfId="9965" xr:uid="{00000000-0005-0000-0000-0000161E0000}"/>
    <cellStyle name="20% - Accent6 13 2 3 2" xfId="21253" xr:uid="{00000000-0005-0000-0000-0000171E0000}"/>
    <cellStyle name="20% - Accent6 13 2 4" xfId="7971" xr:uid="{00000000-0005-0000-0000-0000181E0000}"/>
    <cellStyle name="20% - Accent6 13 2 4 2" xfId="19259" xr:uid="{00000000-0005-0000-0000-0000191E0000}"/>
    <cellStyle name="20% - Accent6 13 2 5" xfId="5977" xr:uid="{00000000-0005-0000-0000-00001A1E0000}"/>
    <cellStyle name="20% - Accent6 13 2 5 2" xfId="17265" xr:uid="{00000000-0005-0000-0000-00001B1E0000}"/>
    <cellStyle name="20% - Accent6 13 2 6" xfId="15271" xr:uid="{00000000-0005-0000-0000-00001C1E0000}"/>
    <cellStyle name="20% - Accent6 13 3" xfId="10962" xr:uid="{00000000-0005-0000-0000-00001D1E0000}"/>
    <cellStyle name="20% - Accent6 13 3 2" xfId="22250" xr:uid="{00000000-0005-0000-0000-00001E1E0000}"/>
    <cellStyle name="20% - Accent6 13 4" xfId="8968" xr:uid="{00000000-0005-0000-0000-00001F1E0000}"/>
    <cellStyle name="20% - Accent6 13 4 2" xfId="20256" xr:uid="{00000000-0005-0000-0000-0000201E0000}"/>
    <cellStyle name="20% - Accent6 13 5" xfId="6974" xr:uid="{00000000-0005-0000-0000-0000211E0000}"/>
    <cellStyle name="20% - Accent6 13 5 2" xfId="18262" xr:uid="{00000000-0005-0000-0000-0000221E0000}"/>
    <cellStyle name="20% - Accent6 13 6" xfId="4980" xr:uid="{00000000-0005-0000-0000-0000231E0000}"/>
    <cellStyle name="20% - Accent6 13 6 2" xfId="16268" xr:uid="{00000000-0005-0000-0000-0000241E0000}"/>
    <cellStyle name="20% - Accent6 13 7" xfId="14274" xr:uid="{00000000-0005-0000-0000-0000251E0000}"/>
    <cellStyle name="20% - Accent6 13 8" xfId="12960" xr:uid="{00000000-0005-0000-0000-0000261E0000}"/>
    <cellStyle name="20% - Accent6 14" xfId="1025" xr:uid="{00000000-0005-0000-0000-0000271E0000}"/>
    <cellStyle name="20% - Accent6 14 2" xfId="3981" xr:uid="{00000000-0005-0000-0000-0000281E0000}"/>
    <cellStyle name="20% - Accent6 14 2 2" xfId="11960" xr:uid="{00000000-0005-0000-0000-0000291E0000}"/>
    <cellStyle name="20% - Accent6 14 2 2 2" xfId="23248" xr:uid="{00000000-0005-0000-0000-00002A1E0000}"/>
    <cellStyle name="20% - Accent6 14 2 3" xfId="9966" xr:uid="{00000000-0005-0000-0000-00002B1E0000}"/>
    <cellStyle name="20% - Accent6 14 2 3 2" xfId="21254" xr:uid="{00000000-0005-0000-0000-00002C1E0000}"/>
    <cellStyle name="20% - Accent6 14 2 4" xfId="7972" xr:uid="{00000000-0005-0000-0000-00002D1E0000}"/>
    <cellStyle name="20% - Accent6 14 2 4 2" xfId="19260" xr:uid="{00000000-0005-0000-0000-00002E1E0000}"/>
    <cellStyle name="20% - Accent6 14 2 5" xfId="5978" xr:uid="{00000000-0005-0000-0000-00002F1E0000}"/>
    <cellStyle name="20% - Accent6 14 2 5 2" xfId="17266" xr:uid="{00000000-0005-0000-0000-0000301E0000}"/>
    <cellStyle name="20% - Accent6 14 2 6" xfId="15272" xr:uid="{00000000-0005-0000-0000-0000311E0000}"/>
    <cellStyle name="20% - Accent6 14 3" xfId="10963" xr:uid="{00000000-0005-0000-0000-0000321E0000}"/>
    <cellStyle name="20% - Accent6 14 3 2" xfId="22251" xr:uid="{00000000-0005-0000-0000-0000331E0000}"/>
    <cellStyle name="20% - Accent6 14 4" xfId="8969" xr:uid="{00000000-0005-0000-0000-0000341E0000}"/>
    <cellStyle name="20% - Accent6 14 4 2" xfId="20257" xr:uid="{00000000-0005-0000-0000-0000351E0000}"/>
    <cellStyle name="20% - Accent6 14 5" xfId="6975" xr:uid="{00000000-0005-0000-0000-0000361E0000}"/>
    <cellStyle name="20% - Accent6 14 5 2" xfId="18263" xr:uid="{00000000-0005-0000-0000-0000371E0000}"/>
    <cellStyle name="20% - Accent6 14 6" xfId="4981" xr:uid="{00000000-0005-0000-0000-0000381E0000}"/>
    <cellStyle name="20% - Accent6 14 6 2" xfId="16269" xr:uid="{00000000-0005-0000-0000-0000391E0000}"/>
    <cellStyle name="20% - Accent6 14 7" xfId="14275" xr:uid="{00000000-0005-0000-0000-00003A1E0000}"/>
    <cellStyle name="20% - Accent6 14 8" xfId="12961" xr:uid="{00000000-0005-0000-0000-00003B1E0000}"/>
    <cellStyle name="20% - Accent6 15" xfId="1026" xr:uid="{00000000-0005-0000-0000-00003C1E0000}"/>
    <cellStyle name="20% - Accent6 15 2" xfId="3982" xr:uid="{00000000-0005-0000-0000-00003D1E0000}"/>
    <cellStyle name="20% - Accent6 15 2 2" xfId="11961" xr:uid="{00000000-0005-0000-0000-00003E1E0000}"/>
    <cellStyle name="20% - Accent6 15 2 2 2" xfId="23249" xr:uid="{00000000-0005-0000-0000-00003F1E0000}"/>
    <cellStyle name="20% - Accent6 15 2 3" xfId="9967" xr:uid="{00000000-0005-0000-0000-0000401E0000}"/>
    <cellStyle name="20% - Accent6 15 2 3 2" xfId="21255" xr:uid="{00000000-0005-0000-0000-0000411E0000}"/>
    <cellStyle name="20% - Accent6 15 2 4" xfId="7973" xr:uid="{00000000-0005-0000-0000-0000421E0000}"/>
    <cellStyle name="20% - Accent6 15 2 4 2" xfId="19261" xr:uid="{00000000-0005-0000-0000-0000431E0000}"/>
    <cellStyle name="20% - Accent6 15 2 5" xfId="5979" xr:uid="{00000000-0005-0000-0000-0000441E0000}"/>
    <cellStyle name="20% - Accent6 15 2 5 2" xfId="17267" xr:uid="{00000000-0005-0000-0000-0000451E0000}"/>
    <cellStyle name="20% - Accent6 15 2 6" xfId="15273" xr:uid="{00000000-0005-0000-0000-0000461E0000}"/>
    <cellStyle name="20% - Accent6 15 3" xfId="10964" xr:uid="{00000000-0005-0000-0000-0000471E0000}"/>
    <cellStyle name="20% - Accent6 15 3 2" xfId="22252" xr:uid="{00000000-0005-0000-0000-0000481E0000}"/>
    <cellStyle name="20% - Accent6 15 4" xfId="8970" xr:uid="{00000000-0005-0000-0000-0000491E0000}"/>
    <cellStyle name="20% - Accent6 15 4 2" xfId="20258" xr:uid="{00000000-0005-0000-0000-00004A1E0000}"/>
    <cellStyle name="20% - Accent6 15 5" xfId="6976" xr:uid="{00000000-0005-0000-0000-00004B1E0000}"/>
    <cellStyle name="20% - Accent6 15 5 2" xfId="18264" xr:uid="{00000000-0005-0000-0000-00004C1E0000}"/>
    <cellStyle name="20% - Accent6 15 6" xfId="4982" xr:uid="{00000000-0005-0000-0000-00004D1E0000}"/>
    <cellStyle name="20% - Accent6 15 6 2" xfId="16270" xr:uid="{00000000-0005-0000-0000-00004E1E0000}"/>
    <cellStyle name="20% - Accent6 15 7" xfId="14276" xr:uid="{00000000-0005-0000-0000-00004F1E0000}"/>
    <cellStyle name="20% - Accent6 15 8" xfId="12962" xr:uid="{00000000-0005-0000-0000-0000501E0000}"/>
    <cellStyle name="20% - Accent6 16" xfId="1027" xr:uid="{00000000-0005-0000-0000-0000511E0000}"/>
    <cellStyle name="20% - Accent6 16 2" xfId="3983" xr:uid="{00000000-0005-0000-0000-0000521E0000}"/>
    <cellStyle name="20% - Accent6 16 2 2" xfId="11962" xr:uid="{00000000-0005-0000-0000-0000531E0000}"/>
    <cellStyle name="20% - Accent6 16 2 2 2" xfId="23250" xr:uid="{00000000-0005-0000-0000-0000541E0000}"/>
    <cellStyle name="20% - Accent6 16 2 3" xfId="9968" xr:uid="{00000000-0005-0000-0000-0000551E0000}"/>
    <cellStyle name="20% - Accent6 16 2 3 2" xfId="21256" xr:uid="{00000000-0005-0000-0000-0000561E0000}"/>
    <cellStyle name="20% - Accent6 16 2 4" xfId="7974" xr:uid="{00000000-0005-0000-0000-0000571E0000}"/>
    <cellStyle name="20% - Accent6 16 2 4 2" xfId="19262" xr:uid="{00000000-0005-0000-0000-0000581E0000}"/>
    <cellStyle name="20% - Accent6 16 2 5" xfId="5980" xr:uid="{00000000-0005-0000-0000-0000591E0000}"/>
    <cellStyle name="20% - Accent6 16 2 5 2" xfId="17268" xr:uid="{00000000-0005-0000-0000-00005A1E0000}"/>
    <cellStyle name="20% - Accent6 16 2 6" xfId="15274" xr:uid="{00000000-0005-0000-0000-00005B1E0000}"/>
    <cellStyle name="20% - Accent6 16 3" xfId="10965" xr:uid="{00000000-0005-0000-0000-00005C1E0000}"/>
    <cellStyle name="20% - Accent6 16 3 2" xfId="22253" xr:uid="{00000000-0005-0000-0000-00005D1E0000}"/>
    <cellStyle name="20% - Accent6 16 4" xfId="8971" xr:uid="{00000000-0005-0000-0000-00005E1E0000}"/>
    <cellStyle name="20% - Accent6 16 4 2" xfId="20259" xr:uid="{00000000-0005-0000-0000-00005F1E0000}"/>
    <cellStyle name="20% - Accent6 16 5" xfId="6977" xr:uid="{00000000-0005-0000-0000-0000601E0000}"/>
    <cellStyle name="20% - Accent6 16 5 2" xfId="18265" xr:uid="{00000000-0005-0000-0000-0000611E0000}"/>
    <cellStyle name="20% - Accent6 16 6" xfId="4983" xr:uid="{00000000-0005-0000-0000-0000621E0000}"/>
    <cellStyle name="20% - Accent6 16 6 2" xfId="16271" xr:uid="{00000000-0005-0000-0000-0000631E0000}"/>
    <cellStyle name="20% - Accent6 16 7" xfId="14277" xr:uid="{00000000-0005-0000-0000-0000641E0000}"/>
    <cellStyle name="20% - Accent6 16 8" xfId="12963" xr:uid="{00000000-0005-0000-0000-0000651E0000}"/>
    <cellStyle name="20% - Accent6 17" xfId="1028" xr:uid="{00000000-0005-0000-0000-0000661E0000}"/>
    <cellStyle name="20% - Accent6 17 2" xfId="3984" xr:uid="{00000000-0005-0000-0000-0000671E0000}"/>
    <cellStyle name="20% - Accent6 17 2 2" xfId="11963" xr:uid="{00000000-0005-0000-0000-0000681E0000}"/>
    <cellStyle name="20% - Accent6 17 2 2 2" xfId="23251" xr:uid="{00000000-0005-0000-0000-0000691E0000}"/>
    <cellStyle name="20% - Accent6 17 2 3" xfId="9969" xr:uid="{00000000-0005-0000-0000-00006A1E0000}"/>
    <cellStyle name="20% - Accent6 17 2 3 2" xfId="21257" xr:uid="{00000000-0005-0000-0000-00006B1E0000}"/>
    <cellStyle name="20% - Accent6 17 2 4" xfId="7975" xr:uid="{00000000-0005-0000-0000-00006C1E0000}"/>
    <cellStyle name="20% - Accent6 17 2 4 2" xfId="19263" xr:uid="{00000000-0005-0000-0000-00006D1E0000}"/>
    <cellStyle name="20% - Accent6 17 2 5" xfId="5981" xr:uid="{00000000-0005-0000-0000-00006E1E0000}"/>
    <cellStyle name="20% - Accent6 17 2 5 2" xfId="17269" xr:uid="{00000000-0005-0000-0000-00006F1E0000}"/>
    <cellStyle name="20% - Accent6 17 2 6" xfId="15275" xr:uid="{00000000-0005-0000-0000-0000701E0000}"/>
    <cellStyle name="20% - Accent6 17 3" xfId="10966" xr:uid="{00000000-0005-0000-0000-0000711E0000}"/>
    <cellStyle name="20% - Accent6 17 3 2" xfId="22254" xr:uid="{00000000-0005-0000-0000-0000721E0000}"/>
    <cellStyle name="20% - Accent6 17 4" xfId="8972" xr:uid="{00000000-0005-0000-0000-0000731E0000}"/>
    <cellStyle name="20% - Accent6 17 4 2" xfId="20260" xr:uid="{00000000-0005-0000-0000-0000741E0000}"/>
    <cellStyle name="20% - Accent6 17 5" xfId="6978" xr:uid="{00000000-0005-0000-0000-0000751E0000}"/>
    <cellStyle name="20% - Accent6 17 5 2" xfId="18266" xr:uid="{00000000-0005-0000-0000-0000761E0000}"/>
    <cellStyle name="20% - Accent6 17 6" xfId="4984" xr:uid="{00000000-0005-0000-0000-0000771E0000}"/>
    <cellStyle name="20% - Accent6 17 6 2" xfId="16272" xr:uid="{00000000-0005-0000-0000-0000781E0000}"/>
    <cellStyle name="20% - Accent6 17 7" xfId="14278" xr:uid="{00000000-0005-0000-0000-0000791E0000}"/>
    <cellStyle name="20% - Accent6 17 8" xfId="12964" xr:uid="{00000000-0005-0000-0000-00007A1E0000}"/>
    <cellStyle name="20% - Accent6 18" xfId="1029" xr:uid="{00000000-0005-0000-0000-00007B1E0000}"/>
    <cellStyle name="20% - Accent6 18 2" xfId="3985" xr:uid="{00000000-0005-0000-0000-00007C1E0000}"/>
    <cellStyle name="20% - Accent6 18 2 2" xfId="11964" xr:uid="{00000000-0005-0000-0000-00007D1E0000}"/>
    <cellStyle name="20% - Accent6 18 2 2 2" xfId="23252" xr:uid="{00000000-0005-0000-0000-00007E1E0000}"/>
    <cellStyle name="20% - Accent6 18 2 3" xfId="9970" xr:uid="{00000000-0005-0000-0000-00007F1E0000}"/>
    <cellStyle name="20% - Accent6 18 2 3 2" xfId="21258" xr:uid="{00000000-0005-0000-0000-0000801E0000}"/>
    <cellStyle name="20% - Accent6 18 2 4" xfId="7976" xr:uid="{00000000-0005-0000-0000-0000811E0000}"/>
    <cellStyle name="20% - Accent6 18 2 4 2" xfId="19264" xr:uid="{00000000-0005-0000-0000-0000821E0000}"/>
    <cellStyle name="20% - Accent6 18 2 5" xfId="5982" xr:uid="{00000000-0005-0000-0000-0000831E0000}"/>
    <cellStyle name="20% - Accent6 18 2 5 2" xfId="17270" xr:uid="{00000000-0005-0000-0000-0000841E0000}"/>
    <cellStyle name="20% - Accent6 18 2 6" xfId="15276" xr:uid="{00000000-0005-0000-0000-0000851E0000}"/>
    <cellStyle name="20% - Accent6 18 3" xfId="10967" xr:uid="{00000000-0005-0000-0000-0000861E0000}"/>
    <cellStyle name="20% - Accent6 18 3 2" xfId="22255" xr:uid="{00000000-0005-0000-0000-0000871E0000}"/>
    <cellStyle name="20% - Accent6 18 4" xfId="8973" xr:uid="{00000000-0005-0000-0000-0000881E0000}"/>
    <cellStyle name="20% - Accent6 18 4 2" xfId="20261" xr:uid="{00000000-0005-0000-0000-0000891E0000}"/>
    <cellStyle name="20% - Accent6 18 5" xfId="6979" xr:uid="{00000000-0005-0000-0000-00008A1E0000}"/>
    <cellStyle name="20% - Accent6 18 5 2" xfId="18267" xr:uid="{00000000-0005-0000-0000-00008B1E0000}"/>
    <cellStyle name="20% - Accent6 18 6" xfId="4985" xr:uid="{00000000-0005-0000-0000-00008C1E0000}"/>
    <cellStyle name="20% - Accent6 18 6 2" xfId="16273" xr:uid="{00000000-0005-0000-0000-00008D1E0000}"/>
    <cellStyle name="20% - Accent6 18 7" xfId="14279" xr:uid="{00000000-0005-0000-0000-00008E1E0000}"/>
    <cellStyle name="20% - Accent6 18 8" xfId="12965" xr:uid="{00000000-0005-0000-0000-00008F1E0000}"/>
    <cellStyle name="20% - Accent6 19" xfId="1030" xr:uid="{00000000-0005-0000-0000-0000901E0000}"/>
    <cellStyle name="20% - Accent6 19 2" xfId="3986" xr:uid="{00000000-0005-0000-0000-0000911E0000}"/>
    <cellStyle name="20% - Accent6 19 2 2" xfId="11965" xr:uid="{00000000-0005-0000-0000-0000921E0000}"/>
    <cellStyle name="20% - Accent6 19 2 2 2" xfId="23253" xr:uid="{00000000-0005-0000-0000-0000931E0000}"/>
    <cellStyle name="20% - Accent6 19 2 3" xfId="9971" xr:uid="{00000000-0005-0000-0000-0000941E0000}"/>
    <cellStyle name="20% - Accent6 19 2 3 2" xfId="21259" xr:uid="{00000000-0005-0000-0000-0000951E0000}"/>
    <cellStyle name="20% - Accent6 19 2 4" xfId="7977" xr:uid="{00000000-0005-0000-0000-0000961E0000}"/>
    <cellStyle name="20% - Accent6 19 2 4 2" xfId="19265" xr:uid="{00000000-0005-0000-0000-0000971E0000}"/>
    <cellStyle name="20% - Accent6 19 2 5" xfId="5983" xr:uid="{00000000-0005-0000-0000-0000981E0000}"/>
    <cellStyle name="20% - Accent6 19 2 5 2" xfId="17271" xr:uid="{00000000-0005-0000-0000-0000991E0000}"/>
    <cellStyle name="20% - Accent6 19 2 6" xfId="15277" xr:uid="{00000000-0005-0000-0000-00009A1E0000}"/>
    <cellStyle name="20% - Accent6 19 3" xfId="10968" xr:uid="{00000000-0005-0000-0000-00009B1E0000}"/>
    <cellStyle name="20% - Accent6 19 3 2" xfId="22256" xr:uid="{00000000-0005-0000-0000-00009C1E0000}"/>
    <cellStyle name="20% - Accent6 19 4" xfId="8974" xr:uid="{00000000-0005-0000-0000-00009D1E0000}"/>
    <cellStyle name="20% - Accent6 19 4 2" xfId="20262" xr:uid="{00000000-0005-0000-0000-00009E1E0000}"/>
    <cellStyle name="20% - Accent6 19 5" xfId="6980" xr:uid="{00000000-0005-0000-0000-00009F1E0000}"/>
    <cellStyle name="20% - Accent6 19 5 2" xfId="18268" xr:uid="{00000000-0005-0000-0000-0000A01E0000}"/>
    <cellStyle name="20% - Accent6 19 6" xfId="4986" xr:uid="{00000000-0005-0000-0000-0000A11E0000}"/>
    <cellStyle name="20% - Accent6 19 6 2" xfId="16274" xr:uid="{00000000-0005-0000-0000-0000A21E0000}"/>
    <cellStyle name="20% - Accent6 19 7" xfId="14280" xr:uid="{00000000-0005-0000-0000-0000A31E0000}"/>
    <cellStyle name="20% - Accent6 19 8" xfId="12966" xr:uid="{00000000-0005-0000-0000-0000A41E0000}"/>
    <cellStyle name="20% - Accent6 2" xfId="1031" xr:uid="{00000000-0005-0000-0000-0000A51E0000}"/>
    <cellStyle name="20% - Accent6 2 10" xfId="24589" xr:uid="{00000000-0005-0000-0000-0000A61E0000}"/>
    <cellStyle name="20% - Accent6 2 11" xfId="24979" xr:uid="{00000000-0005-0000-0000-0000A71E0000}"/>
    <cellStyle name="20% - Accent6 2 2" xfId="3987" xr:uid="{00000000-0005-0000-0000-0000A81E0000}"/>
    <cellStyle name="20% - Accent6 2 2 2" xfId="11966" xr:uid="{00000000-0005-0000-0000-0000A91E0000}"/>
    <cellStyle name="20% - Accent6 2 2 2 2" xfId="23254" xr:uid="{00000000-0005-0000-0000-0000AA1E0000}"/>
    <cellStyle name="20% - Accent6 2 2 3" xfId="9972" xr:uid="{00000000-0005-0000-0000-0000AB1E0000}"/>
    <cellStyle name="20% - Accent6 2 2 3 2" xfId="21260" xr:uid="{00000000-0005-0000-0000-0000AC1E0000}"/>
    <cellStyle name="20% - Accent6 2 2 4" xfId="7978" xr:uid="{00000000-0005-0000-0000-0000AD1E0000}"/>
    <cellStyle name="20% - Accent6 2 2 4 2" xfId="19266" xr:uid="{00000000-0005-0000-0000-0000AE1E0000}"/>
    <cellStyle name="20% - Accent6 2 2 5" xfId="5984" xr:uid="{00000000-0005-0000-0000-0000AF1E0000}"/>
    <cellStyle name="20% - Accent6 2 2 5 2" xfId="17272" xr:uid="{00000000-0005-0000-0000-0000B01E0000}"/>
    <cellStyle name="20% - Accent6 2 2 6" xfId="15278" xr:uid="{00000000-0005-0000-0000-0000B11E0000}"/>
    <cellStyle name="20% - Accent6 2 2 7" xfId="24350" xr:uid="{00000000-0005-0000-0000-0000B21E0000}"/>
    <cellStyle name="20% - Accent6 2 2 8" xfId="24814" xr:uid="{00000000-0005-0000-0000-0000B31E0000}"/>
    <cellStyle name="20% - Accent6 2 2 9" xfId="25181" xr:uid="{00000000-0005-0000-0000-0000B41E0000}"/>
    <cellStyle name="20% - Accent6 2 3" xfId="10969" xr:uid="{00000000-0005-0000-0000-0000B51E0000}"/>
    <cellStyle name="20% - Accent6 2 3 2" xfId="22257" xr:uid="{00000000-0005-0000-0000-0000B61E0000}"/>
    <cellStyle name="20% - Accent6 2 4" xfId="8975" xr:uid="{00000000-0005-0000-0000-0000B71E0000}"/>
    <cellStyle name="20% - Accent6 2 4 2" xfId="20263" xr:uid="{00000000-0005-0000-0000-0000B81E0000}"/>
    <cellStyle name="20% - Accent6 2 5" xfId="6981" xr:uid="{00000000-0005-0000-0000-0000B91E0000}"/>
    <cellStyle name="20% - Accent6 2 5 2" xfId="18269" xr:uid="{00000000-0005-0000-0000-0000BA1E0000}"/>
    <cellStyle name="20% - Accent6 2 6" xfId="4987" xr:uid="{00000000-0005-0000-0000-0000BB1E0000}"/>
    <cellStyle name="20% - Accent6 2 6 2" xfId="16275" xr:uid="{00000000-0005-0000-0000-0000BC1E0000}"/>
    <cellStyle name="20% - Accent6 2 7" xfId="14281" xr:uid="{00000000-0005-0000-0000-0000BD1E0000}"/>
    <cellStyle name="20% - Accent6 2 8" xfId="12967" xr:uid="{00000000-0005-0000-0000-0000BE1E0000}"/>
    <cellStyle name="20% - Accent6 2 9" xfId="23962" xr:uid="{00000000-0005-0000-0000-0000BF1E0000}"/>
    <cellStyle name="20% - Accent6 20" xfId="1032" xr:uid="{00000000-0005-0000-0000-0000C01E0000}"/>
    <cellStyle name="20% - Accent6 20 2" xfId="3988" xr:uid="{00000000-0005-0000-0000-0000C11E0000}"/>
    <cellStyle name="20% - Accent6 20 2 2" xfId="11967" xr:uid="{00000000-0005-0000-0000-0000C21E0000}"/>
    <cellStyle name="20% - Accent6 20 2 2 2" xfId="23255" xr:uid="{00000000-0005-0000-0000-0000C31E0000}"/>
    <cellStyle name="20% - Accent6 20 2 3" xfId="9973" xr:uid="{00000000-0005-0000-0000-0000C41E0000}"/>
    <cellStyle name="20% - Accent6 20 2 3 2" xfId="21261" xr:uid="{00000000-0005-0000-0000-0000C51E0000}"/>
    <cellStyle name="20% - Accent6 20 2 4" xfId="7979" xr:uid="{00000000-0005-0000-0000-0000C61E0000}"/>
    <cellStyle name="20% - Accent6 20 2 4 2" xfId="19267" xr:uid="{00000000-0005-0000-0000-0000C71E0000}"/>
    <cellStyle name="20% - Accent6 20 2 5" xfId="5985" xr:uid="{00000000-0005-0000-0000-0000C81E0000}"/>
    <cellStyle name="20% - Accent6 20 2 5 2" xfId="17273" xr:uid="{00000000-0005-0000-0000-0000C91E0000}"/>
    <cellStyle name="20% - Accent6 20 2 6" xfId="15279" xr:uid="{00000000-0005-0000-0000-0000CA1E0000}"/>
    <cellStyle name="20% - Accent6 20 3" xfId="10970" xr:uid="{00000000-0005-0000-0000-0000CB1E0000}"/>
    <cellStyle name="20% - Accent6 20 3 2" xfId="22258" xr:uid="{00000000-0005-0000-0000-0000CC1E0000}"/>
    <cellStyle name="20% - Accent6 20 4" xfId="8976" xr:uid="{00000000-0005-0000-0000-0000CD1E0000}"/>
    <cellStyle name="20% - Accent6 20 4 2" xfId="20264" xr:uid="{00000000-0005-0000-0000-0000CE1E0000}"/>
    <cellStyle name="20% - Accent6 20 5" xfId="6982" xr:uid="{00000000-0005-0000-0000-0000CF1E0000}"/>
    <cellStyle name="20% - Accent6 20 5 2" xfId="18270" xr:uid="{00000000-0005-0000-0000-0000D01E0000}"/>
    <cellStyle name="20% - Accent6 20 6" xfId="4988" xr:uid="{00000000-0005-0000-0000-0000D11E0000}"/>
    <cellStyle name="20% - Accent6 20 6 2" xfId="16276" xr:uid="{00000000-0005-0000-0000-0000D21E0000}"/>
    <cellStyle name="20% - Accent6 20 7" xfId="14282" xr:uid="{00000000-0005-0000-0000-0000D31E0000}"/>
    <cellStyle name="20% - Accent6 20 8" xfId="12968" xr:uid="{00000000-0005-0000-0000-0000D41E0000}"/>
    <cellStyle name="20% - Accent6 21" xfId="1033" xr:uid="{00000000-0005-0000-0000-0000D51E0000}"/>
    <cellStyle name="20% - Accent6 21 2" xfId="3989" xr:uid="{00000000-0005-0000-0000-0000D61E0000}"/>
    <cellStyle name="20% - Accent6 21 2 2" xfId="11968" xr:uid="{00000000-0005-0000-0000-0000D71E0000}"/>
    <cellStyle name="20% - Accent6 21 2 2 2" xfId="23256" xr:uid="{00000000-0005-0000-0000-0000D81E0000}"/>
    <cellStyle name="20% - Accent6 21 2 3" xfId="9974" xr:uid="{00000000-0005-0000-0000-0000D91E0000}"/>
    <cellStyle name="20% - Accent6 21 2 3 2" xfId="21262" xr:uid="{00000000-0005-0000-0000-0000DA1E0000}"/>
    <cellStyle name="20% - Accent6 21 2 4" xfId="7980" xr:uid="{00000000-0005-0000-0000-0000DB1E0000}"/>
    <cellStyle name="20% - Accent6 21 2 4 2" xfId="19268" xr:uid="{00000000-0005-0000-0000-0000DC1E0000}"/>
    <cellStyle name="20% - Accent6 21 2 5" xfId="5986" xr:uid="{00000000-0005-0000-0000-0000DD1E0000}"/>
    <cellStyle name="20% - Accent6 21 2 5 2" xfId="17274" xr:uid="{00000000-0005-0000-0000-0000DE1E0000}"/>
    <cellStyle name="20% - Accent6 21 2 6" xfId="15280" xr:uid="{00000000-0005-0000-0000-0000DF1E0000}"/>
    <cellStyle name="20% - Accent6 21 3" xfId="10971" xr:uid="{00000000-0005-0000-0000-0000E01E0000}"/>
    <cellStyle name="20% - Accent6 21 3 2" xfId="22259" xr:uid="{00000000-0005-0000-0000-0000E11E0000}"/>
    <cellStyle name="20% - Accent6 21 4" xfId="8977" xr:uid="{00000000-0005-0000-0000-0000E21E0000}"/>
    <cellStyle name="20% - Accent6 21 4 2" xfId="20265" xr:uid="{00000000-0005-0000-0000-0000E31E0000}"/>
    <cellStyle name="20% - Accent6 21 5" xfId="6983" xr:uid="{00000000-0005-0000-0000-0000E41E0000}"/>
    <cellStyle name="20% - Accent6 21 5 2" xfId="18271" xr:uid="{00000000-0005-0000-0000-0000E51E0000}"/>
    <cellStyle name="20% - Accent6 21 6" xfId="4989" xr:uid="{00000000-0005-0000-0000-0000E61E0000}"/>
    <cellStyle name="20% - Accent6 21 6 2" xfId="16277" xr:uid="{00000000-0005-0000-0000-0000E71E0000}"/>
    <cellStyle name="20% - Accent6 21 7" xfId="14283" xr:uid="{00000000-0005-0000-0000-0000E81E0000}"/>
    <cellStyle name="20% - Accent6 21 8" xfId="12969" xr:uid="{00000000-0005-0000-0000-0000E91E0000}"/>
    <cellStyle name="20% - Accent6 22" xfId="1034" xr:uid="{00000000-0005-0000-0000-0000EA1E0000}"/>
    <cellStyle name="20% - Accent6 22 2" xfId="3990" xr:uid="{00000000-0005-0000-0000-0000EB1E0000}"/>
    <cellStyle name="20% - Accent6 22 2 2" xfId="11969" xr:uid="{00000000-0005-0000-0000-0000EC1E0000}"/>
    <cellStyle name="20% - Accent6 22 2 2 2" xfId="23257" xr:uid="{00000000-0005-0000-0000-0000ED1E0000}"/>
    <cellStyle name="20% - Accent6 22 2 3" xfId="9975" xr:uid="{00000000-0005-0000-0000-0000EE1E0000}"/>
    <cellStyle name="20% - Accent6 22 2 3 2" xfId="21263" xr:uid="{00000000-0005-0000-0000-0000EF1E0000}"/>
    <cellStyle name="20% - Accent6 22 2 4" xfId="7981" xr:uid="{00000000-0005-0000-0000-0000F01E0000}"/>
    <cellStyle name="20% - Accent6 22 2 4 2" xfId="19269" xr:uid="{00000000-0005-0000-0000-0000F11E0000}"/>
    <cellStyle name="20% - Accent6 22 2 5" xfId="5987" xr:uid="{00000000-0005-0000-0000-0000F21E0000}"/>
    <cellStyle name="20% - Accent6 22 2 5 2" xfId="17275" xr:uid="{00000000-0005-0000-0000-0000F31E0000}"/>
    <cellStyle name="20% - Accent6 22 2 6" xfId="15281" xr:uid="{00000000-0005-0000-0000-0000F41E0000}"/>
    <cellStyle name="20% - Accent6 22 3" xfId="10972" xr:uid="{00000000-0005-0000-0000-0000F51E0000}"/>
    <cellStyle name="20% - Accent6 22 3 2" xfId="22260" xr:uid="{00000000-0005-0000-0000-0000F61E0000}"/>
    <cellStyle name="20% - Accent6 22 4" xfId="8978" xr:uid="{00000000-0005-0000-0000-0000F71E0000}"/>
    <cellStyle name="20% - Accent6 22 4 2" xfId="20266" xr:uid="{00000000-0005-0000-0000-0000F81E0000}"/>
    <cellStyle name="20% - Accent6 22 5" xfId="6984" xr:uid="{00000000-0005-0000-0000-0000F91E0000}"/>
    <cellStyle name="20% - Accent6 22 5 2" xfId="18272" xr:uid="{00000000-0005-0000-0000-0000FA1E0000}"/>
    <cellStyle name="20% - Accent6 22 6" xfId="4990" xr:uid="{00000000-0005-0000-0000-0000FB1E0000}"/>
    <cellStyle name="20% - Accent6 22 6 2" xfId="16278" xr:uid="{00000000-0005-0000-0000-0000FC1E0000}"/>
    <cellStyle name="20% - Accent6 22 7" xfId="14284" xr:uid="{00000000-0005-0000-0000-0000FD1E0000}"/>
    <cellStyle name="20% - Accent6 22 8" xfId="12970" xr:uid="{00000000-0005-0000-0000-0000FE1E0000}"/>
    <cellStyle name="20% - Accent6 23" xfId="1035" xr:uid="{00000000-0005-0000-0000-0000FF1E0000}"/>
    <cellStyle name="20% - Accent6 23 2" xfId="3991" xr:uid="{00000000-0005-0000-0000-0000001F0000}"/>
    <cellStyle name="20% - Accent6 23 2 2" xfId="11970" xr:uid="{00000000-0005-0000-0000-0000011F0000}"/>
    <cellStyle name="20% - Accent6 23 2 2 2" xfId="23258" xr:uid="{00000000-0005-0000-0000-0000021F0000}"/>
    <cellStyle name="20% - Accent6 23 2 3" xfId="9976" xr:uid="{00000000-0005-0000-0000-0000031F0000}"/>
    <cellStyle name="20% - Accent6 23 2 3 2" xfId="21264" xr:uid="{00000000-0005-0000-0000-0000041F0000}"/>
    <cellStyle name="20% - Accent6 23 2 4" xfId="7982" xr:uid="{00000000-0005-0000-0000-0000051F0000}"/>
    <cellStyle name="20% - Accent6 23 2 4 2" xfId="19270" xr:uid="{00000000-0005-0000-0000-0000061F0000}"/>
    <cellStyle name="20% - Accent6 23 2 5" xfId="5988" xr:uid="{00000000-0005-0000-0000-0000071F0000}"/>
    <cellStyle name="20% - Accent6 23 2 5 2" xfId="17276" xr:uid="{00000000-0005-0000-0000-0000081F0000}"/>
    <cellStyle name="20% - Accent6 23 2 6" xfId="15282" xr:uid="{00000000-0005-0000-0000-0000091F0000}"/>
    <cellStyle name="20% - Accent6 23 3" xfId="10973" xr:uid="{00000000-0005-0000-0000-00000A1F0000}"/>
    <cellStyle name="20% - Accent6 23 3 2" xfId="22261" xr:uid="{00000000-0005-0000-0000-00000B1F0000}"/>
    <cellStyle name="20% - Accent6 23 4" xfId="8979" xr:uid="{00000000-0005-0000-0000-00000C1F0000}"/>
    <cellStyle name="20% - Accent6 23 4 2" xfId="20267" xr:uid="{00000000-0005-0000-0000-00000D1F0000}"/>
    <cellStyle name="20% - Accent6 23 5" xfId="6985" xr:uid="{00000000-0005-0000-0000-00000E1F0000}"/>
    <cellStyle name="20% - Accent6 23 5 2" xfId="18273" xr:uid="{00000000-0005-0000-0000-00000F1F0000}"/>
    <cellStyle name="20% - Accent6 23 6" xfId="4991" xr:uid="{00000000-0005-0000-0000-0000101F0000}"/>
    <cellStyle name="20% - Accent6 23 6 2" xfId="16279" xr:uid="{00000000-0005-0000-0000-0000111F0000}"/>
    <cellStyle name="20% - Accent6 23 7" xfId="14285" xr:uid="{00000000-0005-0000-0000-0000121F0000}"/>
    <cellStyle name="20% - Accent6 23 8" xfId="12971" xr:uid="{00000000-0005-0000-0000-0000131F0000}"/>
    <cellStyle name="20% - Accent6 24" xfId="1036" xr:uid="{00000000-0005-0000-0000-0000141F0000}"/>
    <cellStyle name="20% - Accent6 24 2" xfId="3992" xr:uid="{00000000-0005-0000-0000-0000151F0000}"/>
    <cellStyle name="20% - Accent6 24 2 2" xfId="11971" xr:uid="{00000000-0005-0000-0000-0000161F0000}"/>
    <cellStyle name="20% - Accent6 24 2 2 2" xfId="23259" xr:uid="{00000000-0005-0000-0000-0000171F0000}"/>
    <cellStyle name="20% - Accent6 24 2 3" xfId="9977" xr:uid="{00000000-0005-0000-0000-0000181F0000}"/>
    <cellStyle name="20% - Accent6 24 2 3 2" xfId="21265" xr:uid="{00000000-0005-0000-0000-0000191F0000}"/>
    <cellStyle name="20% - Accent6 24 2 4" xfId="7983" xr:uid="{00000000-0005-0000-0000-00001A1F0000}"/>
    <cellStyle name="20% - Accent6 24 2 4 2" xfId="19271" xr:uid="{00000000-0005-0000-0000-00001B1F0000}"/>
    <cellStyle name="20% - Accent6 24 2 5" xfId="5989" xr:uid="{00000000-0005-0000-0000-00001C1F0000}"/>
    <cellStyle name="20% - Accent6 24 2 5 2" xfId="17277" xr:uid="{00000000-0005-0000-0000-00001D1F0000}"/>
    <cellStyle name="20% - Accent6 24 2 6" xfId="15283" xr:uid="{00000000-0005-0000-0000-00001E1F0000}"/>
    <cellStyle name="20% - Accent6 24 3" xfId="10974" xr:uid="{00000000-0005-0000-0000-00001F1F0000}"/>
    <cellStyle name="20% - Accent6 24 3 2" xfId="22262" xr:uid="{00000000-0005-0000-0000-0000201F0000}"/>
    <cellStyle name="20% - Accent6 24 4" xfId="8980" xr:uid="{00000000-0005-0000-0000-0000211F0000}"/>
    <cellStyle name="20% - Accent6 24 4 2" xfId="20268" xr:uid="{00000000-0005-0000-0000-0000221F0000}"/>
    <cellStyle name="20% - Accent6 24 5" xfId="6986" xr:uid="{00000000-0005-0000-0000-0000231F0000}"/>
    <cellStyle name="20% - Accent6 24 5 2" xfId="18274" xr:uid="{00000000-0005-0000-0000-0000241F0000}"/>
    <cellStyle name="20% - Accent6 24 6" xfId="4992" xr:uid="{00000000-0005-0000-0000-0000251F0000}"/>
    <cellStyle name="20% - Accent6 24 6 2" xfId="16280" xr:uid="{00000000-0005-0000-0000-0000261F0000}"/>
    <cellStyle name="20% - Accent6 24 7" xfId="14286" xr:uid="{00000000-0005-0000-0000-0000271F0000}"/>
    <cellStyle name="20% - Accent6 24 8" xfId="12972" xr:uid="{00000000-0005-0000-0000-0000281F0000}"/>
    <cellStyle name="20% - Accent6 25" xfId="1037" xr:uid="{00000000-0005-0000-0000-0000291F0000}"/>
    <cellStyle name="20% - Accent6 25 2" xfId="3993" xr:uid="{00000000-0005-0000-0000-00002A1F0000}"/>
    <cellStyle name="20% - Accent6 25 2 2" xfId="11972" xr:uid="{00000000-0005-0000-0000-00002B1F0000}"/>
    <cellStyle name="20% - Accent6 25 2 2 2" xfId="23260" xr:uid="{00000000-0005-0000-0000-00002C1F0000}"/>
    <cellStyle name="20% - Accent6 25 2 3" xfId="9978" xr:uid="{00000000-0005-0000-0000-00002D1F0000}"/>
    <cellStyle name="20% - Accent6 25 2 3 2" xfId="21266" xr:uid="{00000000-0005-0000-0000-00002E1F0000}"/>
    <cellStyle name="20% - Accent6 25 2 4" xfId="7984" xr:uid="{00000000-0005-0000-0000-00002F1F0000}"/>
    <cellStyle name="20% - Accent6 25 2 4 2" xfId="19272" xr:uid="{00000000-0005-0000-0000-0000301F0000}"/>
    <cellStyle name="20% - Accent6 25 2 5" xfId="5990" xr:uid="{00000000-0005-0000-0000-0000311F0000}"/>
    <cellStyle name="20% - Accent6 25 2 5 2" xfId="17278" xr:uid="{00000000-0005-0000-0000-0000321F0000}"/>
    <cellStyle name="20% - Accent6 25 2 6" xfId="15284" xr:uid="{00000000-0005-0000-0000-0000331F0000}"/>
    <cellStyle name="20% - Accent6 25 3" xfId="10975" xr:uid="{00000000-0005-0000-0000-0000341F0000}"/>
    <cellStyle name="20% - Accent6 25 3 2" xfId="22263" xr:uid="{00000000-0005-0000-0000-0000351F0000}"/>
    <cellStyle name="20% - Accent6 25 4" xfId="8981" xr:uid="{00000000-0005-0000-0000-0000361F0000}"/>
    <cellStyle name="20% - Accent6 25 4 2" xfId="20269" xr:uid="{00000000-0005-0000-0000-0000371F0000}"/>
    <cellStyle name="20% - Accent6 25 5" xfId="6987" xr:uid="{00000000-0005-0000-0000-0000381F0000}"/>
    <cellStyle name="20% - Accent6 25 5 2" xfId="18275" xr:uid="{00000000-0005-0000-0000-0000391F0000}"/>
    <cellStyle name="20% - Accent6 25 6" xfId="4993" xr:uid="{00000000-0005-0000-0000-00003A1F0000}"/>
    <cellStyle name="20% - Accent6 25 6 2" xfId="16281" xr:uid="{00000000-0005-0000-0000-00003B1F0000}"/>
    <cellStyle name="20% - Accent6 25 7" xfId="14287" xr:uid="{00000000-0005-0000-0000-00003C1F0000}"/>
    <cellStyle name="20% - Accent6 25 8" xfId="12973" xr:uid="{00000000-0005-0000-0000-00003D1F0000}"/>
    <cellStyle name="20% - Accent6 26" xfId="1038" xr:uid="{00000000-0005-0000-0000-00003E1F0000}"/>
    <cellStyle name="20% - Accent6 26 2" xfId="3994" xr:uid="{00000000-0005-0000-0000-00003F1F0000}"/>
    <cellStyle name="20% - Accent6 26 2 2" xfId="11973" xr:uid="{00000000-0005-0000-0000-0000401F0000}"/>
    <cellStyle name="20% - Accent6 26 2 2 2" xfId="23261" xr:uid="{00000000-0005-0000-0000-0000411F0000}"/>
    <cellStyle name="20% - Accent6 26 2 3" xfId="9979" xr:uid="{00000000-0005-0000-0000-0000421F0000}"/>
    <cellStyle name="20% - Accent6 26 2 3 2" xfId="21267" xr:uid="{00000000-0005-0000-0000-0000431F0000}"/>
    <cellStyle name="20% - Accent6 26 2 4" xfId="7985" xr:uid="{00000000-0005-0000-0000-0000441F0000}"/>
    <cellStyle name="20% - Accent6 26 2 4 2" xfId="19273" xr:uid="{00000000-0005-0000-0000-0000451F0000}"/>
    <cellStyle name="20% - Accent6 26 2 5" xfId="5991" xr:uid="{00000000-0005-0000-0000-0000461F0000}"/>
    <cellStyle name="20% - Accent6 26 2 5 2" xfId="17279" xr:uid="{00000000-0005-0000-0000-0000471F0000}"/>
    <cellStyle name="20% - Accent6 26 2 6" xfId="15285" xr:uid="{00000000-0005-0000-0000-0000481F0000}"/>
    <cellStyle name="20% - Accent6 26 3" xfId="10976" xr:uid="{00000000-0005-0000-0000-0000491F0000}"/>
    <cellStyle name="20% - Accent6 26 3 2" xfId="22264" xr:uid="{00000000-0005-0000-0000-00004A1F0000}"/>
    <cellStyle name="20% - Accent6 26 4" xfId="8982" xr:uid="{00000000-0005-0000-0000-00004B1F0000}"/>
    <cellStyle name="20% - Accent6 26 4 2" xfId="20270" xr:uid="{00000000-0005-0000-0000-00004C1F0000}"/>
    <cellStyle name="20% - Accent6 26 5" xfId="6988" xr:uid="{00000000-0005-0000-0000-00004D1F0000}"/>
    <cellStyle name="20% - Accent6 26 5 2" xfId="18276" xr:uid="{00000000-0005-0000-0000-00004E1F0000}"/>
    <cellStyle name="20% - Accent6 26 6" xfId="4994" xr:uid="{00000000-0005-0000-0000-00004F1F0000}"/>
    <cellStyle name="20% - Accent6 26 6 2" xfId="16282" xr:uid="{00000000-0005-0000-0000-0000501F0000}"/>
    <cellStyle name="20% - Accent6 26 7" xfId="14288" xr:uid="{00000000-0005-0000-0000-0000511F0000}"/>
    <cellStyle name="20% - Accent6 26 8" xfId="12974" xr:uid="{00000000-0005-0000-0000-0000521F0000}"/>
    <cellStyle name="20% - Accent6 27" xfId="1039" xr:uid="{00000000-0005-0000-0000-0000531F0000}"/>
    <cellStyle name="20% - Accent6 27 2" xfId="3995" xr:uid="{00000000-0005-0000-0000-0000541F0000}"/>
    <cellStyle name="20% - Accent6 27 2 2" xfId="11974" xr:uid="{00000000-0005-0000-0000-0000551F0000}"/>
    <cellStyle name="20% - Accent6 27 2 2 2" xfId="23262" xr:uid="{00000000-0005-0000-0000-0000561F0000}"/>
    <cellStyle name="20% - Accent6 27 2 3" xfId="9980" xr:uid="{00000000-0005-0000-0000-0000571F0000}"/>
    <cellStyle name="20% - Accent6 27 2 3 2" xfId="21268" xr:uid="{00000000-0005-0000-0000-0000581F0000}"/>
    <cellStyle name="20% - Accent6 27 2 4" xfId="7986" xr:uid="{00000000-0005-0000-0000-0000591F0000}"/>
    <cellStyle name="20% - Accent6 27 2 4 2" xfId="19274" xr:uid="{00000000-0005-0000-0000-00005A1F0000}"/>
    <cellStyle name="20% - Accent6 27 2 5" xfId="5992" xr:uid="{00000000-0005-0000-0000-00005B1F0000}"/>
    <cellStyle name="20% - Accent6 27 2 5 2" xfId="17280" xr:uid="{00000000-0005-0000-0000-00005C1F0000}"/>
    <cellStyle name="20% - Accent6 27 2 6" xfId="15286" xr:uid="{00000000-0005-0000-0000-00005D1F0000}"/>
    <cellStyle name="20% - Accent6 27 3" xfId="10977" xr:uid="{00000000-0005-0000-0000-00005E1F0000}"/>
    <cellStyle name="20% - Accent6 27 3 2" xfId="22265" xr:uid="{00000000-0005-0000-0000-00005F1F0000}"/>
    <cellStyle name="20% - Accent6 27 4" xfId="8983" xr:uid="{00000000-0005-0000-0000-0000601F0000}"/>
    <cellStyle name="20% - Accent6 27 4 2" xfId="20271" xr:uid="{00000000-0005-0000-0000-0000611F0000}"/>
    <cellStyle name="20% - Accent6 27 5" xfId="6989" xr:uid="{00000000-0005-0000-0000-0000621F0000}"/>
    <cellStyle name="20% - Accent6 27 5 2" xfId="18277" xr:uid="{00000000-0005-0000-0000-0000631F0000}"/>
    <cellStyle name="20% - Accent6 27 6" xfId="4995" xr:uid="{00000000-0005-0000-0000-0000641F0000}"/>
    <cellStyle name="20% - Accent6 27 6 2" xfId="16283" xr:uid="{00000000-0005-0000-0000-0000651F0000}"/>
    <cellStyle name="20% - Accent6 27 7" xfId="14289" xr:uid="{00000000-0005-0000-0000-0000661F0000}"/>
    <cellStyle name="20% - Accent6 27 8" xfId="12975" xr:uid="{00000000-0005-0000-0000-0000671F0000}"/>
    <cellStyle name="20% - Accent6 28" xfId="1040" xr:uid="{00000000-0005-0000-0000-0000681F0000}"/>
    <cellStyle name="20% - Accent6 28 2" xfId="3996" xr:uid="{00000000-0005-0000-0000-0000691F0000}"/>
    <cellStyle name="20% - Accent6 28 2 2" xfId="11975" xr:uid="{00000000-0005-0000-0000-00006A1F0000}"/>
    <cellStyle name="20% - Accent6 28 2 2 2" xfId="23263" xr:uid="{00000000-0005-0000-0000-00006B1F0000}"/>
    <cellStyle name="20% - Accent6 28 2 3" xfId="9981" xr:uid="{00000000-0005-0000-0000-00006C1F0000}"/>
    <cellStyle name="20% - Accent6 28 2 3 2" xfId="21269" xr:uid="{00000000-0005-0000-0000-00006D1F0000}"/>
    <cellStyle name="20% - Accent6 28 2 4" xfId="7987" xr:uid="{00000000-0005-0000-0000-00006E1F0000}"/>
    <cellStyle name="20% - Accent6 28 2 4 2" xfId="19275" xr:uid="{00000000-0005-0000-0000-00006F1F0000}"/>
    <cellStyle name="20% - Accent6 28 2 5" xfId="5993" xr:uid="{00000000-0005-0000-0000-0000701F0000}"/>
    <cellStyle name="20% - Accent6 28 2 5 2" xfId="17281" xr:uid="{00000000-0005-0000-0000-0000711F0000}"/>
    <cellStyle name="20% - Accent6 28 2 6" xfId="15287" xr:uid="{00000000-0005-0000-0000-0000721F0000}"/>
    <cellStyle name="20% - Accent6 28 3" xfId="10978" xr:uid="{00000000-0005-0000-0000-0000731F0000}"/>
    <cellStyle name="20% - Accent6 28 3 2" xfId="22266" xr:uid="{00000000-0005-0000-0000-0000741F0000}"/>
    <cellStyle name="20% - Accent6 28 4" xfId="8984" xr:uid="{00000000-0005-0000-0000-0000751F0000}"/>
    <cellStyle name="20% - Accent6 28 4 2" xfId="20272" xr:uid="{00000000-0005-0000-0000-0000761F0000}"/>
    <cellStyle name="20% - Accent6 28 5" xfId="6990" xr:uid="{00000000-0005-0000-0000-0000771F0000}"/>
    <cellStyle name="20% - Accent6 28 5 2" xfId="18278" xr:uid="{00000000-0005-0000-0000-0000781F0000}"/>
    <cellStyle name="20% - Accent6 28 6" xfId="4996" xr:uid="{00000000-0005-0000-0000-0000791F0000}"/>
    <cellStyle name="20% - Accent6 28 6 2" xfId="16284" xr:uid="{00000000-0005-0000-0000-00007A1F0000}"/>
    <cellStyle name="20% - Accent6 28 7" xfId="14290" xr:uid="{00000000-0005-0000-0000-00007B1F0000}"/>
    <cellStyle name="20% - Accent6 28 8" xfId="12976" xr:uid="{00000000-0005-0000-0000-00007C1F0000}"/>
    <cellStyle name="20% - Accent6 29" xfId="1041" xr:uid="{00000000-0005-0000-0000-00007D1F0000}"/>
    <cellStyle name="20% - Accent6 29 2" xfId="3997" xr:uid="{00000000-0005-0000-0000-00007E1F0000}"/>
    <cellStyle name="20% - Accent6 29 2 2" xfId="11976" xr:uid="{00000000-0005-0000-0000-00007F1F0000}"/>
    <cellStyle name="20% - Accent6 29 2 2 2" xfId="23264" xr:uid="{00000000-0005-0000-0000-0000801F0000}"/>
    <cellStyle name="20% - Accent6 29 2 3" xfId="9982" xr:uid="{00000000-0005-0000-0000-0000811F0000}"/>
    <cellStyle name="20% - Accent6 29 2 3 2" xfId="21270" xr:uid="{00000000-0005-0000-0000-0000821F0000}"/>
    <cellStyle name="20% - Accent6 29 2 4" xfId="7988" xr:uid="{00000000-0005-0000-0000-0000831F0000}"/>
    <cellStyle name="20% - Accent6 29 2 4 2" xfId="19276" xr:uid="{00000000-0005-0000-0000-0000841F0000}"/>
    <cellStyle name="20% - Accent6 29 2 5" xfId="5994" xr:uid="{00000000-0005-0000-0000-0000851F0000}"/>
    <cellStyle name="20% - Accent6 29 2 5 2" xfId="17282" xr:uid="{00000000-0005-0000-0000-0000861F0000}"/>
    <cellStyle name="20% - Accent6 29 2 6" xfId="15288" xr:uid="{00000000-0005-0000-0000-0000871F0000}"/>
    <cellStyle name="20% - Accent6 29 3" xfId="10979" xr:uid="{00000000-0005-0000-0000-0000881F0000}"/>
    <cellStyle name="20% - Accent6 29 3 2" xfId="22267" xr:uid="{00000000-0005-0000-0000-0000891F0000}"/>
    <cellStyle name="20% - Accent6 29 4" xfId="8985" xr:uid="{00000000-0005-0000-0000-00008A1F0000}"/>
    <cellStyle name="20% - Accent6 29 4 2" xfId="20273" xr:uid="{00000000-0005-0000-0000-00008B1F0000}"/>
    <cellStyle name="20% - Accent6 29 5" xfId="6991" xr:uid="{00000000-0005-0000-0000-00008C1F0000}"/>
    <cellStyle name="20% - Accent6 29 5 2" xfId="18279" xr:uid="{00000000-0005-0000-0000-00008D1F0000}"/>
    <cellStyle name="20% - Accent6 29 6" xfId="4997" xr:uid="{00000000-0005-0000-0000-00008E1F0000}"/>
    <cellStyle name="20% - Accent6 29 6 2" xfId="16285" xr:uid="{00000000-0005-0000-0000-00008F1F0000}"/>
    <cellStyle name="20% - Accent6 29 7" xfId="14291" xr:uid="{00000000-0005-0000-0000-0000901F0000}"/>
    <cellStyle name="20% - Accent6 29 8" xfId="12977" xr:uid="{00000000-0005-0000-0000-0000911F0000}"/>
    <cellStyle name="20% - Accent6 3" xfId="1042" xr:uid="{00000000-0005-0000-0000-0000921F0000}"/>
    <cellStyle name="20% - Accent6 3 10" xfId="24590" xr:uid="{00000000-0005-0000-0000-0000931F0000}"/>
    <cellStyle name="20% - Accent6 3 11" xfId="24980" xr:uid="{00000000-0005-0000-0000-0000941F0000}"/>
    <cellStyle name="20% - Accent6 3 2" xfId="3998" xr:uid="{00000000-0005-0000-0000-0000951F0000}"/>
    <cellStyle name="20% - Accent6 3 2 2" xfId="11977" xr:uid="{00000000-0005-0000-0000-0000961F0000}"/>
    <cellStyle name="20% - Accent6 3 2 2 2" xfId="23265" xr:uid="{00000000-0005-0000-0000-0000971F0000}"/>
    <cellStyle name="20% - Accent6 3 2 3" xfId="9983" xr:uid="{00000000-0005-0000-0000-0000981F0000}"/>
    <cellStyle name="20% - Accent6 3 2 3 2" xfId="21271" xr:uid="{00000000-0005-0000-0000-0000991F0000}"/>
    <cellStyle name="20% - Accent6 3 2 4" xfId="7989" xr:uid="{00000000-0005-0000-0000-00009A1F0000}"/>
    <cellStyle name="20% - Accent6 3 2 4 2" xfId="19277" xr:uid="{00000000-0005-0000-0000-00009B1F0000}"/>
    <cellStyle name="20% - Accent6 3 2 5" xfId="5995" xr:uid="{00000000-0005-0000-0000-00009C1F0000}"/>
    <cellStyle name="20% - Accent6 3 2 5 2" xfId="17283" xr:uid="{00000000-0005-0000-0000-00009D1F0000}"/>
    <cellStyle name="20% - Accent6 3 2 6" xfId="15289" xr:uid="{00000000-0005-0000-0000-00009E1F0000}"/>
    <cellStyle name="20% - Accent6 3 2 7" xfId="24351" xr:uid="{00000000-0005-0000-0000-00009F1F0000}"/>
    <cellStyle name="20% - Accent6 3 2 8" xfId="24815" xr:uid="{00000000-0005-0000-0000-0000A01F0000}"/>
    <cellStyle name="20% - Accent6 3 2 9" xfId="25182" xr:uid="{00000000-0005-0000-0000-0000A11F0000}"/>
    <cellStyle name="20% - Accent6 3 3" xfId="10980" xr:uid="{00000000-0005-0000-0000-0000A21F0000}"/>
    <cellStyle name="20% - Accent6 3 3 2" xfId="22268" xr:uid="{00000000-0005-0000-0000-0000A31F0000}"/>
    <cellStyle name="20% - Accent6 3 4" xfId="8986" xr:uid="{00000000-0005-0000-0000-0000A41F0000}"/>
    <cellStyle name="20% - Accent6 3 4 2" xfId="20274" xr:uid="{00000000-0005-0000-0000-0000A51F0000}"/>
    <cellStyle name="20% - Accent6 3 5" xfId="6992" xr:uid="{00000000-0005-0000-0000-0000A61F0000}"/>
    <cellStyle name="20% - Accent6 3 5 2" xfId="18280" xr:uid="{00000000-0005-0000-0000-0000A71F0000}"/>
    <cellStyle name="20% - Accent6 3 6" xfId="4998" xr:uid="{00000000-0005-0000-0000-0000A81F0000}"/>
    <cellStyle name="20% - Accent6 3 6 2" xfId="16286" xr:uid="{00000000-0005-0000-0000-0000A91F0000}"/>
    <cellStyle name="20% - Accent6 3 7" xfId="14292" xr:uid="{00000000-0005-0000-0000-0000AA1F0000}"/>
    <cellStyle name="20% - Accent6 3 8" xfId="12978" xr:uid="{00000000-0005-0000-0000-0000AB1F0000}"/>
    <cellStyle name="20% - Accent6 3 9" xfId="23963" xr:uid="{00000000-0005-0000-0000-0000AC1F0000}"/>
    <cellStyle name="20% - Accent6 30" xfId="1043" xr:uid="{00000000-0005-0000-0000-0000AD1F0000}"/>
    <cellStyle name="20% - Accent6 30 2" xfId="3999" xr:uid="{00000000-0005-0000-0000-0000AE1F0000}"/>
    <cellStyle name="20% - Accent6 30 2 2" xfId="11978" xr:uid="{00000000-0005-0000-0000-0000AF1F0000}"/>
    <cellStyle name="20% - Accent6 30 2 2 2" xfId="23266" xr:uid="{00000000-0005-0000-0000-0000B01F0000}"/>
    <cellStyle name="20% - Accent6 30 2 3" xfId="9984" xr:uid="{00000000-0005-0000-0000-0000B11F0000}"/>
    <cellStyle name="20% - Accent6 30 2 3 2" xfId="21272" xr:uid="{00000000-0005-0000-0000-0000B21F0000}"/>
    <cellStyle name="20% - Accent6 30 2 4" xfId="7990" xr:uid="{00000000-0005-0000-0000-0000B31F0000}"/>
    <cellStyle name="20% - Accent6 30 2 4 2" xfId="19278" xr:uid="{00000000-0005-0000-0000-0000B41F0000}"/>
    <cellStyle name="20% - Accent6 30 2 5" xfId="5996" xr:uid="{00000000-0005-0000-0000-0000B51F0000}"/>
    <cellStyle name="20% - Accent6 30 2 5 2" xfId="17284" xr:uid="{00000000-0005-0000-0000-0000B61F0000}"/>
    <cellStyle name="20% - Accent6 30 2 6" xfId="15290" xr:uid="{00000000-0005-0000-0000-0000B71F0000}"/>
    <cellStyle name="20% - Accent6 30 3" xfId="10981" xr:uid="{00000000-0005-0000-0000-0000B81F0000}"/>
    <cellStyle name="20% - Accent6 30 3 2" xfId="22269" xr:uid="{00000000-0005-0000-0000-0000B91F0000}"/>
    <cellStyle name="20% - Accent6 30 4" xfId="8987" xr:uid="{00000000-0005-0000-0000-0000BA1F0000}"/>
    <cellStyle name="20% - Accent6 30 4 2" xfId="20275" xr:uid="{00000000-0005-0000-0000-0000BB1F0000}"/>
    <cellStyle name="20% - Accent6 30 5" xfId="6993" xr:uid="{00000000-0005-0000-0000-0000BC1F0000}"/>
    <cellStyle name="20% - Accent6 30 5 2" xfId="18281" xr:uid="{00000000-0005-0000-0000-0000BD1F0000}"/>
    <cellStyle name="20% - Accent6 30 6" xfId="4999" xr:uid="{00000000-0005-0000-0000-0000BE1F0000}"/>
    <cellStyle name="20% - Accent6 30 6 2" xfId="16287" xr:uid="{00000000-0005-0000-0000-0000BF1F0000}"/>
    <cellStyle name="20% - Accent6 30 7" xfId="14293" xr:uid="{00000000-0005-0000-0000-0000C01F0000}"/>
    <cellStyle name="20% - Accent6 30 8" xfId="12979" xr:uid="{00000000-0005-0000-0000-0000C11F0000}"/>
    <cellStyle name="20% - Accent6 31" xfId="1044" xr:uid="{00000000-0005-0000-0000-0000C21F0000}"/>
    <cellStyle name="20% - Accent6 31 2" xfId="4000" xr:uid="{00000000-0005-0000-0000-0000C31F0000}"/>
    <cellStyle name="20% - Accent6 31 2 2" xfId="11979" xr:uid="{00000000-0005-0000-0000-0000C41F0000}"/>
    <cellStyle name="20% - Accent6 31 2 2 2" xfId="23267" xr:uid="{00000000-0005-0000-0000-0000C51F0000}"/>
    <cellStyle name="20% - Accent6 31 2 3" xfId="9985" xr:uid="{00000000-0005-0000-0000-0000C61F0000}"/>
    <cellStyle name="20% - Accent6 31 2 3 2" xfId="21273" xr:uid="{00000000-0005-0000-0000-0000C71F0000}"/>
    <cellStyle name="20% - Accent6 31 2 4" xfId="7991" xr:uid="{00000000-0005-0000-0000-0000C81F0000}"/>
    <cellStyle name="20% - Accent6 31 2 4 2" xfId="19279" xr:uid="{00000000-0005-0000-0000-0000C91F0000}"/>
    <cellStyle name="20% - Accent6 31 2 5" xfId="5997" xr:uid="{00000000-0005-0000-0000-0000CA1F0000}"/>
    <cellStyle name="20% - Accent6 31 2 5 2" xfId="17285" xr:uid="{00000000-0005-0000-0000-0000CB1F0000}"/>
    <cellStyle name="20% - Accent6 31 2 6" xfId="15291" xr:uid="{00000000-0005-0000-0000-0000CC1F0000}"/>
    <cellStyle name="20% - Accent6 31 3" xfId="10982" xr:uid="{00000000-0005-0000-0000-0000CD1F0000}"/>
    <cellStyle name="20% - Accent6 31 3 2" xfId="22270" xr:uid="{00000000-0005-0000-0000-0000CE1F0000}"/>
    <cellStyle name="20% - Accent6 31 4" xfId="8988" xr:uid="{00000000-0005-0000-0000-0000CF1F0000}"/>
    <cellStyle name="20% - Accent6 31 4 2" xfId="20276" xr:uid="{00000000-0005-0000-0000-0000D01F0000}"/>
    <cellStyle name="20% - Accent6 31 5" xfId="6994" xr:uid="{00000000-0005-0000-0000-0000D11F0000}"/>
    <cellStyle name="20% - Accent6 31 5 2" xfId="18282" xr:uid="{00000000-0005-0000-0000-0000D21F0000}"/>
    <cellStyle name="20% - Accent6 31 6" xfId="5000" xr:uid="{00000000-0005-0000-0000-0000D31F0000}"/>
    <cellStyle name="20% - Accent6 31 6 2" xfId="16288" xr:uid="{00000000-0005-0000-0000-0000D41F0000}"/>
    <cellStyle name="20% - Accent6 31 7" xfId="14294" xr:uid="{00000000-0005-0000-0000-0000D51F0000}"/>
    <cellStyle name="20% - Accent6 31 8" xfId="12980" xr:uid="{00000000-0005-0000-0000-0000D61F0000}"/>
    <cellStyle name="20% - Accent6 32" xfId="1045" xr:uid="{00000000-0005-0000-0000-0000D71F0000}"/>
    <cellStyle name="20% - Accent6 32 2" xfId="4001" xr:uid="{00000000-0005-0000-0000-0000D81F0000}"/>
    <cellStyle name="20% - Accent6 32 2 2" xfId="11980" xr:uid="{00000000-0005-0000-0000-0000D91F0000}"/>
    <cellStyle name="20% - Accent6 32 2 2 2" xfId="23268" xr:uid="{00000000-0005-0000-0000-0000DA1F0000}"/>
    <cellStyle name="20% - Accent6 32 2 3" xfId="9986" xr:uid="{00000000-0005-0000-0000-0000DB1F0000}"/>
    <cellStyle name="20% - Accent6 32 2 3 2" xfId="21274" xr:uid="{00000000-0005-0000-0000-0000DC1F0000}"/>
    <cellStyle name="20% - Accent6 32 2 4" xfId="7992" xr:uid="{00000000-0005-0000-0000-0000DD1F0000}"/>
    <cellStyle name="20% - Accent6 32 2 4 2" xfId="19280" xr:uid="{00000000-0005-0000-0000-0000DE1F0000}"/>
    <cellStyle name="20% - Accent6 32 2 5" xfId="5998" xr:uid="{00000000-0005-0000-0000-0000DF1F0000}"/>
    <cellStyle name="20% - Accent6 32 2 5 2" xfId="17286" xr:uid="{00000000-0005-0000-0000-0000E01F0000}"/>
    <cellStyle name="20% - Accent6 32 2 6" xfId="15292" xr:uid="{00000000-0005-0000-0000-0000E11F0000}"/>
    <cellStyle name="20% - Accent6 32 3" xfId="10983" xr:uid="{00000000-0005-0000-0000-0000E21F0000}"/>
    <cellStyle name="20% - Accent6 32 3 2" xfId="22271" xr:uid="{00000000-0005-0000-0000-0000E31F0000}"/>
    <cellStyle name="20% - Accent6 32 4" xfId="8989" xr:uid="{00000000-0005-0000-0000-0000E41F0000}"/>
    <cellStyle name="20% - Accent6 32 4 2" xfId="20277" xr:uid="{00000000-0005-0000-0000-0000E51F0000}"/>
    <cellStyle name="20% - Accent6 32 5" xfId="6995" xr:uid="{00000000-0005-0000-0000-0000E61F0000}"/>
    <cellStyle name="20% - Accent6 32 5 2" xfId="18283" xr:uid="{00000000-0005-0000-0000-0000E71F0000}"/>
    <cellStyle name="20% - Accent6 32 6" xfId="5001" xr:uid="{00000000-0005-0000-0000-0000E81F0000}"/>
    <cellStyle name="20% - Accent6 32 6 2" xfId="16289" xr:uid="{00000000-0005-0000-0000-0000E91F0000}"/>
    <cellStyle name="20% - Accent6 32 7" xfId="14295" xr:uid="{00000000-0005-0000-0000-0000EA1F0000}"/>
    <cellStyle name="20% - Accent6 32 8" xfId="12981" xr:uid="{00000000-0005-0000-0000-0000EB1F0000}"/>
    <cellStyle name="20% - Accent6 33" xfId="1046" xr:uid="{00000000-0005-0000-0000-0000EC1F0000}"/>
    <cellStyle name="20% - Accent6 33 2" xfId="4002" xr:uid="{00000000-0005-0000-0000-0000ED1F0000}"/>
    <cellStyle name="20% - Accent6 33 2 2" xfId="11981" xr:uid="{00000000-0005-0000-0000-0000EE1F0000}"/>
    <cellStyle name="20% - Accent6 33 2 2 2" xfId="23269" xr:uid="{00000000-0005-0000-0000-0000EF1F0000}"/>
    <cellStyle name="20% - Accent6 33 2 3" xfId="9987" xr:uid="{00000000-0005-0000-0000-0000F01F0000}"/>
    <cellStyle name="20% - Accent6 33 2 3 2" xfId="21275" xr:uid="{00000000-0005-0000-0000-0000F11F0000}"/>
    <cellStyle name="20% - Accent6 33 2 4" xfId="7993" xr:uid="{00000000-0005-0000-0000-0000F21F0000}"/>
    <cellStyle name="20% - Accent6 33 2 4 2" xfId="19281" xr:uid="{00000000-0005-0000-0000-0000F31F0000}"/>
    <cellStyle name="20% - Accent6 33 2 5" xfId="5999" xr:uid="{00000000-0005-0000-0000-0000F41F0000}"/>
    <cellStyle name="20% - Accent6 33 2 5 2" xfId="17287" xr:uid="{00000000-0005-0000-0000-0000F51F0000}"/>
    <cellStyle name="20% - Accent6 33 2 6" xfId="15293" xr:uid="{00000000-0005-0000-0000-0000F61F0000}"/>
    <cellStyle name="20% - Accent6 33 3" xfId="10984" xr:uid="{00000000-0005-0000-0000-0000F71F0000}"/>
    <cellStyle name="20% - Accent6 33 3 2" xfId="22272" xr:uid="{00000000-0005-0000-0000-0000F81F0000}"/>
    <cellStyle name="20% - Accent6 33 4" xfId="8990" xr:uid="{00000000-0005-0000-0000-0000F91F0000}"/>
    <cellStyle name="20% - Accent6 33 4 2" xfId="20278" xr:uid="{00000000-0005-0000-0000-0000FA1F0000}"/>
    <cellStyle name="20% - Accent6 33 5" xfId="6996" xr:uid="{00000000-0005-0000-0000-0000FB1F0000}"/>
    <cellStyle name="20% - Accent6 33 5 2" xfId="18284" xr:uid="{00000000-0005-0000-0000-0000FC1F0000}"/>
    <cellStyle name="20% - Accent6 33 6" xfId="5002" xr:uid="{00000000-0005-0000-0000-0000FD1F0000}"/>
    <cellStyle name="20% - Accent6 33 6 2" xfId="16290" xr:uid="{00000000-0005-0000-0000-0000FE1F0000}"/>
    <cellStyle name="20% - Accent6 33 7" xfId="14296" xr:uid="{00000000-0005-0000-0000-0000FF1F0000}"/>
    <cellStyle name="20% - Accent6 33 8" xfId="12982" xr:uid="{00000000-0005-0000-0000-000000200000}"/>
    <cellStyle name="20% - Accent6 34" xfId="1047" xr:uid="{00000000-0005-0000-0000-000001200000}"/>
    <cellStyle name="20% - Accent6 34 2" xfId="4003" xr:uid="{00000000-0005-0000-0000-000002200000}"/>
    <cellStyle name="20% - Accent6 34 2 2" xfId="11982" xr:uid="{00000000-0005-0000-0000-000003200000}"/>
    <cellStyle name="20% - Accent6 34 2 2 2" xfId="23270" xr:uid="{00000000-0005-0000-0000-000004200000}"/>
    <cellStyle name="20% - Accent6 34 2 3" xfId="9988" xr:uid="{00000000-0005-0000-0000-000005200000}"/>
    <cellStyle name="20% - Accent6 34 2 3 2" xfId="21276" xr:uid="{00000000-0005-0000-0000-000006200000}"/>
    <cellStyle name="20% - Accent6 34 2 4" xfId="7994" xr:uid="{00000000-0005-0000-0000-000007200000}"/>
    <cellStyle name="20% - Accent6 34 2 4 2" xfId="19282" xr:uid="{00000000-0005-0000-0000-000008200000}"/>
    <cellStyle name="20% - Accent6 34 2 5" xfId="6000" xr:uid="{00000000-0005-0000-0000-000009200000}"/>
    <cellStyle name="20% - Accent6 34 2 5 2" xfId="17288" xr:uid="{00000000-0005-0000-0000-00000A200000}"/>
    <cellStyle name="20% - Accent6 34 2 6" xfId="15294" xr:uid="{00000000-0005-0000-0000-00000B200000}"/>
    <cellStyle name="20% - Accent6 34 3" xfId="10985" xr:uid="{00000000-0005-0000-0000-00000C200000}"/>
    <cellStyle name="20% - Accent6 34 3 2" xfId="22273" xr:uid="{00000000-0005-0000-0000-00000D200000}"/>
    <cellStyle name="20% - Accent6 34 4" xfId="8991" xr:uid="{00000000-0005-0000-0000-00000E200000}"/>
    <cellStyle name="20% - Accent6 34 4 2" xfId="20279" xr:uid="{00000000-0005-0000-0000-00000F200000}"/>
    <cellStyle name="20% - Accent6 34 5" xfId="6997" xr:uid="{00000000-0005-0000-0000-000010200000}"/>
    <cellStyle name="20% - Accent6 34 5 2" xfId="18285" xr:uid="{00000000-0005-0000-0000-000011200000}"/>
    <cellStyle name="20% - Accent6 34 6" xfId="5003" xr:uid="{00000000-0005-0000-0000-000012200000}"/>
    <cellStyle name="20% - Accent6 34 6 2" xfId="16291" xr:uid="{00000000-0005-0000-0000-000013200000}"/>
    <cellStyle name="20% - Accent6 34 7" xfId="14297" xr:uid="{00000000-0005-0000-0000-000014200000}"/>
    <cellStyle name="20% - Accent6 34 8" xfId="12983" xr:uid="{00000000-0005-0000-0000-000015200000}"/>
    <cellStyle name="20% - Accent6 35" xfId="1048" xr:uid="{00000000-0005-0000-0000-000016200000}"/>
    <cellStyle name="20% - Accent6 35 2" xfId="4004" xr:uid="{00000000-0005-0000-0000-000017200000}"/>
    <cellStyle name="20% - Accent6 35 2 2" xfId="11983" xr:uid="{00000000-0005-0000-0000-000018200000}"/>
    <cellStyle name="20% - Accent6 35 2 2 2" xfId="23271" xr:uid="{00000000-0005-0000-0000-000019200000}"/>
    <cellStyle name="20% - Accent6 35 2 3" xfId="9989" xr:uid="{00000000-0005-0000-0000-00001A200000}"/>
    <cellStyle name="20% - Accent6 35 2 3 2" xfId="21277" xr:uid="{00000000-0005-0000-0000-00001B200000}"/>
    <cellStyle name="20% - Accent6 35 2 4" xfId="7995" xr:uid="{00000000-0005-0000-0000-00001C200000}"/>
    <cellStyle name="20% - Accent6 35 2 4 2" xfId="19283" xr:uid="{00000000-0005-0000-0000-00001D200000}"/>
    <cellStyle name="20% - Accent6 35 2 5" xfId="6001" xr:uid="{00000000-0005-0000-0000-00001E200000}"/>
    <cellStyle name="20% - Accent6 35 2 5 2" xfId="17289" xr:uid="{00000000-0005-0000-0000-00001F200000}"/>
    <cellStyle name="20% - Accent6 35 2 6" xfId="15295" xr:uid="{00000000-0005-0000-0000-000020200000}"/>
    <cellStyle name="20% - Accent6 35 3" xfId="10986" xr:uid="{00000000-0005-0000-0000-000021200000}"/>
    <cellStyle name="20% - Accent6 35 3 2" xfId="22274" xr:uid="{00000000-0005-0000-0000-000022200000}"/>
    <cellStyle name="20% - Accent6 35 4" xfId="8992" xr:uid="{00000000-0005-0000-0000-000023200000}"/>
    <cellStyle name="20% - Accent6 35 4 2" xfId="20280" xr:uid="{00000000-0005-0000-0000-000024200000}"/>
    <cellStyle name="20% - Accent6 35 5" xfId="6998" xr:uid="{00000000-0005-0000-0000-000025200000}"/>
    <cellStyle name="20% - Accent6 35 5 2" xfId="18286" xr:uid="{00000000-0005-0000-0000-000026200000}"/>
    <cellStyle name="20% - Accent6 35 6" xfId="5004" xr:uid="{00000000-0005-0000-0000-000027200000}"/>
    <cellStyle name="20% - Accent6 35 6 2" xfId="16292" xr:uid="{00000000-0005-0000-0000-000028200000}"/>
    <cellStyle name="20% - Accent6 35 7" xfId="14298" xr:uid="{00000000-0005-0000-0000-000029200000}"/>
    <cellStyle name="20% - Accent6 35 8" xfId="12984" xr:uid="{00000000-0005-0000-0000-00002A200000}"/>
    <cellStyle name="20% - Accent6 36" xfId="1049" xr:uid="{00000000-0005-0000-0000-00002B200000}"/>
    <cellStyle name="20% - Accent6 36 2" xfId="4005" xr:uid="{00000000-0005-0000-0000-00002C200000}"/>
    <cellStyle name="20% - Accent6 36 2 2" xfId="11984" xr:uid="{00000000-0005-0000-0000-00002D200000}"/>
    <cellStyle name="20% - Accent6 36 2 2 2" xfId="23272" xr:uid="{00000000-0005-0000-0000-00002E200000}"/>
    <cellStyle name="20% - Accent6 36 2 3" xfId="9990" xr:uid="{00000000-0005-0000-0000-00002F200000}"/>
    <cellStyle name="20% - Accent6 36 2 3 2" xfId="21278" xr:uid="{00000000-0005-0000-0000-000030200000}"/>
    <cellStyle name="20% - Accent6 36 2 4" xfId="7996" xr:uid="{00000000-0005-0000-0000-000031200000}"/>
    <cellStyle name="20% - Accent6 36 2 4 2" xfId="19284" xr:uid="{00000000-0005-0000-0000-000032200000}"/>
    <cellStyle name="20% - Accent6 36 2 5" xfId="6002" xr:uid="{00000000-0005-0000-0000-000033200000}"/>
    <cellStyle name="20% - Accent6 36 2 5 2" xfId="17290" xr:uid="{00000000-0005-0000-0000-000034200000}"/>
    <cellStyle name="20% - Accent6 36 2 6" xfId="15296" xr:uid="{00000000-0005-0000-0000-000035200000}"/>
    <cellStyle name="20% - Accent6 36 3" xfId="10987" xr:uid="{00000000-0005-0000-0000-000036200000}"/>
    <cellStyle name="20% - Accent6 36 3 2" xfId="22275" xr:uid="{00000000-0005-0000-0000-000037200000}"/>
    <cellStyle name="20% - Accent6 36 4" xfId="8993" xr:uid="{00000000-0005-0000-0000-000038200000}"/>
    <cellStyle name="20% - Accent6 36 4 2" xfId="20281" xr:uid="{00000000-0005-0000-0000-000039200000}"/>
    <cellStyle name="20% - Accent6 36 5" xfId="6999" xr:uid="{00000000-0005-0000-0000-00003A200000}"/>
    <cellStyle name="20% - Accent6 36 5 2" xfId="18287" xr:uid="{00000000-0005-0000-0000-00003B200000}"/>
    <cellStyle name="20% - Accent6 36 6" xfId="5005" xr:uid="{00000000-0005-0000-0000-00003C200000}"/>
    <cellStyle name="20% - Accent6 36 6 2" xfId="16293" xr:uid="{00000000-0005-0000-0000-00003D200000}"/>
    <cellStyle name="20% - Accent6 36 7" xfId="14299" xr:uid="{00000000-0005-0000-0000-00003E200000}"/>
    <cellStyle name="20% - Accent6 36 8" xfId="12985" xr:uid="{00000000-0005-0000-0000-00003F200000}"/>
    <cellStyle name="20% - Accent6 37" xfId="1050" xr:uid="{00000000-0005-0000-0000-000040200000}"/>
    <cellStyle name="20% - Accent6 37 2" xfId="4006" xr:uid="{00000000-0005-0000-0000-000041200000}"/>
    <cellStyle name="20% - Accent6 37 2 2" xfId="11985" xr:uid="{00000000-0005-0000-0000-000042200000}"/>
    <cellStyle name="20% - Accent6 37 2 2 2" xfId="23273" xr:uid="{00000000-0005-0000-0000-000043200000}"/>
    <cellStyle name="20% - Accent6 37 2 3" xfId="9991" xr:uid="{00000000-0005-0000-0000-000044200000}"/>
    <cellStyle name="20% - Accent6 37 2 3 2" xfId="21279" xr:uid="{00000000-0005-0000-0000-000045200000}"/>
    <cellStyle name="20% - Accent6 37 2 4" xfId="7997" xr:uid="{00000000-0005-0000-0000-000046200000}"/>
    <cellStyle name="20% - Accent6 37 2 4 2" xfId="19285" xr:uid="{00000000-0005-0000-0000-000047200000}"/>
    <cellStyle name="20% - Accent6 37 2 5" xfId="6003" xr:uid="{00000000-0005-0000-0000-000048200000}"/>
    <cellStyle name="20% - Accent6 37 2 5 2" xfId="17291" xr:uid="{00000000-0005-0000-0000-000049200000}"/>
    <cellStyle name="20% - Accent6 37 2 6" xfId="15297" xr:uid="{00000000-0005-0000-0000-00004A200000}"/>
    <cellStyle name="20% - Accent6 37 3" xfId="10988" xr:uid="{00000000-0005-0000-0000-00004B200000}"/>
    <cellStyle name="20% - Accent6 37 3 2" xfId="22276" xr:uid="{00000000-0005-0000-0000-00004C200000}"/>
    <cellStyle name="20% - Accent6 37 4" xfId="8994" xr:uid="{00000000-0005-0000-0000-00004D200000}"/>
    <cellStyle name="20% - Accent6 37 4 2" xfId="20282" xr:uid="{00000000-0005-0000-0000-00004E200000}"/>
    <cellStyle name="20% - Accent6 37 5" xfId="7000" xr:uid="{00000000-0005-0000-0000-00004F200000}"/>
    <cellStyle name="20% - Accent6 37 5 2" xfId="18288" xr:uid="{00000000-0005-0000-0000-000050200000}"/>
    <cellStyle name="20% - Accent6 37 6" xfId="5006" xr:uid="{00000000-0005-0000-0000-000051200000}"/>
    <cellStyle name="20% - Accent6 37 6 2" xfId="16294" xr:uid="{00000000-0005-0000-0000-000052200000}"/>
    <cellStyle name="20% - Accent6 37 7" xfId="14300" xr:uid="{00000000-0005-0000-0000-000053200000}"/>
    <cellStyle name="20% - Accent6 37 8" xfId="12986" xr:uid="{00000000-0005-0000-0000-000054200000}"/>
    <cellStyle name="20% - Accent6 38" xfId="1051" xr:uid="{00000000-0005-0000-0000-000055200000}"/>
    <cellStyle name="20% - Accent6 38 2" xfId="4007" xr:uid="{00000000-0005-0000-0000-000056200000}"/>
    <cellStyle name="20% - Accent6 38 2 2" xfId="11986" xr:uid="{00000000-0005-0000-0000-000057200000}"/>
    <cellStyle name="20% - Accent6 38 2 2 2" xfId="23274" xr:uid="{00000000-0005-0000-0000-000058200000}"/>
    <cellStyle name="20% - Accent6 38 2 3" xfId="9992" xr:uid="{00000000-0005-0000-0000-000059200000}"/>
    <cellStyle name="20% - Accent6 38 2 3 2" xfId="21280" xr:uid="{00000000-0005-0000-0000-00005A200000}"/>
    <cellStyle name="20% - Accent6 38 2 4" xfId="7998" xr:uid="{00000000-0005-0000-0000-00005B200000}"/>
    <cellStyle name="20% - Accent6 38 2 4 2" xfId="19286" xr:uid="{00000000-0005-0000-0000-00005C200000}"/>
    <cellStyle name="20% - Accent6 38 2 5" xfId="6004" xr:uid="{00000000-0005-0000-0000-00005D200000}"/>
    <cellStyle name="20% - Accent6 38 2 5 2" xfId="17292" xr:uid="{00000000-0005-0000-0000-00005E200000}"/>
    <cellStyle name="20% - Accent6 38 2 6" xfId="15298" xr:uid="{00000000-0005-0000-0000-00005F200000}"/>
    <cellStyle name="20% - Accent6 38 3" xfId="10989" xr:uid="{00000000-0005-0000-0000-000060200000}"/>
    <cellStyle name="20% - Accent6 38 3 2" xfId="22277" xr:uid="{00000000-0005-0000-0000-000061200000}"/>
    <cellStyle name="20% - Accent6 38 4" xfId="8995" xr:uid="{00000000-0005-0000-0000-000062200000}"/>
    <cellStyle name="20% - Accent6 38 4 2" xfId="20283" xr:uid="{00000000-0005-0000-0000-000063200000}"/>
    <cellStyle name="20% - Accent6 38 5" xfId="7001" xr:uid="{00000000-0005-0000-0000-000064200000}"/>
    <cellStyle name="20% - Accent6 38 5 2" xfId="18289" xr:uid="{00000000-0005-0000-0000-000065200000}"/>
    <cellStyle name="20% - Accent6 38 6" xfId="5007" xr:uid="{00000000-0005-0000-0000-000066200000}"/>
    <cellStyle name="20% - Accent6 38 6 2" xfId="16295" xr:uid="{00000000-0005-0000-0000-000067200000}"/>
    <cellStyle name="20% - Accent6 38 7" xfId="14301" xr:uid="{00000000-0005-0000-0000-000068200000}"/>
    <cellStyle name="20% - Accent6 38 8" xfId="12987" xr:uid="{00000000-0005-0000-0000-000069200000}"/>
    <cellStyle name="20% - Accent6 39" xfId="1052" xr:uid="{00000000-0005-0000-0000-00006A200000}"/>
    <cellStyle name="20% - Accent6 39 2" xfId="4008" xr:uid="{00000000-0005-0000-0000-00006B200000}"/>
    <cellStyle name="20% - Accent6 39 2 2" xfId="11987" xr:uid="{00000000-0005-0000-0000-00006C200000}"/>
    <cellStyle name="20% - Accent6 39 2 2 2" xfId="23275" xr:uid="{00000000-0005-0000-0000-00006D200000}"/>
    <cellStyle name="20% - Accent6 39 2 3" xfId="9993" xr:uid="{00000000-0005-0000-0000-00006E200000}"/>
    <cellStyle name="20% - Accent6 39 2 3 2" xfId="21281" xr:uid="{00000000-0005-0000-0000-00006F200000}"/>
    <cellStyle name="20% - Accent6 39 2 4" xfId="7999" xr:uid="{00000000-0005-0000-0000-000070200000}"/>
    <cellStyle name="20% - Accent6 39 2 4 2" xfId="19287" xr:uid="{00000000-0005-0000-0000-000071200000}"/>
    <cellStyle name="20% - Accent6 39 2 5" xfId="6005" xr:uid="{00000000-0005-0000-0000-000072200000}"/>
    <cellStyle name="20% - Accent6 39 2 5 2" xfId="17293" xr:uid="{00000000-0005-0000-0000-000073200000}"/>
    <cellStyle name="20% - Accent6 39 2 6" xfId="15299" xr:uid="{00000000-0005-0000-0000-000074200000}"/>
    <cellStyle name="20% - Accent6 39 3" xfId="10990" xr:uid="{00000000-0005-0000-0000-000075200000}"/>
    <cellStyle name="20% - Accent6 39 3 2" xfId="22278" xr:uid="{00000000-0005-0000-0000-000076200000}"/>
    <cellStyle name="20% - Accent6 39 4" xfId="8996" xr:uid="{00000000-0005-0000-0000-000077200000}"/>
    <cellStyle name="20% - Accent6 39 4 2" xfId="20284" xr:uid="{00000000-0005-0000-0000-000078200000}"/>
    <cellStyle name="20% - Accent6 39 5" xfId="7002" xr:uid="{00000000-0005-0000-0000-000079200000}"/>
    <cellStyle name="20% - Accent6 39 5 2" xfId="18290" xr:uid="{00000000-0005-0000-0000-00007A200000}"/>
    <cellStyle name="20% - Accent6 39 6" xfId="5008" xr:uid="{00000000-0005-0000-0000-00007B200000}"/>
    <cellStyle name="20% - Accent6 39 6 2" xfId="16296" xr:uid="{00000000-0005-0000-0000-00007C200000}"/>
    <cellStyle name="20% - Accent6 39 7" xfId="14302" xr:uid="{00000000-0005-0000-0000-00007D200000}"/>
    <cellStyle name="20% - Accent6 39 8" xfId="12988" xr:uid="{00000000-0005-0000-0000-00007E200000}"/>
    <cellStyle name="20% - Accent6 4" xfId="1053" xr:uid="{00000000-0005-0000-0000-00007F200000}"/>
    <cellStyle name="20% - Accent6 4 10" xfId="24591" xr:uid="{00000000-0005-0000-0000-000080200000}"/>
    <cellStyle name="20% - Accent6 4 11" xfId="24981" xr:uid="{00000000-0005-0000-0000-000081200000}"/>
    <cellStyle name="20% - Accent6 4 2" xfId="4009" xr:uid="{00000000-0005-0000-0000-000082200000}"/>
    <cellStyle name="20% - Accent6 4 2 2" xfId="11988" xr:uid="{00000000-0005-0000-0000-000083200000}"/>
    <cellStyle name="20% - Accent6 4 2 2 2" xfId="23276" xr:uid="{00000000-0005-0000-0000-000084200000}"/>
    <cellStyle name="20% - Accent6 4 2 3" xfId="9994" xr:uid="{00000000-0005-0000-0000-000085200000}"/>
    <cellStyle name="20% - Accent6 4 2 3 2" xfId="21282" xr:uid="{00000000-0005-0000-0000-000086200000}"/>
    <cellStyle name="20% - Accent6 4 2 4" xfId="8000" xr:uid="{00000000-0005-0000-0000-000087200000}"/>
    <cellStyle name="20% - Accent6 4 2 4 2" xfId="19288" xr:uid="{00000000-0005-0000-0000-000088200000}"/>
    <cellStyle name="20% - Accent6 4 2 5" xfId="6006" xr:uid="{00000000-0005-0000-0000-000089200000}"/>
    <cellStyle name="20% - Accent6 4 2 5 2" xfId="17294" xr:uid="{00000000-0005-0000-0000-00008A200000}"/>
    <cellStyle name="20% - Accent6 4 2 6" xfId="15300" xr:uid="{00000000-0005-0000-0000-00008B200000}"/>
    <cellStyle name="20% - Accent6 4 2 7" xfId="24352" xr:uid="{00000000-0005-0000-0000-00008C200000}"/>
    <cellStyle name="20% - Accent6 4 2 8" xfId="24816" xr:uid="{00000000-0005-0000-0000-00008D200000}"/>
    <cellStyle name="20% - Accent6 4 2 9" xfId="25183" xr:uid="{00000000-0005-0000-0000-00008E200000}"/>
    <cellStyle name="20% - Accent6 4 3" xfId="10991" xr:uid="{00000000-0005-0000-0000-00008F200000}"/>
    <cellStyle name="20% - Accent6 4 3 2" xfId="22279" xr:uid="{00000000-0005-0000-0000-000090200000}"/>
    <cellStyle name="20% - Accent6 4 4" xfId="8997" xr:uid="{00000000-0005-0000-0000-000091200000}"/>
    <cellStyle name="20% - Accent6 4 4 2" xfId="20285" xr:uid="{00000000-0005-0000-0000-000092200000}"/>
    <cellStyle name="20% - Accent6 4 5" xfId="7003" xr:uid="{00000000-0005-0000-0000-000093200000}"/>
    <cellStyle name="20% - Accent6 4 5 2" xfId="18291" xr:uid="{00000000-0005-0000-0000-000094200000}"/>
    <cellStyle name="20% - Accent6 4 6" xfId="5009" xr:uid="{00000000-0005-0000-0000-000095200000}"/>
    <cellStyle name="20% - Accent6 4 6 2" xfId="16297" xr:uid="{00000000-0005-0000-0000-000096200000}"/>
    <cellStyle name="20% - Accent6 4 7" xfId="14303" xr:uid="{00000000-0005-0000-0000-000097200000}"/>
    <cellStyle name="20% - Accent6 4 8" xfId="12989" xr:uid="{00000000-0005-0000-0000-000098200000}"/>
    <cellStyle name="20% - Accent6 4 9" xfId="23964" xr:uid="{00000000-0005-0000-0000-000099200000}"/>
    <cellStyle name="20% - Accent6 40" xfId="1054" xr:uid="{00000000-0005-0000-0000-00009A200000}"/>
    <cellStyle name="20% - Accent6 40 2" xfId="4010" xr:uid="{00000000-0005-0000-0000-00009B200000}"/>
    <cellStyle name="20% - Accent6 40 2 2" xfId="11989" xr:uid="{00000000-0005-0000-0000-00009C200000}"/>
    <cellStyle name="20% - Accent6 40 2 2 2" xfId="23277" xr:uid="{00000000-0005-0000-0000-00009D200000}"/>
    <cellStyle name="20% - Accent6 40 2 3" xfId="9995" xr:uid="{00000000-0005-0000-0000-00009E200000}"/>
    <cellStyle name="20% - Accent6 40 2 3 2" xfId="21283" xr:uid="{00000000-0005-0000-0000-00009F200000}"/>
    <cellStyle name="20% - Accent6 40 2 4" xfId="8001" xr:uid="{00000000-0005-0000-0000-0000A0200000}"/>
    <cellStyle name="20% - Accent6 40 2 4 2" xfId="19289" xr:uid="{00000000-0005-0000-0000-0000A1200000}"/>
    <cellStyle name="20% - Accent6 40 2 5" xfId="6007" xr:uid="{00000000-0005-0000-0000-0000A2200000}"/>
    <cellStyle name="20% - Accent6 40 2 5 2" xfId="17295" xr:uid="{00000000-0005-0000-0000-0000A3200000}"/>
    <cellStyle name="20% - Accent6 40 2 6" xfId="15301" xr:uid="{00000000-0005-0000-0000-0000A4200000}"/>
    <cellStyle name="20% - Accent6 40 3" xfId="10992" xr:uid="{00000000-0005-0000-0000-0000A5200000}"/>
    <cellStyle name="20% - Accent6 40 3 2" xfId="22280" xr:uid="{00000000-0005-0000-0000-0000A6200000}"/>
    <cellStyle name="20% - Accent6 40 4" xfId="8998" xr:uid="{00000000-0005-0000-0000-0000A7200000}"/>
    <cellStyle name="20% - Accent6 40 4 2" xfId="20286" xr:uid="{00000000-0005-0000-0000-0000A8200000}"/>
    <cellStyle name="20% - Accent6 40 5" xfId="7004" xr:uid="{00000000-0005-0000-0000-0000A9200000}"/>
    <cellStyle name="20% - Accent6 40 5 2" xfId="18292" xr:uid="{00000000-0005-0000-0000-0000AA200000}"/>
    <cellStyle name="20% - Accent6 40 6" xfId="5010" xr:uid="{00000000-0005-0000-0000-0000AB200000}"/>
    <cellStyle name="20% - Accent6 40 6 2" xfId="16298" xr:uid="{00000000-0005-0000-0000-0000AC200000}"/>
    <cellStyle name="20% - Accent6 40 7" xfId="14304" xr:uid="{00000000-0005-0000-0000-0000AD200000}"/>
    <cellStyle name="20% - Accent6 40 8" xfId="12990" xr:uid="{00000000-0005-0000-0000-0000AE200000}"/>
    <cellStyle name="20% - Accent6 41" xfId="1055" xr:uid="{00000000-0005-0000-0000-0000AF200000}"/>
    <cellStyle name="20% - Accent6 41 2" xfId="4011" xr:uid="{00000000-0005-0000-0000-0000B0200000}"/>
    <cellStyle name="20% - Accent6 41 2 2" xfId="11990" xr:uid="{00000000-0005-0000-0000-0000B1200000}"/>
    <cellStyle name="20% - Accent6 41 2 2 2" xfId="23278" xr:uid="{00000000-0005-0000-0000-0000B2200000}"/>
    <cellStyle name="20% - Accent6 41 2 3" xfId="9996" xr:uid="{00000000-0005-0000-0000-0000B3200000}"/>
    <cellStyle name="20% - Accent6 41 2 3 2" xfId="21284" xr:uid="{00000000-0005-0000-0000-0000B4200000}"/>
    <cellStyle name="20% - Accent6 41 2 4" xfId="8002" xr:uid="{00000000-0005-0000-0000-0000B5200000}"/>
    <cellStyle name="20% - Accent6 41 2 4 2" xfId="19290" xr:uid="{00000000-0005-0000-0000-0000B6200000}"/>
    <cellStyle name="20% - Accent6 41 2 5" xfId="6008" xr:uid="{00000000-0005-0000-0000-0000B7200000}"/>
    <cellStyle name="20% - Accent6 41 2 5 2" xfId="17296" xr:uid="{00000000-0005-0000-0000-0000B8200000}"/>
    <cellStyle name="20% - Accent6 41 2 6" xfId="15302" xr:uid="{00000000-0005-0000-0000-0000B9200000}"/>
    <cellStyle name="20% - Accent6 41 3" xfId="10993" xr:uid="{00000000-0005-0000-0000-0000BA200000}"/>
    <cellStyle name="20% - Accent6 41 3 2" xfId="22281" xr:uid="{00000000-0005-0000-0000-0000BB200000}"/>
    <cellStyle name="20% - Accent6 41 4" xfId="8999" xr:uid="{00000000-0005-0000-0000-0000BC200000}"/>
    <cellStyle name="20% - Accent6 41 4 2" xfId="20287" xr:uid="{00000000-0005-0000-0000-0000BD200000}"/>
    <cellStyle name="20% - Accent6 41 5" xfId="7005" xr:uid="{00000000-0005-0000-0000-0000BE200000}"/>
    <cellStyle name="20% - Accent6 41 5 2" xfId="18293" xr:uid="{00000000-0005-0000-0000-0000BF200000}"/>
    <cellStyle name="20% - Accent6 41 6" xfId="5011" xr:uid="{00000000-0005-0000-0000-0000C0200000}"/>
    <cellStyle name="20% - Accent6 41 6 2" xfId="16299" xr:uid="{00000000-0005-0000-0000-0000C1200000}"/>
    <cellStyle name="20% - Accent6 41 7" xfId="14305" xr:uid="{00000000-0005-0000-0000-0000C2200000}"/>
    <cellStyle name="20% - Accent6 41 8" xfId="12991" xr:uid="{00000000-0005-0000-0000-0000C3200000}"/>
    <cellStyle name="20% - Accent6 42" xfId="1056" xr:uid="{00000000-0005-0000-0000-0000C4200000}"/>
    <cellStyle name="20% - Accent6 42 2" xfId="4012" xr:uid="{00000000-0005-0000-0000-0000C5200000}"/>
    <cellStyle name="20% - Accent6 42 2 2" xfId="11991" xr:uid="{00000000-0005-0000-0000-0000C6200000}"/>
    <cellStyle name="20% - Accent6 42 2 2 2" xfId="23279" xr:uid="{00000000-0005-0000-0000-0000C7200000}"/>
    <cellStyle name="20% - Accent6 42 2 3" xfId="9997" xr:uid="{00000000-0005-0000-0000-0000C8200000}"/>
    <cellStyle name="20% - Accent6 42 2 3 2" xfId="21285" xr:uid="{00000000-0005-0000-0000-0000C9200000}"/>
    <cellStyle name="20% - Accent6 42 2 4" xfId="8003" xr:uid="{00000000-0005-0000-0000-0000CA200000}"/>
    <cellStyle name="20% - Accent6 42 2 4 2" xfId="19291" xr:uid="{00000000-0005-0000-0000-0000CB200000}"/>
    <cellStyle name="20% - Accent6 42 2 5" xfId="6009" xr:uid="{00000000-0005-0000-0000-0000CC200000}"/>
    <cellStyle name="20% - Accent6 42 2 5 2" xfId="17297" xr:uid="{00000000-0005-0000-0000-0000CD200000}"/>
    <cellStyle name="20% - Accent6 42 2 6" xfId="15303" xr:uid="{00000000-0005-0000-0000-0000CE200000}"/>
    <cellStyle name="20% - Accent6 42 3" xfId="10994" xr:uid="{00000000-0005-0000-0000-0000CF200000}"/>
    <cellStyle name="20% - Accent6 42 3 2" xfId="22282" xr:uid="{00000000-0005-0000-0000-0000D0200000}"/>
    <cellStyle name="20% - Accent6 42 4" xfId="9000" xr:uid="{00000000-0005-0000-0000-0000D1200000}"/>
    <cellStyle name="20% - Accent6 42 4 2" xfId="20288" xr:uid="{00000000-0005-0000-0000-0000D2200000}"/>
    <cellStyle name="20% - Accent6 42 5" xfId="7006" xr:uid="{00000000-0005-0000-0000-0000D3200000}"/>
    <cellStyle name="20% - Accent6 42 5 2" xfId="18294" xr:uid="{00000000-0005-0000-0000-0000D4200000}"/>
    <cellStyle name="20% - Accent6 42 6" xfId="5012" xr:uid="{00000000-0005-0000-0000-0000D5200000}"/>
    <cellStyle name="20% - Accent6 42 6 2" xfId="16300" xr:uid="{00000000-0005-0000-0000-0000D6200000}"/>
    <cellStyle name="20% - Accent6 42 7" xfId="14306" xr:uid="{00000000-0005-0000-0000-0000D7200000}"/>
    <cellStyle name="20% - Accent6 42 8" xfId="12992" xr:uid="{00000000-0005-0000-0000-0000D8200000}"/>
    <cellStyle name="20% - Accent6 43" xfId="1057" xr:uid="{00000000-0005-0000-0000-0000D9200000}"/>
    <cellStyle name="20% - Accent6 43 2" xfId="4013" xr:uid="{00000000-0005-0000-0000-0000DA200000}"/>
    <cellStyle name="20% - Accent6 43 2 2" xfId="11992" xr:uid="{00000000-0005-0000-0000-0000DB200000}"/>
    <cellStyle name="20% - Accent6 43 2 2 2" xfId="23280" xr:uid="{00000000-0005-0000-0000-0000DC200000}"/>
    <cellStyle name="20% - Accent6 43 2 3" xfId="9998" xr:uid="{00000000-0005-0000-0000-0000DD200000}"/>
    <cellStyle name="20% - Accent6 43 2 3 2" xfId="21286" xr:uid="{00000000-0005-0000-0000-0000DE200000}"/>
    <cellStyle name="20% - Accent6 43 2 4" xfId="8004" xr:uid="{00000000-0005-0000-0000-0000DF200000}"/>
    <cellStyle name="20% - Accent6 43 2 4 2" xfId="19292" xr:uid="{00000000-0005-0000-0000-0000E0200000}"/>
    <cellStyle name="20% - Accent6 43 2 5" xfId="6010" xr:uid="{00000000-0005-0000-0000-0000E1200000}"/>
    <cellStyle name="20% - Accent6 43 2 5 2" xfId="17298" xr:uid="{00000000-0005-0000-0000-0000E2200000}"/>
    <cellStyle name="20% - Accent6 43 2 6" xfId="15304" xr:uid="{00000000-0005-0000-0000-0000E3200000}"/>
    <cellStyle name="20% - Accent6 43 3" xfId="10995" xr:uid="{00000000-0005-0000-0000-0000E4200000}"/>
    <cellStyle name="20% - Accent6 43 3 2" xfId="22283" xr:uid="{00000000-0005-0000-0000-0000E5200000}"/>
    <cellStyle name="20% - Accent6 43 4" xfId="9001" xr:uid="{00000000-0005-0000-0000-0000E6200000}"/>
    <cellStyle name="20% - Accent6 43 4 2" xfId="20289" xr:uid="{00000000-0005-0000-0000-0000E7200000}"/>
    <cellStyle name="20% - Accent6 43 5" xfId="7007" xr:uid="{00000000-0005-0000-0000-0000E8200000}"/>
    <cellStyle name="20% - Accent6 43 5 2" xfId="18295" xr:uid="{00000000-0005-0000-0000-0000E9200000}"/>
    <cellStyle name="20% - Accent6 43 6" xfId="5013" xr:uid="{00000000-0005-0000-0000-0000EA200000}"/>
    <cellStyle name="20% - Accent6 43 6 2" xfId="16301" xr:uid="{00000000-0005-0000-0000-0000EB200000}"/>
    <cellStyle name="20% - Accent6 43 7" xfId="14307" xr:uid="{00000000-0005-0000-0000-0000EC200000}"/>
    <cellStyle name="20% - Accent6 43 8" xfId="12993" xr:uid="{00000000-0005-0000-0000-0000ED200000}"/>
    <cellStyle name="20% - Accent6 44" xfId="1058" xr:uid="{00000000-0005-0000-0000-0000EE200000}"/>
    <cellStyle name="20% - Accent6 44 2" xfId="4014" xr:uid="{00000000-0005-0000-0000-0000EF200000}"/>
    <cellStyle name="20% - Accent6 44 2 2" xfId="11993" xr:uid="{00000000-0005-0000-0000-0000F0200000}"/>
    <cellStyle name="20% - Accent6 44 2 2 2" xfId="23281" xr:uid="{00000000-0005-0000-0000-0000F1200000}"/>
    <cellStyle name="20% - Accent6 44 2 3" xfId="9999" xr:uid="{00000000-0005-0000-0000-0000F2200000}"/>
    <cellStyle name="20% - Accent6 44 2 3 2" xfId="21287" xr:uid="{00000000-0005-0000-0000-0000F3200000}"/>
    <cellStyle name="20% - Accent6 44 2 4" xfId="8005" xr:uid="{00000000-0005-0000-0000-0000F4200000}"/>
    <cellStyle name="20% - Accent6 44 2 4 2" xfId="19293" xr:uid="{00000000-0005-0000-0000-0000F5200000}"/>
    <cellStyle name="20% - Accent6 44 2 5" xfId="6011" xr:uid="{00000000-0005-0000-0000-0000F6200000}"/>
    <cellStyle name="20% - Accent6 44 2 5 2" xfId="17299" xr:uid="{00000000-0005-0000-0000-0000F7200000}"/>
    <cellStyle name="20% - Accent6 44 2 6" xfId="15305" xr:uid="{00000000-0005-0000-0000-0000F8200000}"/>
    <cellStyle name="20% - Accent6 44 3" xfId="10996" xr:uid="{00000000-0005-0000-0000-0000F9200000}"/>
    <cellStyle name="20% - Accent6 44 3 2" xfId="22284" xr:uid="{00000000-0005-0000-0000-0000FA200000}"/>
    <cellStyle name="20% - Accent6 44 4" xfId="9002" xr:uid="{00000000-0005-0000-0000-0000FB200000}"/>
    <cellStyle name="20% - Accent6 44 4 2" xfId="20290" xr:uid="{00000000-0005-0000-0000-0000FC200000}"/>
    <cellStyle name="20% - Accent6 44 5" xfId="7008" xr:uid="{00000000-0005-0000-0000-0000FD200000}"/>
    <cellStyle name="20% - Accent6 44 5 2" xfId="18296" xr:uid="{00000000-0005-0000-0000-0000FE200000}"/>
    <cellStyle name="20% - Accent6 44 6" xfId="5014" xr:uid="{00000000-0005-0000-0000-0000FF200000}"/>
    <cellStyle name="20% - Accent6 44 6 2" xfId="16302" xr:uid="{00000000-0005-0000-0000-000000210000}"/>
    <cellStyle name="20% - Accent6 44 7" xfId="14308" xr:uid="{00000000-0005-0000-0000-000001210000}"/>
    <cellStyle name="20% - Accent6 44 8" xfId="12994" xr:uid="{00000000-0005-0000-0000-000002210000}"/>
    <cellStyle name="20% - Accent6 45" xfId="1059" xr:uid="{00000000-0005-0000-0000-000003210000}"/>
    <cellStyle name="20% - Accent6 45 2" xfId="4015" xr:uid="{00000000-0005-0000-0000-000004210000}"/>
    <cellStyle name="20% - Accent6 45 2 2" xfId="11994" xr:uid="{00000000-0005-0000-0000-000005210000}"/>
    <cellStyle name="20% - Accent6 45 2 2 2" xfId="23282" xr:uid="{00000000-0005-0000-0000-000006210000}"/>
    <cellStyle name="20% - Accent6 45 2 3" xfId="10000" xr:uid="{00000000-0005-0000-0000-000007210000}"/>
    <cellStyle name="20% - Accent6 45 2 3 2" xfId="21288" xr:uid="{00000000-0005-0000-0000-000008210000}"/>
    <cellStyle name="20% - Accent6 45 2 4" xfId="8006" xr:uid="{00000000-0005-0000-0000-000009210000}"/>
    <cellStyle name="20% - Accent6 45 2 4 2" xfId="19294" xr:uid="{00000000-0005-0000-0000-00000A210000}"/>
    <cellStyle name="20% - Accent6 45 2 5" xfId="6012" xr:uid="{00000000-0005-0000-0000-00000B210000}"/>
    <cellStyle name="20% - Accent6 45 2 5 2" xfId="17300" xr:uid="{00000000-0005-0000-0000-00000C210000}"/>
    <cellStyle name="20% - Accent6 45 2 6" xfId="15306" xr:uid="{00000000-0005-0000-0000-00000D210000}"/>
    <cellStyle name="20% - Accent6 45 3" xfId="10997" xr:uid="{00000000-0005-0000-0000-00000E210000}"/>
    <cellStyle name="20% - Accent6 45 3 2" xfId="22285" xr:uid="{00000000-0005-0000-0000-00000F210000}"/>
    <cellStyle name="20% - Accent6 45 4" xfId="9003" xr:uid="{00000000-0005-0000-0000-000010210000}"/>
    <cellStyle name="20% - Accent6 45 4 2" xfId="20291" xr:uid="{00000000-0005-0000-0000-000011210000}"/>
    <cellStyle name="20% - Accent6 45 5" xfId="7009" xr:uid="{00000000-0005-0000-0000-000012210000}"/>
    <cellStyle name="20% - Accent6 45 5 2" xfId="18297" xr:uid="{00000000-0005-0000-0000-000013210000}"/>
    <cellStyle name="20% - Accent6 45 6" xfId="5015" xr:uid="{00000000-0005-0000-0000-000014210000}"/>
    <cellStyle name="20% - Accent6 45 6 2" xfId="16303" xr:uid="{00000000-0005-0000-0000-000015210000}"/>
    <cellStyle name="20% - Accent6 45 7" xfId="14309" xr:uid="{00000000-0005-0000-0000-000016210000}"/>
    <cellStyle name="20% - Accent6 45 8" xfId="12995" xr:uid="{00000000-0005-0000-0000-000017210000}"/>
    <cellStyle name="20% - Accent6 46" xfId="1060" xr:uid="{00000000-0005-0000-0000-000018210000}"/>
    <cellStyle name="20% - Accent6 46 2" xfId="4016" xr:uid="{00000000-0005-0000-0000-000019210000}"/>
    <cellStyle name="20% - Accent6 46 2 2" xfId="11995" xr:uid="{00000000-0005-0000-0000-00001A210000}"/>
    <cellStyle name="20% - Accent6 46 2 2 2" xfId="23283" xr:uid="{00000000-0005-0000-0000-00001B210000}"/>
    <cellStyle name="20% - Accent6 46 2 3" xfId="10001" xr:uid="{00000000-0005-0000-0000-00001C210000}"/>
    <cellStyle name="20% - Accent6 46 2 3 2" xfId="21289" xr:uid="{00000000-0005-0000-0000-00001D210000}"/>
    <cellStyle name="20% - Accent6 46 2 4" xfId="8007" xr:uid="{00000000-0005-0000-0000-00001E210000}"/>
    <cellStyle name="20% - Accent6 46 2 4 2" xfId="19295" xr:uid="{00000000-0005-0000-0000-00001F210000}"/>
    <cellStyle name="20% - Accent6 46 2 5" xfId="6013" xr:uid="{00000000-0005-0000-0000-000020210000}"/>
    <cellStyle name="20% - Accent6 46 2 5 2" xfId="17301" xr:uid="{00000000-0005-0000-0000-000021210000}"/>
    <cellStyle name="20% - Accent6 46 2 6" xfId="15307" xr:uid="{00000000-0005-0000-0000-000022210000}"/>
    <cellStyle name="20% - Accent6 46 3" xfId="10998" xr:uid="{00000000-0005-0000-0000-000023210000}"/>
    <cellStyle name="20% - Accent6 46 3 2" xfId="22286" xr:uid="{00000000-0005-0000-0000-000024210000}"/>
    <cellStyle name="20% - Accent6 46 4" xfId="9004" xr:uid="{00000000-0005-0000-0000-000025210000}"/>
    <cellStyle name="20% - Accent6 46 4 2" xfId="20292" xr:uid="{00000000-0005-0000-0000-000026210000}"/>
    <cellStyle name="20% - Accent6 46 5" xfId="7010" xr:uid="{00000000-0005-0000-0000-000027210000}"/>
    <cellStyle name="20% - Accent6 46 5 2" xfId="18298" xr:uid="{00000000-0005-0000-0000-000028210000}"/>
    <cellStyle name="20% - Accent6 46 6" xfId="5016" xr:uid="{00000000-0005-0000-0000-000029210000}"/>
    <cellStyle name="20% - Accent6 46 6 2" xfId="16304" xr:uid="{00000000-0005-0000-0000-00002A210000}"/>
    <cellStyle name="20% - Accent6 46 7" xfId="14310" xr:uid="{00000000-0005-0000-0000-00002B210000}"/>
    <cellStyle name="20% - Accent6 46 8" xfId="12996" xr:uid="{00000000-0005-0000-0000-00002C210000}"/>
    <cellStyle name="20% - Accent6 47" xfId="1061" xr:uid="{00000000-0005-0000-0000-00002D210000}"/>
    <cellStyle name="20% - Accent6 47 2" xfId="4017" xr:uid="{00000000-0005-0000-0000-00002E210000}"/>
    <cellStyle name="20% - Accent6 47 2 2" xfId="11996" xr:uid="{00000000-0005-0000-0000-00002F210000}"/>
    <cellStyle name="20% - Accent6 47 2 2 2" xfId="23284" xr:uid="{00000000-0005-0000-0000-000030210000}"/>
    <cellStyle name="20% - Accent6 47 2 3" xfId="10002" xr:uid="{00000000-0005-0000-0000-000031210000}"/>
    <cellStyle name="20% - Accent6 47 2 3 2" xfId="21290" xr:uid="{00000000-0005-0000-0000-000032210000}"/>
    <cellStyle name="20% - Accent6 47 2 4" xfId="8008" xr:uid="{00000000-0005-0000-0000-000033210000}"/>
    <cellStyle name="20% - Accent6 47 2 4 2" xfId="19296" xr:uid="{00000000-0005-0000-0000-000034210000}"/>
    <cellStyle name="20% - Accent6 47 2 5" xfId="6014" xr:uid="{00000000-0005-0000-0000-000035210000}"/>
    <cellStyle name="20% - Accent6 47 2 5 2" xfId="17302" xr:uid="{00000000-0005-0000-0000-000036210000}"/>
    <cellStyle name="20% - Accent6 47 2 6" xfId="15308" xr:uid="{00000000-0005-0000-0000-000037210000}"/>
    <cellStyle name="20% - Accent6 47 3" xfId="10999" xr:uid="{00000000-0005-0000-0000-000038210000}"/>
    <cellStyle name="20% - Accent6 47 3 2" xfId="22287" xr:uid="{00000000-0005-0000-0000-000039210000}"/>
    <cellStyle name="20% - Accent6 47 4" xfId="9005" xr:uid="{00000000-0005-0000-0000-00003A210000}"/>
    <cellStyle name="20% - Accent6 47 4 2" xfId="20293" xr:uid="{00000000-0005-0000-0000-00003B210000}"/>
    <cellStyle name="20% - Accent6 47 5" xfId="7011" xr:uid="{00000000-0005-0000-0000-00003C210000}"/>
    <cellStyle name="20% - Accent6 47 5 2" xfId="18299" xr:uid="{00000000-0005-0000-0000-00003D210000}"/>
    <cellStyle name="20% - Accent6 47 6" xfId="5017" xr:uid="{00000000-0005-0000-0000-00003E210000}"/>
    <cellStyle name="20% - Accent6 47 6 2" xfId="16305" xr:uid="{00000000-0005-0000-0000-00003F210000}"/>
    <cellStyle name="20% - Accent6 47 7" xfId="14311" xr:uid="{00000000-0005-0000-0000-000040210000}"/>
    <cellStyle name="20% - Accent6 47 8" xfId="12997" xr:uid="{00000000-0005-0000-0000-000041210000}"/>
    <cellStyle name="20% - Accent6 48" xfId="1062" xr:uid="{00000000-0005-0000-0000-000042210000}"/>
    <cellStyle name="20% - Accent6 48 2" xfId="4018" xr:uid="{00000000-0005-0000-0000-000043210000}"/>
    <cellStyle name="20% - Accent6 48 2 2" xfId="11997" xr:uid="{00000000-0005-0000-0000-000044210000}"/>
    <cellStyle name="20% - Accent6 48 2 2 2" xfId="23285" xr:uid="{00000000-0005-0000-0000-000045210000}"/>
    <cellStyle name="20% - Accent6 48 2 3" xfId="10003" xr:uid="{00000000-0005-0000-0000-000046210000}"/>
    <cellStyle name="20% - Accent6 48 2 3 2" xfId="21291" xr:uid="{00000000-0005-0000-0000-000047210000}"/>
    <cellStyle name="20% - Accent6 48 2 4" xfId="8009" xr:uid="{00000000-0005-0000-0000-000048210000}"/>
    <cellStyle name="20% - Accent6 48 2 4 2" xfId="19297" xr:uid="{00000000-0005-0000-0000-000049210000}"/>
    <cellStyle name="20% - Accent6 48 2 5" xfId="6015" xr:uid="{00000000-0005-0000-0000-00004A210000}"/>
    <cellStyle name="20% - Accent6 48 2 5 2" xfId="17303" xr:uid="{00000000-0005-0000-0000-00004B210000}"/>
    <cellStyle name="20% - Accent6 48 2 6" xfId="15309" xr:uid="{00000000-0005-0000-0000-00004C210000}"/>
    <cellStyle name="20% - Accent6 48 3" xfId="11000" xr:uid="{00000000-0005-0000-0000-00004D210000}"/>
    <cellStyle name="20% - Accent6 48 3 2" xfId="22288" xr:uid="{00000000-0005-0000-0000-00004E210000}"/>
    <cellStyle name="20% - Accent6 48 4" xfId="9006" xr:uid="{00000000-0005-0000-0000-00004F210000}"/>
    <cellStyle name="20% - Accent6 48 4 2" xfId="20294" xr:uid="{00000000-0005-0000-0000-000050210000}"/>
    <cellStyle name="20% - Accent6 48 5" xfId="7012" xr:uid="{00000000-0005-0000-0000-000051210000}"/>
    <cellStyle name="20% - Accent6 48 5 2" xfId="18300" xr:uid="{00000000-0005-0000-0000-000052210000}"/>
    <cellStyle name="20% - Accent6 48 6" xfId="5018" xr:uid="{00000000-0005-0000-0000-000053210000}"/>
    <cellStyle name="20% - Accent6 48 6 2" xfId="16306" xr:uid="{00000000-0005-0000-0000-000054210000}"/>
    <cellStyle name="20% - Accent6 48 7" xfId="14312" xr:uid="{00000000-0005-0000-0000-000055210000}"/>
    <cellStyle name="20% - Accent6 48 8" xfId="12998" xr:uid="{00000000-0005-0000-0000-000056210000}"/>
    <cellStyle name="20% - Accent6 49" xfId="1063" xr:uid="{00000000-0005-0000-0000-000057210000}"/>
    <cellStyle name="20% - Accent6 49 2" xfId="4019" xr:uid="{00000000-0005-0000-0000-000058210000}"/>
    <cellStyle name="20% - Accent6 49 2 2" xfId="11998" xr:uid="{00000000-0005-0000-0000-000059210000}"/>
    <cellStyle name="20% - Accent6 49 2 2 2" xfId="23286" xr:uid="{00000000-0005-0000-0000-00005A210000}"/>
    <cellStyle name="20% - Accent6 49 2 3" xfId="10004" xr:uid="{00000000-0005-0000-0000-00005B210000}"/>
    <cellStyle name="20% - Accent6 49 2 3 2" xfId="21292" xr:uid="{00000000-0005-0000-0000-00005C210000}"/>
    <cellStyle name="20% - Accent6 49 2 4" xfId="8010" xr:uid="{00000000-0005-0000-0000-00005D210000}"/>
    <cellStyle name="20% - Accent6 49 2 4 2" xfId="19298" xr:uid="{00000000-0005-0000-0000-00005E210000}"/>
    <cellStyle name="20% - Accent6 49 2 5" xfId="6016" xr:uid="{00000000-0005-0000-0000-00005F210000}"/>
    <cellStyle name="20% - Accent6 49 2 5 2" xfId="17304" xr:uid="{00000000-0005-0000-0000-000060210000}"/>
    <cellStyle name="20% - Accent6 49 2 6" xfId="15310" xr:uid="{00000000-0005-0000-0000-000061210000}"/>
    <cellStyle name="20% - Accent6 49 3" xfId="11001" xr:uid="{00000000-0005-0000-0000-000062210000}"/>
    <cellStyle name="20% - Accent6 49 3 2" xfId="22289" xr:uid="{00000000-0005-0000-0000-000063210000}"/>
    <cellStyle name="20% - Accent6 49 4" xfId="9007" xr:uid="{00000000-0005-0000-0000-000064210000}"/>
    <cellStyle name="20% - Accent6 49 4 2" xfId="20295" xr:uid="{00000000-0005-0000-0000-000065210000}"/>
    <cellStyle name="20% - Accent6 49 5" xfId="7013" xr:uid="{00000000-0005-0000-0000-000066210000}"/>
    <cellStyle name="20% - Accent6 49 5 2" xfId="18301" xr:uid="{00000000-0005-0000-0000-000067210000}"/>
    <cellStyle name="20% - Accent6 49 6" xfId="5019" xr:uid="{00000000-0005-0000-0000-000068210000}"/>
    <cellStyle name="20% - Accent6 49 6 2" xfId="16307" xr:uid="{00000000-0005-0000-0000-000069210000}"/>
    <cellStyle name="20% - Accent6 49 7" xfId="14313" xr:uid="{00000000-0005-0000-0000-00006A210000}"/>
    <cellStyle name="20% - Accent6 49 8" xfId="12999" xr:uid="{00000000-0005-0000-0000-00006B210000}"/>
    <cellStyle name="20% - Accent6 5" xfId="1064" xr:uid="{00000000-0005-0000-0000-00006C210000}"/>
    <cellStyle name="20% - Accent6 5 10" xfId="24592" xr:uid="{00000000-0005-0000-0000-00006D210000}"/>
    <cellStyle name="20% - Accent6 5 11" xfId="24982" xr:uid="{00000000-0005-0000-0000-00006E210000}"/>
    <cellStyle name="20% - Accent6 5 2" xfId="4020" xr:uid="{00000000-0005-0000-0000-00006F210000}"/>
    <cellStyle name="20% - Accent6 5 2 2" xfId="11999" xr:uid="{00000000-0005-0000-0000-000070210000}"/>
    <cellStyle name="20% - Accent6 5 2 2 2" xfId="23287" xr:uid="{00000000-0005-0000-0000-000071210000}"/>
    <cellStyle name="20% - Accent6 5 2 3" xfId="10005" xr:uid="{00000000-0005-0000-0000-000072210000}"/>
    <cellStyle name="20% - Accent6 5 2 3 2" xfId="21293" xr:uid="{00000000-0005-0000-0000-000073210000}"/>
    <cellStyle name="20% - Accent6 5 2 4" xfId="8011" xr:uid="{00000000-0005-0000-0000-000074210000}"/>
    <cellStyle name="20% - Accent6 5 2 4 2" xfId="19299" xr:uid="{00000000-0005-0000-0000-000075210000}"/>
    <cellStyle name="20% - Accent6 5 2 5" xfId="6017" xr:uid="{00000000-0005-0000-0000-000076210000}"/>
    <cellStyle name="20% - Accent6 5 2 5 2" xfId="17305" xr:uid="{00000000-0005-0000-0000-000077210000}"/>
    <cellStyle name="20% - Accent6 5 2 6" xfId="15311" xr:uid="{00000000-0005-0000-0000-000078210000}"/>
    <cellStyle name="20% - Accent6 5 2 7" xfId="24353" xr:uid="{00000000-0005-0000-0000-000079210000}"/>
    <cellStyle name="20% - Accent6 5 2 8" xfId="24817" xr:uid="{00000000-0005-0000-0000-00007A210000}"/>
    <cellStyle name="20% - Accent6 5 2 9" xfId="25184" xr:uid="{00000000-0005-0000-0000-00007B210000}"/>
    <cellStyle name="20% - Accent6 5 3" xfId="11002" xr:uid="{00000000-0005-0000-0000-00007C210000}"/>
    <cellStyle name="20% - Accent6 5 3 2" xfId="22290" xr:uid="{00000000-0005-0000-0000-00007D210000}"/>
    <cellStyle name="20% - Accent6 5 4" xfId="9008" xr:uid="{00000000-0005-0000-0000-00007E210000}"/>
    <cellStyle name="20% - Accent6 5 4 2" xfId="20296" xr:uid="{00000000-0005-0000-0000-00007F210000}"/>
    <cellStyle name="20% - Accent6 5 5" xfId="7014" xr:uid="{00000000-0005-0000-0000-000080210000}"/>
    <cellStyle name="20% - Accent6 5 5 2" xfId="18302" xr:uid="{00000000-0005-0000-0000-000081210000}"/>
    <cellStyle name="20% - Accent6 5 6" xfId="5020" xr:uid="{00000000-0005-0000-0000-000082210000}"/>
    <cellStyle name="20% - Accent6 5 6 2" xfId="16308" xr:uid="{00000000-0005-0000-0000-000083210000}"/>
    <cellStyle name="20% - Accent6 5 7" xfId="14314" xr:uid="{00000000-0005-0000-0000-000084210000}"/>
    <cellStyle name="20% - Accent6 5 8" xfId="13000" xr:uid="{00000000-0005-0000-0000-000085210000}"/>
    <cellStyle name="20% - Accent6 5 9" xfId="23965" xr:uid="{00000000-0005-0000-0000-000086210000}"/>
    <cellStyle name="20% - Accent6 50" xfId="1065" xr:uid="{00000000-0005-0000-0000-000087210000}"/>
    <cellStyle name="20% - Accent6 50 2" xfId="4021" xr:uid="{00000000-0005-0000-0000-000088210000}"/>
    <cellStyle name="20% - Accent6 50 2 2" xfId="12000" xr:uid="{00000000-0005-0000-0000-000089210000}"/>
    <cellStyle name="20% - Accent6 50 2 2 2" xfId="23288" xr:uid="{00000000-0005-0000-0000-00008A210000}"/>
    <cellStyle name="20% - Accent6 50 2 3" xfId="10006" xr:uid="{00000000-0005-0000-0000-00008B210000}"/>
    <cellStyle name="20% - Accent6 50 2 3 2" xfId="21294" xr:uid="{00000000-0005-0000-0000-00008C210000}"/>
    <cellStyle name="20% - Accent6 50 2 4" xfId="8012" xr:uid="{00000000-0005-0000-0000-00008D210000}"/>
    <cellStyle name="20% - Accent6 50 2 4 2" xfId="19300" xr:uid="{00000000-0005-0000-0000-00008E210000}"/>
    <cellStyle name="20% - Accent6 50 2 5" xfId="6018" xr:uid="{00000000-0005-0000-0000-00008F210000}"/>
    <cellStyle name="20% - Accent6 50 2 5 2" xfId="17306" xr:uid="{00000000-0005-0000-0000-000090210000}"/>
    <cellStyle name="20% - Accent6 50 2 6" xfId="15312" xr:uid="{00000000-0005-0000-0000-000091210000}"/>
    <cellStyle name="20% - Accent6 50 3" xfId="11003" xr:uid="{00000000-0005-0000-0000-000092210000}"/>
    <cellStyle name="20% - Accent6 50 3 2" xfId="22291" xr:uid="{00000000-0005-0000-0000-000093210000}"/>
    <cellStyle name="20% - Accent6 50 4" xfId="9009" xr:uid="{00000000-0005-0000-0000-000094210000}"/>
    <cellStyle name="20% - Accent6 50 4 2" xfId="20297" xr:uid="{00000000-0005-0000-0000-000095210000}"/>
    <cellStyle name="20% - Accent6 50 5" xfId="7015" xr:uid="{00000000-0005-0000-0000-000096210000}"/>
    <cellStyle name="20% - Accent6 50 5 2" xfId="18303" xr:uid="{00000000-0005-0000-0000-000097210000}"/>
    <cellStyle name="20% - Accent6 50 6" xfId="5021" xr:uid="{00000000-0005-0000-0000-000098210000}"/>
    <cellStyle name="20% - Accent6 50 6 2" xfId="16309" xr:uid="{00000000-0005-0000-0000-000099210000}"/>
    <cellStyle name="20% - Accent6 50 7" xfId="14315" xr:uid="{00000000-0005-0000-0000-00009A210000}"/>
    <cellStyle name="20% - Accent6 50 8" xfId="13001" xr:uid="{00000000-0005-0000-0000-00009B210000}"/>
    <cellStyle name="20% - Accent6 51" xfId="1066" xr:uid="{00000000-0005-0000-0000-00009C210000}"/>
    <cellStyle name="20% - Accent6 51 2" xfId="4022" xr:uid="{00000000-0005-0000-0000-00009D210000}"/>
    <cellStyle name="20% - Accent6 51 2 2" xfId="12001" xr:uid="{00000000-0005-0000-0000-00009E210000}"/>
    <cellStyle name="20% - Accent6 51 2 2 2" xfId="23289" xr:uid="{00000000-0005-0000-0000-00009F210000}"/>
    <cellStyle name="20% - Accent6 51 2 3" xfId="10007" xr:uid="{00000000-0005-0000-0000-0000A0210000}"/>
    <cellStyle name="20% - Accent6 51 2 3 2" xfId="21295" xr:uid="{00000000-0005-0000-0000-0000A1210000}"/>
    <cellStyle name="20% - Accent6 51 2 4" xfId="8013" xr:uid="{00000000-0005-0000-0000-0000A2210000}"/>
    <cellStyle name="20% - Accent6 51 2 4 2" xfId="19301" xr:uid="{00000000-0005-0000-0000-0000A3210000}"/>
    <cellStyle name="20% - Accent6 51 2 5" xfId="6019" xr:uid="{00000000-0005-0000-0000-0000A4210000}"/>
    <cellStyle name="20% - Accent6 51 2 5 2" xfId="17307" xr:uid="{00000000-0005-0000-0000-0000A5210000}"/>
    <cellStyle name="20% - Accent6 51 2 6" xfId="15313" xr:uid="{00000000-0005-0000-0000-0000A6210000}"/>
    <cellStyle name="20% - Accent6 51 3" xfId="11004" xr:uid="{00000000-0005-0000-0000-0000A7210000}"/>
    <cellStyle name="20% - Accent6 51 3 2" xfId="22292" xr:uid="{00000000-0005-0000-0000-0000A8210000}"/>
    <cellStyle name="20% - Accent6 51 4" xfId="9010" xr:uid="{00000000-0005-0000-0000-0000A9210000}"/>
    <cellStyle name="20% - Accent6 51 4 2" xfId="20298" xr:uid="{00000000-0005-0000-0000-0000AA210000}"/>
    <cellStyle name="20% - Accent6 51 5" xfId="7016" xr:uid="{00000000-0005-0000-0000-0000AB210000}"/>
    <cellStyle name="20% - Accent6 51 5 2" xfId="18304" xr:uid="{00000000-0005-0000-0000-0000AC210000}"/>
    <cellStyle name="20% - Accent6 51 6" xfId="5022" xr:uid="{00000000-0005-0000-0000-0000AD210000}"/>
    <cellStyle name="20% - Accent6 51 6 2" xfId="16310" xr:uid="{00000000-0005-0000-0000-0000AE210000}"/>
    <cellStyle name="20% - Accent6 51 7" xfId="14316" xr:uid="{00000000-0005-0000-0000-0000AF210000}"/>
    <cellStyle name="20% - Accent6 51 8" xfId="13002" xr:uid="{00000000-0005-0000-0000-0000B0210000}"/>
    <cellStyle name="20% - Accent6 52" xfId="1067" xr:uid="{00000000-0005-0000-0000-0000B1210000}"/>
    <cellStyle name="20% - Accent6 52 2" xfId="4023" xr:uid="{00000000-0005-0000-0000-0000B2210000}"/>
    <cellStyle name="20% - Accent6 52 2 2" xfId="12002" xr:uid="{00000000-0005-0000-0000-0000B3210000}"/>
    <cellStyle name="20% - Accent6 52 2 2 2" xfId="23290" xr:uid="{00000000-0005-0000-0000-0000B4210000}"/>
    <cellStyle name="20% - Accent6 52 2 3" xfId="10008" xr:uid="{00000000-0005-0000-0000-0000B5210000}"/>
    <cellStyle name="20% - Accent6 52 2 3 2" xfId="21296" xr:uid="{00000000-0005-0000-0000-0000B6210000}"/>
    <cellStyle name="20% - Accent6 52 2 4" xfId="8014" xr:uid="{00000000-0005-0000-0000-0000B7210000}"/>
    <cellStyle name="20% - Accent6 52 2 4 2" xfId="19302" xr:uid="{00000000-0005-0000-0000-0000B8210000}"/>
    <cellStyle name="20% - Accent6 52 2 5" xfId="6020" xr:uid="{00000000-0005-0000-0000-0000B9210000}"/>
    <cellStyle name="20% - Accent6 52 2 5 2" xfId="17308" xr:uid="{00000000-0005-0000-0000-0000BA210000}"/>
    <cellStyle name="20% - Accent6 52 2 6" xfId="15314" xr:uid="{00000000-0005-0000-0000-0000BB210000}"/>
    <cellStyle name="20% - Accent6 52 3" xfId="11005" xr:uid="{00000000-0005-0000-0000-0000BC210000}"/>
    <cellStyle name="20% - Accent6 52 3 2" xfId="22293" xr:uid="{00000000-0005-0000-0000-0000BD210000}"/>
    <cellStyle name="20% - Accent6 52 4" xfId="9011" xr:uid="{00000000-0005-0000-0000-0000BE210000}"/>
    <cellStyle name="20% - Accent6 52 4 2" xfId="20299" xr:uid="{00000000-0005-0000-0000-0000BF210000}"/>
    <cellStyle name="20% - Accent6 52 5" xfId="7017" xr:uid="{00000000-0005-0000-0000-0000C0210000}"/>
    <cellStyle name="20% - Accent6 52 5 2" xfId="18305" xr:uid="{00000000-0005-0000-0000-0000C1210000}"/>
    <cellStyle name="20% - Accent6 52 6" xfId="5023" xr:uid="{00000000-0005-0000-0000-0000C2210000}"/>
    <cellStyle name="20% - Accent6 52 6 2" xfId="16311" xr:uid="{00000000-0005-0000-0000-0000C3210000}"/>
    <cellStyle name="20% - Accent6 52 7" xfId="14317" xr:uid="{00000000-0005-0000-0000-0000C4210000}"/>
    <cellStyle name="20% - Accent6 52 8" xfId="13003" xr:uid="{00000000-0005-0000-0000-0000C5210000}"/>
    <cellStyle name="20% - Accent6 53" xfId="1068" xr:uid="{00000000-0005-0000-0000-0000C6210000}"/>
    <cellStyle name="20% - Accent6 53 2" xfId="4024" xr:uid="{00000000-0005-0000-0000-0000C7210000}"/>
    <cellStyle name="20% - Accent6 53 2 2" xfId="12003" xr:uid="{00000000-0005-0000-0000-0000C8210000}"/>
    <cellStyle name="20% - Accent6 53 2 2 2" xfId="23291" xr:uid="{00000000-0005-0000-0000-0000C9210000}"/>
    <cellStyle name="20% - Accent6 53 2 3" xfId="10009" xr:uid="{00000000-0005-0000-0000-0000CA210000}"/>
    <cellStyle name="20% - Accent6 53 2 3 2" xfId="21297" xr:uid="{00000000-0005-0000-0000-0000CB210000}"/>
    <cellStyle name="20% - Accent6 53 2 4" xfId="8015" xr:uid="{00000000-0005-0000-0000-0000CC210000}"/>
    <cellStyle name="20% - Accent6 53 2 4 2" xfId="19303" xr:uid="{00000000-0005-0000-0000-0000CD210000}"/>
    <cellStyle name="20% - Accent6 53 2 5" xfId="6021" xr:uid="{00000000-0005-0000-0000-0000CE210000}"/>
    <cellStyle name="20% - Accent6 53 2 5 2" xfId="17309" xr:uid="{00000000-0005-0000-0000-0000CF210000}"/>
    <cellStyle name="20% - Accent6 53 2 6" xfId="15315" xr:uid="{00000000-0005-0000-0000-0000D0210000}"/>
    <cellStyle name="20% - Accent6 53 3" xfId="11006" xr:uid="{00000000-0005-0000-0000-0000D1210000}"/>
    <cellStyle name="20% - Accent6 53 3 2" xfId="22294" xr:uid="{00000000-0005-0000-0000-0000D2210000}"/>
    <cellStyle name="20% - Accent6 53 4" xfId="9012" xr:uid="{00000000-0005-0000-0000-0000D3210000}"/>
    <cellStyle name="20% - Accent6 53 4 2" xfId="20300" xr:uid="{00000000-0005-0000-0000-0000D4210000}"/>
    <cellStyle name="20% - Accent6 53 5" xfId="7018" xr:uid="{00000000-0005-0000-0000-0000D5210000}"/>
    <cellStyle name="20% - Accent6 53 5 2" xfId="18306" xr:uid="{00000000-0005-0000-0000-0000D6210000}"/>
    <cellStyle name="20% - Accent6 53 6" xfId="5024" xr:uid="{00000000-0005-0000-0000-0000D7210000}"/>
    <cellStyle name="20% - Accent6 53 6 2" xfId="16312" xr:uid="{00000000-0005-0000-0000-0000D8210000}"/>
    <cellStyle name="20% - Accent6 53 7" xfId="14318" xr:uid="{00000000-0005-0000-0000-0000D9210000}"/>
    <cellStyle name="20% - Accent6 53 8" xfId="13004" xr:uid="{00000000-0005-0000-0000-0000DA210000}"/>
    <cellStyle name="20% - Accent6 54" xfId="1069" xr:uid="{00000000-0005-0000-0000-0000DB210000}"/>
    <cellStyle name="20% - Accent6 54 2" xfId="4025" xr:uid="{00000000-0005-0000-0000-0000DC210000}"/>
    <cellStyle name="20% - Accent6 54 2 2" xfId="12004" xr:uid="{00000000-0005-0000-0000-0000DD210000}"/>
    <cellStyle name="20% - Accent6 54 2 2 2" xfId="23292" xr:uid="{00000000-0005-0000-0000-0000DE210000}"/>
    <cellStyle name="20% - Accent6 54 2 3" xfId="10010" xr:uid="{00000000-0005-0000-0000-0000DF210000}"/>
    <cellStyle name="20% - Accent6 54 2 3 2" xfId="21298" xr:uid="{00000000-0005-0000-0000-0000E0210000}"/>
    <cellStyle name="20% - Accent6 54 2 4" xfId="8016" xr:uid="{00000000-0005-0000-0000-0000E1210000}"/>
    <cellStyle name="20% - Accent6 54 2 4 2" xfId="19304" xr:uid="{00000000-0005-0000-0000-0000E2210000}"/>
    <cellStyle name="20% - Accent6 54 2 5" xfId="6022" xr:uid="{00000000-0005-0000-0000-0000E3210000}"/>
    <cellStyle name="20% - Accent6 54 2 5 2" xfId="17310" xr:uid="{00000000-0005-0000-0000-0000E4210000}"/>
    <cellStyle name="20% - Accent6 54 2 6" xfId="15316" xr:uid="{00000000-0005-0000-0000-0000E5210000}"/>
    <cellStyle name="20% - Accent6 54 3" xfId="11007" xr:uid="{00000000-0005-0000-0000-0000E6210000}"/>
    <cellStyle name="20% - Accent6 54 3 2" xfId="22295" xr:uid="{00000000-0005-0000-0000-0000E7210000}"/>
    <cellStyle name="20% - Accent6 54 4" xfId="9013" xr:uid="{00000000-0005-0000-0000-0000E8210000}"/>
    <cellStyle name="20% - Accent6 54 4 2" xfId="20301" xr:uid="{00000000-0005-0000-0000-0000E9210000}"/>
    <cellStyle name="20% - Accent6 54 5" xfId="7019" xr:uid="{00000000-0005-0000-0000-0000EA210000}"/>
    <cellStyle name="20% - Accent6 54 5 2" xfId="18307" xr:uid="{00000000-0005-0000-0000-0000EB210000}"/>
    <cellStyle name="20% - Accent6 54 6" xfId="5025" xr:uid="{00000000-0005-0000-0000-0000EC210000}"/>
    <cellStyle name="20% - Accent6 54 6 2" xfId="16313" xr:uid="{00000000-0005-0000-0000-0000ED210000}"/>
    <cellStyle name="20% - Accent6 54 7" xfId="14319" xr:uid="{00000000-0005-0000-0000-0000EE210000}"/>
    <cellStyle name="20% - Accent6 54 8" xfId="13005" xr:uid="{00000000-0005-0000-0000-0000EF210000}"/>
    <cellStyle name="20% - Accent6 55" xfId="1070" xr:uid="{00000000-0005-0000-0000-0000F0210000}"/>
    <cellStyle name="20% - Accent6 55 2" xfId="4026" xr:uid="{00000000-0005-0000-0000-0000F1210000}"/>
    <cellStyle name="20% - Accent6 55 2 2" xfId="12005" xr:uid="{00000000-0005-0000-0000-0000F2210000}"/>
    <cellStyle name="20% - Accent6 55 2 2 2" xfId="23293" xr:uid="{00000000-0005-0000-0000-0000F3210000}"/>
    <cellStyle name="20% - Accent6 55 2 3" xfId="10011" xr:uid="{00000000-0005-0000-0000-0000F4210000}"/>
    <cellStyle name="20% - Accent6 55 2 3 2" xfId="21299" xr:uid="{00000000-0005-0000-0000-0000F5210000}"/>
    <cellStyle name="20% - Accent6 55 2 4" xfId="8017" xr:uid="{00000000-0005-0000-0000-0000F6210000}"/>
    <cellStyle name="20% - Accent6 55 2 4 2" xfId="19305" xr:uid="{00000000-0005-0000-0000-0000F7210000}"/>
    <cellStyle name="20% - Accent6 55 2 5" xfId="6023" xr:uid="{00000000-0005-0000-0000-0000F8210000}"/>
    <cellStyle name="20% - Accent6 55 2 5 2" xfId="17311" xr:uid="{00000000-0005-0000-0000-0000F9210000}"/>
    <cellStyle name="20% - Accent6 55 2 6" xfId="15317" xr:uid="{00000000-0005-0000-0000-0000FA210000}"/>
    <cellStyle name="20% - Accent6 55 3" xfId="11008" xr:uid="{00000000-0005-0000-0000-0000FB210000}"/>
    <cellStyle name="20% - Accent6 55 3 2" xfId="22296" xr:uid="{00000000-0005-0000-0000-0000FC210000}"/>
    <cellStyle name="20% - Accent6 55 4" xfId="9014" xr:uid="{00000000-0005-0000-0000-0000FD210000}"/>
    <cellStyle name="20% - Accent6 55 4 2" xfId="20302" xr:uid="{00000000-0005-0000-0000-0000FE210000}"/>
    <cellStyle name="20% - Accent6 55 5" xfId="7020" xr:uid="{00000000-0005-0000-0000-0000FF210000}"/>
    <cellStyle name="20% - Accent6 55 5 2" xfId="18308" xr:uid="{00000000-0005-0000-0000-000000220000}"/>
    <cellStyle name="20% - Accent6 55 6" xfId="5026" xr:uid="{00000000-0005-0000-0000-000001220000}"/>
    <cellStyle name="20% - Accent6 55 6 2" xfId="16314" xr:uid="{00000000-0005-0000-0000-000002220000}"/>
    <cellStyle name="20% - Accent6 55 7" xfId="14320" xr:uid="{00000000-0005-0000-0000-000003220000}"/>
    <cellStyle name="20% - Accent6 55 8" xfId="13006" xr:uid="{00000000-0005-0000-0000-000004220000}"/>
    <cellStyle name="20% - Accent6 56" xfId="1071" xr:uid="{00000000-0005-0000-0000-000005220000}"/>
    <cellStyle name="20% - Accent6 56 2" xfId="4027" xr:uid="{00000000-0005-0000-0000-000006220000}"/>
    <cellStyle name="20% - Accent6 56 2 2" xfId="12006" xr:uid="{00000000-0005-0000-0000-000007220000}"/>
    <cellStyle name="20% - Accent6 56 2 2 2" xfId="23294" xr:uid="{00000000-0005-0000-0000-000008220000}"/>
    <cellStyle name="20% - Accent6 56 2 3" xfId="10012" xr:uid="{00000000-0005-0000-0000-000009220000}"/>
    <cellStyle name="20% - Accent6 56 2 3 2" xfId="21300" xr:uid="{00000000-0005-0000-0000-00000A220000}"/>
    <cellStyle name="20% - Accent6 56 2 4" xfId="8018" xr:uid="{00000000-0005-0000-0000-00000B220000}"/>
    <cellStyle name="20% - Accent6 56 2 4 2" xfId="19306" xr:uid="{00000000-0005-0000-0000-00000C220000}"/>
    <cellStyle name="20% - Accent6 56 2 5" xfId="6024" xr:uid="{00000000-0005-0000-0000-00000D220000}"/>
    <cellStyle name="20% - Accent6 56 2 5 2" xfId="17312" xr:uid="{00000000-0005-0000-0000-00000E220000}"/>
    <cellStyle name="20% - Accent6 56 2 6" xfId="15318" xr:uid="{00000000-0005-0000-0000-00000F220000}"/>
    <cellStyle name="20% - Accent6 56 3" xfId="11009" xr:uid="{00000000-0005-0000-0000-000010220000}"/>
    <cellStyle name="20% - Accent6 56 3 2" xfId="22297" xr:uid="{00000000-0005-0000-0000-000011220000}"/>
    <cellStyle name="20% - Accent6 56 4" xfId="9015" xr:uid="{00000000-0005-0000-0000-000012220000}"/>
    <cellStyle name="20% - Accent6 56 4 2" xfId="20303" xr:uid="{00000000-0005-0000-0000-000013220000}"/>
    <cellStyle name="20% - Accent6 56 5" xfId="7021" xr:uid="{00000000-0005-0000-0000-000014220000}"/>
    <cellStyle name="20% - Accent6 56 5 2" xfId="18309" xr:uid="{00000000-0005-0000-0000-000015220000}"/>
    <cellStyle name="20% - Accent6 56 6" xfId="5027" xr:uid="{00000000-0005-0000-0000-000016220000}"/>
    <cellStyle name="20% - Accent6 56 6 2" xfId="16315" xr:uid="{00000000-0005-0000-0000-000017220000}"/>
    <cellStyle name="20% - Accent6 56 7" xfId="14321" xr:uid="{00000000-0005-0000-0000-000018220000}"/>
    <cellStyle name="20% - Accent6 56 8" xfId="13007" xr:uid="{00000000-0005-0000-0000-000019220000}"/>
    <cellStyle name="20% - Accent6 57" xfId="1072" xr:uid="{00000000-0005-0000-0000-00001A220000}"/>
    <cellStyle name="20% - Accent6 57 2" xfId="4028" xr:uid="{00000000-0005-0000-0000-00001B220000}"/>
    <cellStyle name="20% - Accent6 57 2 2" xfId="12007" xr:uid="{00000000-0005-0000-0000-00001C220000}"/>
    <cellStyle name="20% - Accent6 57 2 2 2" xfId="23295" xr:uid="{00000000-0005-0000-0000-00001D220000}"/>
    <cellStyle name="20% - Accent6 57 2 3" xfId="10013" xr:uid="{00000000-0005-0000-0000-00001E220000}"/>
    <cellStyle name="20% - Accent6 57 2 3 2" xfId="21301" xr:uid="{00000000-0005-0000-0000-00001F220000}"/>
    <cellStyle name="20% - Accent6 57 2 4" xfId="8019" xr:uid="{00000000-0005-0000-0000-000020220000}"/>
    <cellStyle name="20% - Accent6 57 2 4 2" xfId="19307" xr:uid="{00000000-0005-0000-0000-000021220000}"/>
    <cellStyle name="20% - Accent6 57 2 5" xfId="6025" xr:uid="{00000000-0005-0000-0000-000022220000}"/>
    <cellStyle name="20% - Accent6 57 2 5 2" xfId="17313" xr:uid="{00000000-0005-0000-0000-000023220000}"/>
    <cellStyle name="20% - Accent6 57 2 6" xfId="15319" xr:uid="{00000000-0005-0000-0000-000024220000}"/>
    <cellStyle name="20% - Accent6 57 3" xfId="11010" xr:uid="{00000000-0005-0000-0000-000025220000}"/>
    <cellStyle name="20% - Accent6 57 3 2" xfId="22298" xr:uid="{00000000-0005-0000-0000-000026220000}"/>
    <cellStyle name="20% - Accent6 57 4" xfId="9016" xr:uid="{00000000-0005-0000-0000-000027220000}"/>
    <cellStyle name="20% - Accent6 57 4 2" xfId="20304" xr:uid="{00000000-0005-0000-0000-000028220000}"/>
    <cellStyle name="20% - Accent6 57 5" xfId="7022" xr:uid="{00000000-0005-0000-0000-000029220000}"/>
    <cellStyle name="20% - Accent6 57 5 2" xfId="18310" xr:uid="{00000000-0005-0000-0000-00002A220000}"/>
    <cellStyle name="20% - Accent6 57 6" xfId="5028" xr:uid="{00000000-0005-0000-0000-00002B220000}"/>
    <cellStyle name="20% - Accent6 57 6 2" xfId="16316" xr:uid="{00000000-0005-0000-0000-00002C220000}"/>
    <cellStyle name="20% - Accent6 57 7" xfId="14322" xr:uid="{00000000-0005-0000-0000-00002D220000}"/>
    <cellStyle name="20% - Accent6 57 8" xfId="13008" xr:uid="{00000000-0005-0000-0000-00002E220000}"/>
    <cellStyle name="20% - Accent6 58" xfId="1073" xr:uid="{00000000-0005-0000-0000-00002F220000}"/>
    <cellStyle name="20% - Accent6 58 2" xfId="4029" xr:uid="{00000000-0005-0000-0000-000030220000}"/>
    <cellStyle name="20% - Accent6 58 2 2" xfId="12008" xr:uid="{00000000-0005-0000-0000-000031220000}"/>
    <cellStyle name="20% - Accent6 58 2 2 2" xfId="23296" xr:uid="{00000000-0005-0000-0000-000032220000}"/>
    <cellStyle name="20% - Accent6 58 2 3" xfId="10014" xr:uid="{00000000-0005-0000-0000-000033220000}"/>
    <cellStyle name="20% - Accent6 58 2 3 2" xfId="21302" xr:uid="{00000000-0005-0000-0000-000034220000}"/>
    <cellStyle name="20% - Accent6 58 2 4" xfId="8020" xr:uid="{00000000-0005-0000-0000-000035220000}"/>
    <cellStyle name="20% - Accent6 58 2 4 2" xfId="19308" xr:uid="{00000000-0005-0000-0000-000036220000}"/>
    <cellStyle name="20% - Accent6 58 2 5" xfId="6026" xr:uid="{00000000-0005-0000-0000-000037220000}"/>
    <cellStyle name="20% - Accent6 58 2 5 2" xfId="17314" xr:uid="{00000000-0005-0000-0000-000038220000}"/>
    <cellStyle name="20% - Accent6 58 2 6" xfId="15320" xr:uid="{00000000-0005-0000-0000-000039220000}"/>
    <cellStyle name="20% - Accent6 58 3" xfId="11011" xr:uid="{00000000-0005-0000-0000-00003A220000}"/>
    <cellStyle name="20% - Accent6 58 3 2" xfId="22299" xr:uid="{00000000-0005-0000-0000-00003B220000}"/>
    <cellStyle name="20% - Accent6 58 4" xfId="9017" xr:uid="{00000000-0005-0000-0000-00003C220000}"/>
    <cellStyle name="20% - Accent6 58 4 2" xfId="20305" xr:uid="{00000000-0005-0000-0000-00003D220000}"/>
    <cellStyle name="20% - Accent6 58 5" xfId="7023" xr:uid="{00000000-0005-0000-0000-00003E220000}"/>
    <cellStyle name="20% - Accent6 58 5 2" xfId="18311" xr:uid="{00000000-0005-0000-0000-00003F220000}"/>
    <cellStyle name="20% - Accent6 58 6" xfId="5029" xr:uid="{00000000-0005-0000-0000-000040220000}"/>
    <cellStyle name="20% - Accent6 58 6 2" xfId="16317" xr:uid="{00000000-0005-0000-0000-000041220000}"/>
    <cellStyle name="20% - Accent6 58 7" xfId="14323" xr:uid="{00000000-0005-0000-0000-000042220000}"/>
    <cellStyle name="20% - Accent6 58 8" xfId="13009" xr:uid="{00000000-0005-0000-0000-000043220000}"/>
    <cellStyle name="20% - Accent6 59" xfId="1074" xr:uid="{00000000-0005-0000-0000-000044220000}"/>
    <cellStyle name="20% - Accent6 59 2" xfId="4030" xr:uid="{00000000-0005-0000-0000-000045220000}"/>
    <cellStyle name="20% - Accent6 59 2 2" xfId="12009" xr:uid="{00000000-0005-0000-0000-000046220000}"/>
    <cellStyle name="20% - Accent6 59 2 2 2" xfId="23297" xr:uid="{00000000-0005-0000-0000-000047220000}"/>
    <cellStyle name="20% - Accent6 59 2 3" xfId="10015" xr:uid="{00000000-0005-0000-0000-000048220000}"/>
    <cellStyle name="20% - Accent6 59 2 3 2" xfId="21303" xr:uid="{00000000-0005-0000-0000-000049220000}"/>
    <cellStyle name="20% - Accent6 59 2 4" xfId="8021" xr:uid="{00000000-0005-0000-0000-00004A220000}"/>
    <cellStyle name="20% - Accent6 59 2 4 2" xfId="19309" xr:uid="{00000000-0005-0000-0000-00004B220000}"/>
    <cellStyle name="20% - Accent6 59 2 5" xfId="6027" xr:uid="{00000000-0005-0000-0000-00004C220000}"/>
    <cellStyle name="20% - Accent6 59 2 5 2" xfId="17315" xr:uid="{00000000-0005-0000-0000-00004D220000}"/>
    <cellStyle name="20% - Accent6 59 2 6" xfId="15321" xr:uid="{00000000-0005-0000-0000-00004E220000}"/>
    <cellStyle name="20% - Accent6 59 3" xfId="11012" xr:uid="{00000000-0005-0000-0000-00004F220000}"/>
    <cellStyle name="20% - Accent6 59 3 2" xfId="22300" xr:uid="{00000000-0005-0000-0000-000050220000}"/>
    <cellStyle name="20% - Accent6 59 4" xfId="9018" xr:uid="{00000000-0005-0000-0000-000051220000}"/>
    <cellStyle name="20% - Accent6 59 4 2" xfId="20306" xr:uid="{00000000-0005-0000-0000-000052220000}"/>
    <cellStyle name="20% - Accent6 59 5" xfId="7024" xr:uid="{00000000-0005-0000-0000-000053220000}"/>
    <cellStyle name="20% - Accent6 59 5 2" xfId="18312" xr:uid="{00000000-0005-0000-0000-000054220000}"/>
    <cellStyle name="20% - Accent6 59 6" xfId="5030" xr:uid="{00000000-0005-0000-0000-000055220000}"/>
    <cellStyle name="20% - Accent6 59 6 2" xfId="16318" xr:uid="{00000000-0005-0000-0000-000056220000}"/>
    <cellStyle name="20% - Accent6 59 7" xfId="14324" xr:uid="{00000000-0005-0000-0000-000057220000}"/>
    <cellStyle name="20% - Accent6 59 8" xfId="13010" xr:uid="{00000000-0005-0000-0000-000058220000}"/>
    <cellStyle name="20% - Accent6 6" xfId="1075" xr:uid="{00000000-0005-0000-0000-000059220000}"/>
    <cellStyle name="20% - Accent6 6 10" xfId="24593" xr:uid="{00000000-0005-0000-0000-00005A220000}"/>
    <cellStyle name="20% - Accent6 6 11" xfId="24983" xr:uid="{00000000-0005-0000-0000-00005B220000}"/>
    <cellStyle name="20% - Accent6 6 2" xfId="4031" xr:uid="{00000000-0005-0000-0000-00005C220000}"/>
    <cellStyle name="20% - Accent6 6 2 2" xfId="12010" xr:uid="{00000000-0005-0000-0000-00005D220000}"/>
    <cellStyle name="20% - Accent6 6 2 2 2" xfId="23298" xr:uid="{00000000-0005-0000-0000-00005E220000}"/>
    <cellStyle name="20% - Accent6 6 2 3" xfId="10016" xr:uid="{00000000-0005-0000-0000-00005F220000}"/>
    <cellStyle name="20% - Accent6 6 2 3 2" xfId="21304" xr:uid="{00000000-0005-0000-0000-000060220000}"/>
    <cellStyle name="20% - Accent6 6 2 4" xfId="8022" xr:uid="{00000000-0005-0000-0000-000061220000}"/>
    <cellStyle name="20% - Accent6 6 2 4 2" xfId="19310" xr:uid="{00000000-0005-0000-0000-000062220000}"/>
    <cellStyle name="20% - Accent6 6 2 5" xfId="6028" xr:uid="{00000000-0005-0000-0000-000063220000}"/>
    <cellStyle name="20% - Accent6 6 2 5 2" xfId="17316" xr:uid="{00000000-0005-0000-0000-000064220000}"/>
    <cellStyle name="20% - Accent6 6 2 6" xfId="15322" xr:uid="{00000000-0005-0000-0000-000065220000}"/>
    <cellStyle name="20% - Accent6 6 2 7" xfId="24354" xr:uid="{00000000-0005-0000-0000-000066220000}"/>
    <cellStyle name="20% - Accent6 6 2 8" xfId="24818" xr:uid="{00000000-0005-0000-0000-000067220000}"/>
    <cellStyle name="20% - Accent6 6 2 9" xfId="25185" xr:uid="{00000000-0005-0000-0000-000068220000}"/>
    <cellStyle name="20% - Accent6 6 3" xfId="11013" xr:uid="{00000000-0005-0000-0000-000069220000}"/>
    <cellStyle name="20% - Accent6 6 3 2" xfId="22301" xr:uid="{00000000-0005-0000-0000-00006A220000}"/>
    <cellStyle name="20% - Accent6 6 4" xfId="9019" xr:uid="{00000000-0005-0000-0000-00006B220000}"/>
    <cellStyle name="20% - Accent6 6 4 2" xfId="20307" xr:uid="{00000000-0005-0000-0000-00006C220000}"/>
    <cellStyle name="20% - Accent6 6 5" xfId="7025" xr:uid="{00000000-0005-0000-0000-00006D220000}"/>
    <cellStyle name="20% - Accent6 6 5 2" xfId="18313" xr:uid="{00000000-0005-0000-0000-00006E220000}"/>
    <cellStyle name="20% - Accent6 6 6" xfId="5031" xr:uid="{00000000-0005-0000-0000-00006F220000}"/>
    <cellStyle name="20% - Accent6 6 6 2" xfId="16319" xr:uid="{00000000-0005-0000-0000-000070220000}"/>
    <cellStyle name="20% - Accent6 6 7" xfId="14325" xr:uid="{00000000-0005-0000-0000-000071220000}"/>
    <cellStyle name="20% - Accent6 6 8" xfId="13011" xr:uid="{00000000-0005-0000-0000-000072220000}"/>
    <cellStyle name="20% - Accent6 6 9" xfId="23966" xr:uid="{00000000-0005-0000-0000-000073220000}"/>
    <cellStyle name="20% - Accent6 60" xfId="1076" xr:uid="{00000000-0005-0000-0000-000074220000}"/>
    <cellStyle name="20% - Accent6 60 2" xfId="4032" xr:uid="{00000000-0005-0000-0000-000075220000}"/>
    <cellStyle name="20% - Accent6 60 2 2" xfId="12011" xr:uid="{00000000-0005-0000-0000-000076220000}"/>
    <cellStyle name="20% - Accent6 60 2 2 2" xfId="23299" xr:uid="{00000000-0005-0000-0000-000077220000}"/>
    <cellStyle name="20% - Accent6 60 2 3" xfId="10017" xr:uid="{00000000-0005-0000-0000-000078220000}"/>
    <cellStyle name="20% - Accent6 60 2 3 2" xfId="21305" xr:uid="{00000000-0005-0000-0000-000079220000}"/>
    <cellStyle name="20% - Accent6 60 2 4" xfId="8023" xr:uid="{00000000-0005-0000-0000-00007A220000}"/>
    <cellStyle name="20% - Accent6 60 2 4 2" xfId="19311" xr:uid="{00000000-0005-0000-0000-00007B220000}"/>
    <cellStyle name="20% - Accent6 60 2 5" xfId="6029" xr:uid="{00000000-0005-0000-0000-00007C220000}"/>
    <cellStyle name="20% - Accent6 60 2 5 2" xfId="17317" xr:uid="{00000000-0005-0000-0000-00007D220000}"/>
    <cellStyle name="20% - Accent6 60 2 6" xfId="15323" xr:uid="{00000000-0005-0000-0000-00007E220000}"/>
    <cellStyle name="20% - Accent6 60 3" xfId="11014" xr:uid="{00000000-0005-0000-0000-00007F220000}"/>
    <cellStyle name="20% - Accent6 60 3 2" xfId="22302" xr:uid="{00000000-0005-0000-0000-000080220000}"/>
    <cellStyle name="20% - Accent6 60 4" xfId="9020" xr:uid="{00000000-0005-0000-0000-000081220000}"/>
    <cellStyle name="20% - Accent6 60 4 2" xfId="20308" xr:uid="{00000000-0005-0000-0000-000082220000}"/>
    <cellStyle name="20% - Accent6 60 5" xfId="7026" xr:uid="{00000000-0005-0000-0000-000083220000}"/>
    <cellStyle name="20% - Accent6 60 5 2" xfId="18314" xr:uid="{00000000-0005-0000-0000-000084220000}"/>
    <cellStyle name="20% - Accent6 60 6" xfId="5032" xr:uid="{00000000-0005-0000-0000-000085220000}"/>
    <cellStyle name="20% - Accent6 60 6 2" xfId="16320" xr:uid="{00000000-0005-0000-0000-000086220000}"/>
    <cellStyle name="20% - Accent6 60 7" xfId="14326" xr:uid="{00000000-0005-0000-0000-000087220000}"/>
    <cellStyle name="20% - Accent6 60 8" xfId="13012" xr:uid="{00000000-0005-0000-0000-000088220000}"/>
    <cellStyle name="20% - Accent6 61" xfId="1077" xr:uid="{00000000-0005-0000-0000-000089220000}"/>
    <cellStyle name="20% - Accent6 61 2" xfId="4033" xr:uid="{00000000-0005-0000-0000-00008A220000}"/>
    <cellStyle name="20% - Accent6 61 2 2" xfId="12012" xr:uid="{00000000-0005-0000-0000-00008B220000}"/>
    <cellStyle name="20% - Accent6 61 2 2 2" xfId="23300" xr:uid="{00000000-0005-0000-0000-00008C220000}"/>
    <cellStyle name="20% - Accent6 61 2 3" xfId="10018" xr:uid="{00000000-0005-0000-0000-00008D220000}"/>
    <cellStyle name="20% - Accent6 61 2 3 2" xfId="21306" xr:uid="{00000000-0005-0000-0000-00008E220000}"/>
    <cellStyle name="20% - Accent6 61 2 4" xfId="8024" xr:uid="{00000000-0005-0000-0000-00008F220000}"/>
    <cellStyle name="20% - Accent6 61 2 4 2" xfId="19312" xr:uid="{00000000-0005-0000-0000-000090220000}"/>
    <cellStyle name="20% - Accent6 61 2 5" xfId="6030" xr:uid="{00000000-0005-0000-0000-000091220000}"/>
    <cellStyle name="20% - Accent6 61 2 5 2" xfId="17318" xr:uid="{00000000-0005-0000-0000-000092220000}"/>
    <cellStyle name="20% - Accent6 61 2 6" xfId="15324" xr:uid="{00000000-0005-0000-0000-000093220000}"/>
    <cellStyle name="20% - Accent6 61 3" xfId="11015" xr:uid="{00000000-0005-0000-0000-000094220000}"/>
    <cellStyle name="20% - Accent6 61 3 2" xfId="22303" xr:uid="{00000000-0005-0000-0000-000095220000}"/>
    <cellStyle name="20% - Accent6 61 4" xfId="9021" xr:uid="{00000000-0005-0000-0000-000096220000}"/>
    <cellStyle name="20% - Accent6 61 4 2" xfId="20309" xr:uid="{00000000-0005-0000-0000-000097220000}"/>
    <cellStyle name="20% - Accent6 61 5" xfId="7027" xr:uid="{00000000-0005-0000-0000-000098220000}"/>
    <cellStyle name="20% - Accent6 61 5 2" xfId="18315" xr:uid="{00000000-0005-0000-0000-000099220000}"/>
    <cellStyle name="20% - Accent6 61 6" xfId="5033" xr:uid="{00000000-0005-0000-0000-00009A220000}"/>
    <cellStyle name="20% - Accent6 61 6 2" xfId="16321" xr:uid="{00000000-0005-0000-0000-00009B220000}"/>
    <cellStyle name="20% - Accent6 61 7" xfId="14327" xr:uid="{00000000-0005-0000-0000-00009C220000}"/>
    <cellStyle name="20% - Accent6 61 8" xfId="13013" xr:uid="{00000000-0005-0000-0000-00009D220000}"/>
    <cellStyle name="20% - Accent6 62" xfId="1078" xr:uid="{00000000-0005-0000-0000-00009E220000}"/>
    <cellStyle name="20% - Accent6 62 2" xfId="4034" xr:uid="{00000000-0005-0000-0000-00009F220000}"/>
    <cellStyle name="20% - Accent6 62 2 2" xfId="12013" xr:uid="{00000000-0005-0000-0000-0000A0220000}"/>
    <cellStyle name="20% - Accent6 62 2 2 2" xfId="23301" xr:uid="{00000000-0005-0000-0000-0000A1220000}"/>
    <cellStyle name="20% - Accent6 62 2 3" xfId="10019" xr:uid="{00000000-0005-0000-0000-0000A2220000}"/>
    <cellStyle name="20% - Accent6 62 2 3 2" xfId="21307" xr:uid="{00000000-0005-0000-0000-0000A3220000}"/>
    <cellStyle name="20% - Accent6 62 2 4" xfId="8025" xr:uid="{00000000-0005-0000-0000-0000A4220000}"/>
    <cellStyle name="20% - Accent6 62 2 4 2" xfId="19313" xr:uid="{00000000-0005-0000-0000-0000A5220000}"/>
    <cellStyle name="20% - Accent6 62 2 5" xfId="6031" xr:uid="{00000000-0005-0000-0000-0000A6220000}"/>
    <cellStyle name="20% - Accent6 62 2 5 2" xfId="17319" xr:uid="{00000000-0005-0000-0000-0000A7220000}"/>
    <cellStyle name="20% - Accent6 62 2 6" xfId="15325" xr:uid="{00000000-0005-0000-0000-0000A8220000}"/>
    <cellStyle name="20% - Accent6 62 3" xfId="11016" xr:uid="{00000000-0005-0000-0000-0000A9220000}"/>
    <cellStyle name="20% - Accent6 62 3 2" xfId="22304" xr:uid="{00000000-0005-0000-0000-0000AA220000}"/>
    <cellStyle name="20% - Accent6 62 4" xfId="9022" xr:uid="{00000000-0005-0000-0000-0000AB220000}"/>
    <cellStyle name="20% - Accent6 62 4 2" xfId="20310" xr:uid="{00000000-0005-0000-0000-0000AC220000}"/>
    <cellStyle name="20% - Accent6 62 5" xfId="7028" xr:uid="{00000000-0005-0000-0000-0000AD220000}"/>
    <cellStyle name="20% - Accent6 62 5 2" xfId="18316" xr:uid="{00000000-0005-0000-0000-0000AE220000}"/>
    <cellStyle name="20% - Accent6 62 6" xfId="5034" xr:uid="{00000000-0005-0000-0000-0000AF220000}"/>
    <cellStyle name="20% - Accent6 62 6 2" xfId="16322" xr:uid="{00000000-0005-0000-0000-0000B0220000}"/>
    <cellStyle name="20% - Accent6 62 7" xfId="14328" xr:uid="{00000000-0005-0000-0000-0000B1220000}"/>
    <cellStyle name="20% - Accent6 62 8" xfId="13014" xr:uid="{00000000-0005-0000-0000-0000B2220000}"/>
    <cellStyle name="20% - Accent6 63" xfId="1079" xr:uid="{00000000-0005-0000-0000-0000B3220000}"/>
    <cellStyle name="20% - Accent6 63 2" xfId="4035" xr:uid="{00000000-0005-0000-0000-0000B4220000}"/>
    <cellStyle name="20% - Accent6 63 2 2" xfId="12014" xr:uid="{00000000-0005-0000-0000-0000B5220000}"/>
    <cellStyle name="20% - Accent6 63 2 2 2" xfId="23302" xr:uid="{00000000-0005-0000-0000-0000B6220000}"/>
    <cellStyle name="20% - Accent6 63 2 3" xfId="10020" xr:uid="{00000000-0005-0000-0000-0000B7220000}"/>
    <cellStyle name="20% - Accent6 63 2 3 2" xfId="21308" xr:uid="{00000000-0005-0000-0000-0000B8220000}"/>
    <cellStyle name="20% - Accent6 63 2 4" xfId="8026" xr:uid="{00000000-0005-0000-0000-0000B9220000}"/>
    <cellStyle name="20% - Accent6 63 2 4 2" xfId="19314" xr:uid="{00000000-0005-0000-0000-0000BA220000}"/>
    <cellStyle name="20% - Accent6 63 2 5" xfId="6032" xr:uid="{00000000-0005-0000-0000-0000BB220000}"/>
    <cellStyle name="20% - Accent6 63 2 5 2" xfId="17320" xr:uid="{00000000-0005-0000-0000-0000BC220000}"/>
    <cellStyle name="20% - Accent6 63 2 6" xfId="15326" xr:uid="{00000000-0005-0000-0000-0000BD220000}"/>
    <cellStyle name="20% - Accent6 63 3" xfId="11017" xr:uid="{00000000-0005-0000-0000-0000BE220000}"/>
    <cellStyle name="20% - Accent6 63 3 2" xfId="22305" xr:uid="{00000000-0005-0000-0000-0000BF220000}"/>
    <cellStyle name="20% - Accent6 63 4" xfId="9023" xr:uid="{00000000-0005-0000-0000-0000C0220000}"/>
    <cellStyle name="20% - Accent6 63 4 2" xfId="20311" xr:uid="{00000000-0005-0000-0000-0000C1220000}"/>
    <cellStyle name="20% - Accent6 63 5" xfId="7029" xr:uid="{00000000-0005-0000-0000-0000C2220000}"/>
    <cellStyle name="20% - Accent6 63 5 2" xfId="18317" xr:uid="{00000000-0005-0000-0000-0000C3220000}"/>
    <cellStyle name="20% - Accent6 63 6" xfId="5035" xr:uid="{00000000-0005-0000-0000-0000C4220000}"/>
    <cellStyle name="20% - Accent6 63 6 2" xfId="16323" xr:uid="{00000000-0005-0000-0000-0000C5220000}"/>
    <cellStyle name="20% - Accent6 63 7" xfId="14329" xr:uid="{00000000-0005-0000-0000-0000C6220000}"/>
    <cellStyle name="20% - Accent6 63 8" xfId="13015" xr:uid="{00000000-0005-0000-0000-0000C7220000}"/>
    <cellStyle name="20% - Accent6 64" xfId="1080" xr:uid="{00000000-0005-0000-0000-0000C8220000}"/>
    <cellStyle name="20% - Accent6 64 2" xfId="4036" xr:uid="{00000000-0005-0000-0000-0000C9220000}"/>
    <cellStyle name="20% - Accent6 64 2 2" xfId="12015" xr:uid="{00000000-0005-0000-0000-0000CA220000}"/>
    <cellStyle name="20% - Accent6 64 2 2 2" xfId="23303" xr:uid="{00000000-0005-0000-0000-0000CB220000}"/>
    <cellStyle name="20% - Accent6 64 2 3" xfId="10021" xr:uid="{00000000-0005-0000-0000-0000CC220000}"/>
    <cellStyle name="20% - Accent6 64 2 3 2" xfId="21309" xr:uid="{00000000-0005-0000-0000-0000CD220000}"/>
    <cellStyle name="20% - Accent6 64 2 4" xfId="8027" xr:uid="{00000000-0005-0000-0000-0000CE220000}"/>
    <cellStyle name="20% - Accent6 64 2 4 2" xfId="19315" xr:uid="{00000000-0005-0000-0000-0000CF220000}"/>
    <cellStyle name="20% - Accent6 64 2 5" xfId="6033" xr:uid="{00000000-0005-0000-0000-0000D0220000}"/>
    <cellStyle name="20% - Accent6 64 2 5 2" xfId="17321" xr:uid="{00000000-0005-0000-0000-0000D1220000}"/>
    <cellStyle name="20% - Accent6 64 2 6" xfId="15327" xr:uid="{00000000-0005-0000-0000-0000D2220000}"/>
    <cellStyle name="20% - Accent6 64 3" xfId="11018" xr:uid="{00000000-0005-0000-0000-0000D3220000}"/>
    <cellStyle name="20% - Accent6 64 3 2" xfId="22306" xr:uid="{00000000-0005-0000-0000-0000D4220000}"/>
    <cellStyle name="20% - Accent6 64 4" xfId="9024" xr:uid="{00000000-0005-0000-0000-0000D5220000}"/>
    <cellStyle name="20% - Accent6 64 4 2" xfId="20312" xr:uid="{00000000-0005-0000-0000-0000D6220000}"/>
    <cellStyle name="20% - Accent6 64 5" xfId="7030" xr:uid="{00000000-0005-0000-0000-0000D7220000}"/>
    <cellStyle name="20% - Accent6 64 5 2" xfId="18318" xr:uid="{00000000-0005-0000-0000-0000D8220000}"/>
    <cellStyle name="20% - Accent6 64 6" xfId="5036" xr:uid="{00000000-0005-0000-0000-0000D9220000}"/>
    <cellStyle name="20% - Accent6 64 6 2" xfId="16324" xr:uid="{00000000-0005-0000-0000-0000DA220000}"/>
    <cellStyle name="20% - Accent6 64 7" xfId="14330" xr:uid="{00000000-0005-0000-0000-0000DB220000}"/>
    <cellStyle name="20% - Accent6 64 8" xfId="13016" xr:uid="{00000000-0005-0000-0000-0000DC220000}"/>
    <cellStyle name="20% - Accent6 65" xfId="1081" xr:uid="{00000000-0005-0000-0000-0000DD220000}"/>
    <cellStyle name="20% - Accent6 65 2" xfId="4037" xr:uid="{00000000-0005-0000-0000-0000DE220000}"/>
    <cellStyle name="20% - Accent6 65 2 2" xfId="12016" xr:uid="{00000000-0005-0000-0000-0000DF220000}"/>
    <cellStyle name="20% - Accent6 65 2 2 2" xfId="23304" xr:uid="{00000000-0005-0000-0000-0000E0220000}"/>
    <cellStyle name="20% - Accent6 65 2 3" xfId="10022" xr:uid="{00000000-0005-0000-0000-0000E1220000}"/>
    <cellStyle name="20% - Accent6 65 2 3 2" xfId="21310" xr:uid="{00000000-0005-0000-0000-0000E2220000}"/>
    <cellStyle name="20% - Accent6 65 2 4" xfId="8028" xr:uid="{00000000-0005-0000-0000-0000E3220000}"/>
    <cellStyle name="20% - Accent6 65 2 4 2" xfId="19316" xr:uid="{00000000-0005-0000-0000-0000E4220000}"/>
    <cellStyle name="20% - Accent6 65 2 5" xfId="6034" xr:uid="{00000000-0005-0000-0000-0000E5220000}"/>
    <cellStyle name="20% - Accent6 65 2 5 2" xfId="17322" xr:uid="{00000000-0005-0000-0000-0000E6220000}"/>
    <cellStyle name="20% - Accent6 65 2 6" xfId="15328" xr:uid="{00000000-0005-0000-0000-0000E7220000}"/>
    <cellStyle name="20% - Accent6 65 3" xfId="11019" xr:uid="{00000000-0005-0000-0000-0000E8220000}"/>
    <cellStyle name="20% - Accent6 65 3 2" xfId="22307" xr:uid="{00000000-0005-0000-0000-0000E9220000}"/>
    <cellStyle name="20% - Accent6 65 4" xfId="9025" xr:uid="{00000000-0005-0000-0000-0000EA220000}"/>
    <cellStyle name="20% - Accent6 65 4 2" xfId="20313" xr:uid="{00000000-0005-0000-0000-0000EB220000}"/>
    <cellStyle name="20% - Accent6 65 5" xfId="7031" xr:uid="{00000000-0005-0000-0000-0000EC220000}"/>
    <cellStyle name="20% - Accent6 65 5 2" xfId="18319" xr:uid="{00000000-0005-0000-0000-0000ED220000}"/>
    <cellStyle name="20% - Accent6 65 6" xfId="5037" xr:uid="{00000000-0005-0000-0000-0000EE220000}"/>
    <cellStyle name="20% - Accent6 65 6 2" xfId="16325" xr:uid="{00000000-0005-0000-0000-0000EF220000}"/>
    <cellStyle name="20% - Accent6 65 7" xfId="14331" xr:uid="{00000000-0005-0000-0000-0000F0220000}"/>
    <cellStyle name="20% - Accent6 65 8" xfId="13017" xr:uid="{00000000-0005-0000-0000-0000F1220000}"/>
    <cellStyle name="20% - Accent6 66" xfId="1082" xr:uid="{00000000-0005-0000-0000-0000F2220000}"/>
    <cellStyle name="20% - Accent6 66 2" xfId="4038" xr:uid="{00000000-0005-0000-0000-0000F3220000}"/>
    <cellStyle name="20% - Accent6 66 2 2" xfId="12017" xr:uid="{00000000-0005-0000-0000-0000F4220000}"/>
    <cellStyle name="20% - Accent6 66 2 2 2" xfId="23305" xr:uid="{00000000-0005-0000-0000-0000F5220000}"/>
    <cellStyle name="20% - Accent6 66 2 3" xfId="10023" xr:uid="{00000000-0005-0000-0000-0000F6220000}"/>
    <cellStyle name="20% - Accent6 66 2 3 2" xfId="21311" xr:uid="{00000000-0005-0000-0000-0000F7220000}"/>
    <cellStyle name="20% - Accent6 66 2 4" xfId="8029" xr:uid="{00000000-0005-0000-0000-0000F8220000}"/>
    <cellStyle name="20% - Accent6 66 2 4 2" xfId="19317" xr:uid="{00000000-0005-0000-0000-0000F9220000}"/>
    <cellStyle name="20% - Accent6 66 2 5" xfId="6035" xr:uid="{00000000-0005-0000-0000-0000FA220000}"/>
    <cellStyle name="20% - Accent6 66 2 5 2" xfId="17323" xr:uid="{00000000-0005-0000-0000-0000FB220000}"/>
    <cellStyle name="20% - Accent6 66 2 6" xfId="15329" xr:uid="{00000000-0005-0000-0000-0000FC220000}"/>
    <cellStyle name="20% - Accent6 66 3" xfId="11020" xr:uid="{00000000-0005-0000-0000-0000FD220000}"/>
    <cellStyle name="20% - Accent6 66 3 2" xfId="22308" xr:uid="{00000000-0005-0000-0000-0000FE220000}"/>
    <cellStyle name="20% - Accent6 66 4" xfId="9026" xr:uid="{00000000-0005-0000-0000-0000FF220000}"/>
    <cellStyle name="20% - Accent6 66 4 2" xfId="20314" xr:uid="{00000000-0005-0000-0000-000000230000}"/>
    <cellStyle name="20% - Accent6 66 5" xfId="7032" xr:uid="{00000000-0005-0000-0000-000001230000}"/>
    <cellStyle name="20% - Accent6 66 5 2" xfId="18320" xr:uid="{00000000-0005-0000-0000-000002230000}"/>
    <cellStyle name="20% - Accent6 66 6" xfId="5038" xr:uid="{00000000-0005-0000-0000-000003230000}"/>
    <cellStyle name="20% - Accent6 66 6 2" xfId="16326" xr:uid="{00000000-0005-0000-0000-000004230000}"/>
    <cellStyle name="20% - Accent6 66 7" xfId="14332" xr:uid="{00000000-0005-0000-0000-000005230000}"/>
    <cellStyle name="20% - Accent6 66 8" xfId="13018" xr:uid="{00000000-0005-0000-0000-000006230000}"/>
    <cellStyle name="20% - Accent6 67" xfId="1083" xr:uid="{00000000-0005-0000-0000-000007230000}"/>
    <cellStyle name="20% - Accent6 67 2" xfId="4039" xr:uid="{00000000-0005-0000-0000-000008230000}"/>
    <cellStyle name="20% - Accent6 67 2 2" xfId="12018" xr:uid="{00000000-0005-0000-0000-000009230000}"/>
    <cellStyle name="20% - Accent6 67 2 2 2" xfId="23306" xr:uid="{00000000-0005-0000-0000-00000A230000}"/>
    <cellStyle name="20% - Accent6 67 2 3" xfId="10024" xr:uid="{00000000-0005-0000-0000-00000B230000}"/>
    <cellStyle name="20% - Accent6 67 2 3 2" xfId="21312" xr:uid="{00000000-0005-0000-0000-00000C230000}"/>
    <cellStyle name="20% - Accent6 67 2 4" xfId="8030" xr:uid="{00000000-0005-0000-0000-00000D230000}"/>
    <cellStyle name="20% - Accent6 67 2 4 2" xfId="19318" xr:uid="{00000000-0005-0000-0000-00000E230000}"/>
    <cellStyle name="20% - Accent6 67 2 5" xfId="6036" xr:uid="{00000000-0005-0000-0000-00000F230000}"/>
    <cellStyle name="20% - Accent6 67 2 5 2" xfId="17324" xr:uid="{00000000-0005-0000-0000-000010230000}"/>
    <cellStyle name="20% - Accent6 67 2 6" xfId="15330" xr:uid="{00000000-0005-0000-0000-000011230000}"/>
    <cellStyle name="20% - Accent6 67 3" xfId="11021" xr:uid="{00000000-0005-0000-0000-000012230000}"/>
    <cellStyle name="20% - Accent6 67 3 2" xfId="22309" xr:uid="{00000000-0005-0000-0000-000013230000}"/>
    <cellStyle name="20% - Accent6 67 4" xfId="9027" xr:uid="{00000000-0005-0000-0000-000014230000}"/>
    <cellStyle name="20% - Accent6 67 4 2" xfId="20315" xr:uid="{00000000-0005-0000-0000-000015230000}"/>
    <cellStyle name="20% - Accent6 67 5" xfId="7033" xr:uid="{00000000-0005-0000-0000-000016230000}"/>
    <cellStyle name="20% - Accent6 67 5 2" xfId="18321" xr:uid="{00000000-0005-0000-0000-000017230000}"/>
    <cellStyle name="20% - Accent6 67 6" xfId="5039" xr:uid="{00000000-0005-0000-0000-000018230000}"/>
    <cellStyle name="20% - Accent6 67 6 2" xfId="16327" xr:uid="{00000000-0005-0000-0000-000019230000}"/>
    <cellStyle name="20% - Accent6 67 7" xfId="14333" xr:uid="{00000000-0005-0000-0000-00001A230000}"/>
    <cellStyle name="20% - Accent6 67 8" xfId="13019" xr:uid="{00000000-0005-0000-0000-00001B230000}"/>
    <cellStyle name="20% - Accent6 68" xfId="1084" xr:uid="{00000000-0005-0000-0000-00001C230000}"/>
    <cellStyle name="20% - Accent6 68 2" xfId="4040" xr:uid="{00000000-0005-0000-0000-00001D230000}"/>
    <cellStyle name="20% - Accent6 68 2 2" xfId="12019" xr:uid="{00000000-0005-0000-0000-00001E230000}"/>
    <cellStyle name="20% - Accent6 68 2 2 2" xfId="23307" xr:uid="{00000000-0005-0000-0000-00001F230000}"/>
    <cellStyle name="20% - Accent6 68 2 3" xfId="10025" xr:uid="{00000000-0005-0000-0000-000020230000}"/>
    <cellStyle name="20% - Accent6 68 2 3 2" xfId="21313" xr:uid="{00000000-0005-0000-0000-000021230000}"/>
    <cellStyle name="20% - Accent6 68 2 4" xfId="8031" xr:uid="{00000000-0005-0000-0000-000022230000}"/>
    <cellStyle name="20% - Accent6 68 2 4 2" xfId="19319" xr:uid="{00000000-0005-0000-0000-000023230000}"/>
    <cellStyle name="20% - Accent6 68 2 5" xfId="6037" xr:uid="{00000000-0005-0000-0000-000024230000}"/>
    <cellStyle name="20% - Accent6 68 2 5 2" xfId="17325" xr:uid="{00000000-0005-0000-0000-000025230000}"/>
    <cellStyle name="20% - Accent6 68 2 6" xfId="15331" xr:uid="{00000000-0005-0000-0000-000026230000}"/>
    <cellStyle name="20% - Accent6 68 3" xfId="11022" xr:uid="{00000000-0005-0000-0000-000027230000}"/>
    <cellStyle name="20% - Accent6 68 3 2" xfId="22310" xr:uid="{00000000-0005-0000-0000-000028230000}"/>
    <cellStyle name="20% - Accent6 68 4" xfId="9028" xr:uid="{00000000-0005-0000-0000-000029230000}"/>
    <cellStyle name="20% - Accent6 68 4 2" xfId="20316" xr:uid="{00000000-0005-0000-0000-00002A230000}"/>
    <cellStyle name="20% - Accent6 68 5" xfId="7034" xr:uid="{00000000-0005-0000-0000-00002B230000}"/>
    <cellStyle name="20% - Accent6 68 5 2" xfId="18322" xr:uid="{00000000-0005-0000-0000-00002C230000}"/>
    <cellStyle name="20% - Accent6 68 6" xfId="5040" xr:uid="{00000000-0005-0000-0000-00002D230000}"/>
    <cellStyle name="20% - Accent6 68 6 2" xfId="16328" xr:uid="{00000000-0005-0000-0000-00002E230000}"/>
    <cellStyle name="20% - Accent6 68 7" xfId="14334" xr:uid="{00000000-0005-0000-0000-00002F230000}"/>
    <cellStyle name="20% - Accent6 68 8" xfId="13020" xr:uid="{00000000-0005-0000-0000-000030230000}"/>
    <cellStyle name="20% - Accent6 69" xfId="1085" xr:uid="{00000000-0005-0000-0000-000031230000}"/>
    <cellStyle name="20% - Accent6 69 2" xfId="4041" xr:uid="{00000000-0005-0000-0000-000032230000}"/>
    <cellStyle name="20% - Accent6 69 2 2" xfId="12020" xr:uid="{00000000-0005-0000-0000-000033230000}"/>
    <cellStyle name="20% - Accent6 69 2 2 2" xfId="23308" xr:uid="{00000000-0005-0000-0000-000034230000}"/>
    <cellStyle name="20% - Accent6 69 2 3" xfId="10026" xr:uid="{00000000-0005-0000-0000-000035230000}"/>
    <cellStyle name="20% - Accent6 69 2 3 2" xfId="21314" xr:uid="{00000000-0005-0000-0000-000036230000}"/>
    <cellStyle name="20% - Accent6 69 2 4" xfId="8032" xr:uid="{00000000-0005-0000-0000-000037230000}"/>
    <cellStyle name="20% - Accent6 69 2 4 2" xfId="19320" xr:uid="{00000000-0005-0000-0000-000038230000}"/>
    <cellStyle name="20% - Accent6 69 2 5" xfId="6038" xr:uid="{00000000-0005-0000-0000-000039230000}"/>
    <cellStyle name="20% - Accent6 69 2 5 2" xfId="17326" xr:uid="{00000000-0005-0000-0000-00003A230000}"/>
    <cellStyle name="20% - Accent6 69 2 6" xfId="15332" xr:uid="{00000000-0005-0000-0000-00003B230000}"/>
    <cellStyle name="20% - Accent6 69 3" xfId="11023" xr:uid="{00000000-0005-0000-0000-00003C230000}"/>
    <cellStyle name="20% - Accent6 69 3 2" xfId="22311" xr:uid="{00000000-0005-0000-0000-00003D230000}"/>
    <cellStyle name="20% - Accent6 69 4" xfId="9029" xr:uid="{00000000-0005-0000-0000-00003E230000}"/>
    <cellStyle name="20% - Accent6 69 4 2" xfId="20317" xr:uid="{00000000-0005-0000-0000-00003F230000}"/>
    <cellStyle name="20% - Accent6 69 5" xfId="7035" xr:uid="{00000000-0005-0000-0000-000040230000}"/>
    <cellStyle name="20% - Accent6 69 5 2" xfId="18323" xr:uid="{00000000-0005-0000-0000-000041230000}"/>
    <cellStyle name="20% - Accent6 69 6" xfId="5041" xr:uid="{00000000-0005-0000-0000-000042230000}"/>
    <cellStyle name="20% - Accent6 69 6 2" xfId="16329" xr:uid="{00000000-0005-0000-0000-000043230000}"/>
    <cellStyle name="20% - Accent6 69 7" xfId="14335" xr:uid="{00000000-0005-0000-0000-000044230000}"/>
    <cellStyle name="20% - Accent6 69 8" xfId="13021" xr:uid="{00000000-0005-0000-0000-000045230000}"/>
    <cellStyle name="20% - Accent6 7" xfId="1086" xr:uid="{00000000-0005-0000-0000-000046230000}"/>
    <cellStyle name="20% - Accent6 7 10" xfId="24594" xr:uid="{00000000-0005-0000-0000-000047230000}"/>
    <cellStyle name="20% - Accent6 7 11" xfId="24984" xr:uid="{00000000-0005-0000-0000-000048230000}"/>
    <cellStyle name="20% - Accent6 7 2" xfId="4042" xr:uid="{00000000-0005-0000-0000-000049230000}"/>
    <cellStyle name="20% - Accent6 7 2 2" xfId="12021" xr:uid="{00000000-0005-0000-0000-00004A230000}"/>
    <cellStyle name="20% - Accent6 7 2 2 2" xfId="23309" xr:uid="{00000000-0005-0000-0000-00004B230000}"/>
    <cellStyle name="20% - Accent6 7 2 3" xfId="10027" xr:uid="{00000000-0005-0000-0000-00004C230000}"/>
    <cellStyle name="20% - Accent6 7 2 3 2" xfId="21315" xr:uid="{00000000-0005-0000-0000-00004D230000}"/>
    <cellStyle name="20% - Accent6 7 2 4" xfId="8033" xr:uid="{00000000-0005-0000-0000-00004E230000}"/>
    <cellStyle name="20% - Accent6 7 2 4 2" xfId="19321" xr:uid="{00000000-0005-0000-0000-00004F230000}"/>
    <cellStyle name="20% - Accent6 7 2 5" xfId="6039" xr:uid="{00000000-0005-0000-0000-000050230000}"/>
    <cellStyle name="20% - Accent6 7 2 5 2" xfId="17327" xr:uid="{00000000-0005-0000-0000-000051230000}"/>
    <cellStyle name="20% - Accent6 7 2 6" xfId="15333" xr:uid="{00000000-0005-0000-0000-000052230000}"/>
    <cellStyle name="20% - Accent6 7 2 7" xfId="24355" xr:uid="{00000000-0005-0000-0000-000053230000}"/>
    <cellStyle name="20% - Accent6 7 2 8" xfId="24819" xr:uid="{00000000-0005-0000-0000-000054230000}"/>
    <cellStyle name="20% - Accent6 7 2 9" xfId="25186" xr:uid="{00000000-0005-0000-0000-000055230000}"/>
    <cellStyle name="20% - Accent6 7 3" xfId="11024" xr:uid="{00000000-0005-0000-0000-000056230000}"/>
    <cellStyle name="20% - Accent6 7 3 2" xfId="22312" xr:uid="{00000000-0005-0000-0000-000057230000}"/>
    <cellStyle name="20% - Accent6 7 4" xfId="9030" xr:uid="{00000000-0005-0000-0000-000058230000}"/>
    <cellStyle name="20% - Accent6 7 4 2" xfId="20318" xr:uid="{00000000-0005-0000-0000-000059230000}"/>
    <cellStyle name="20% - Accent6 7 5" xfId="7036" xr:uid="{00000000-0005-0000-0000-00005A230000}"/>
    <cellStyle name="20% - Accent6 7 5 2" xfId="18324" xr:uid="{00000000-0005-0000-0000-00005B230000}"/>
    <cellStyle name="20% - Accent6 7 6" xfId="5042" xr:uid="{00000000-0005-0000-0000-00005C230000}"/>
    <cellStyle name="20% - Accent6 7 6 2" xfId="16330" xr:uid="{00000000-0005-0000-0000-00005D230000}"/>
    <cellStyle name="20% - Accent6 7 7" xfId="14336" xr:uid="{00000000-0005-0000-0000-00005E230000}"/>
    <cellStyle name="20% - Accent6 7 8" xfId="13022" xr:uid="{00000000-0005-0000-0000-00005F230000}"/>
    <cellStyle name="20% - Accent6 7 9" xfId="23967" xr:uid="{00000000-0005-0000-0000-000060230000}"/>
    <cellStyle name="20% - Accent6 70" xfId="1087" xr:uid="{00000000-0005-0000-0000-000061230000}"/>
    <cellStyle name="20% - Accent6 70 2" xfId="4043" xr:uid="{00000000-0005-0000-0000-000062230000}"/>
    <cellStyle name="20% - Accent6 70 2 2" xfId="12022" xr:uid="{00000000-0005-0000-0000-000063230000}"/>
    <cellStyle name="20% - Accent6 70 2 2 2" xfId="23310" xr:uid="{00000000-0005-0000-0000-000064230000}"/>
    <cellStyle name="20% - Accent6 70 2 3" xfId="10028" xr:uid="{00000000-0005-0000-0000-000065230000}"/>
    <cellStyle name="20% - Accent6 70 2 3 2" xfId="21316" xr:uid="{00000000-0005-0000-0000-000066230000}"/>
    <cellStyle name="20% - Accent6 70 2 4" xfId="8034" xr:uid="{00000000-0005-0000-0000-000067230000}"/>
    <cellStyle name="20% - Accent6 70 2 4 2" xfId="19322" xr:uid="{00000000-0005-0000-0000-000068230000}"/>
    <cellStyle name="20% - Accent6 70 2 5" xfId="6040" xr:uid="{00000000-0005-0000-0000-000069230000}"/>
    <cellStyle name="20% - Accent6 70 2 5 2" xfId="17328" xr:uid="{00000000-0005-0000-0000-00006A230000}"/>
    <cellStyle name="20% - Accent6 70 2 6" xfId="15334" xr:uid="{00000000-0005-0000-0000-00006B230000}"/>
    <cellStyle name="20% - Accent6 70 3" xfId="11025" xr:uid="{00000000-0005-0000-0000-00006C230000}"/>
    <cellStyle name="20% - Accent6 70 3 2" xfId="22313" xr:uid="{00000000-0005-0000-0000-00006D230000}"/>
    <cellStyle name="20% - Accent6 70 4" xfId="9031" xr:uid="{00000000-0005-0000-0000-00006E230000}"/>
    <cellStyle name="20% - Accent6 70 4 2" xfId="20319" xr:uid="{00000000-0005-0000-0000-00006F230000}"/>
    <cellStyle name="20% - Accent6 70 5" xfId="7037" xr:uid="{00000000-0005-0000-0000-000070230000}"/>
    <cellStyle name="20% - Accent6 70 5 2" xfId="18325" xr:uid="{00000000-0005-0000-0000-000071230000}"/>
    <cellStyle name="20% - Accent6 70 6" xfId="5043" xr:uid="{00000000-0005-0000-0000-000072230000}"/>
    <cellStyle name="20% - Accent6 70 6 2" xfId="16331" xr:uid="{00000000-0005-0000-0000-000073230000}"/>
    <cellStyle name="20% - Accent6 70 7" xfId="14337" xr:uid="{00000000-0005-0000-0000-000074230000}"/>
    <cellStyle name="20% - Accent6 70 8" xfId="13023" xr:uid="{00000000-0005-0000-0000-000075230000}"/>
    <cellStyle name="20% - Accent6 71" xfId="1088" xr:uid="{00000000-0005-0000-0000-000076230000}"/>
    <cellStyle name="20% - Accent6 71 2" xfId="4044" xr:uid="{00000000-0005-0000-0000-000077230000}"/>
    <cellStyle name="20% - Accent6 71 2 2" xfId="12023" xr:uid="{00000000-0005-0000-0000-000078230000}"/>
    <cellStyle name="20% - Accent6 71 2 2 2" xfId="23311" xr:uid="{00000000-0005-0000-0000-000079230000}"/>
    <cellStyle name="20% - Accent6 71 2 3" xfId="10029" xr:uid="{00000000-0005-0000-0000-00007A230000}"/>
    <cellStyle name="20% - Accent6 71 2 3 2" xfId="21317" xr:uid="{00000000-0005-0000-0000-00007B230000}"/>
    <cellStyle name="20% - Accent6 71 2 4" xfId="8035" xr:uid="{00000000-0005-0000-0000-00007C230000}"/>
    <cellStyle name="20% - Accent6 71 2 4 2" xfId="19323" xr:uid="{00000000-0005-0000-0000-00007D230000}"/>
    <cellStyle name="20% - Accent6 71 2 5" xfId="6041" xr:uid="{00000000-0005-0000-0000-00007E230000}"/>
    <cellStyle name="20% - Accent6 71 2 5 2" xfId="17329" xr:uid="{00000000-0005-0000-0000-00007F230000}"/>
    <cellStyle name="20% - Accent6 71 2 6" xfId="15335" xr:uid="{00000000-0005-0000-0000-000080230000}"/>
    <cellStyle name="20% - Accent6 71 3" xfId="11026" xr:uid="{00000000-0005-0000-0000-000081230000}"/>
    <cellStyle name="20% - Accent6 71 3 2" xfId="22314" xr:uid="{00000000-0005-0000-0000-000082230000}"/>
    <cellStyle name="20% - Accent6 71 4" xfId="9032" xr:uid="{00000000-0005-0000-0000-000083230000}"/>
    <cellStyle name="20% - Accent6 71 4 2" xfId="20320" xr:uid="{00000000-0005-0000-0000-000084230000}"/>
    <cellStyle name="20% - Accent6 71 5" xfId="7038" xr:uid="{00000000-0005-0000-0000-000085230000}"/>
    <cellStyle name="20% - Accent6 71 5 2" xfId="18326" xr:uid="{00000000-0005-0000-0000-000086230000}"/>
    <cellStyle name="20% - Accent6 71 6" xfId="5044" xr:uid="{00000000-0005-0000-0000-000087230000}"/>
    <cellStyle name="20% - Accent6 71 6 2" xfId="16332" xr:uid="{00000000-0005-0000-0000-000088230000}"/>
    <cellStyle name="20% - Accent6 71 7" xfId="14338" xr:uid="{00000000-0005-0000-0000-000089230000}"/>
    <cellStyle name="20% - Accent6 71 8" xfId="13024" xr:uid="{00000000-0005-0000-0000-00008A230000}"/>
    <cellStyle name="20% - Accent6 72" xfId="1089" xr:uid="{00000000-0005-0000-0000-00008B230000}"/>
    <cellStyle name="20% - Accent6 72 2" xfId="4045" xr:uid="{00000000-0005-0000-0000-00008C230000}"/>
    <cellStyle name="20% - Accent6 72 2 2" xfId="12024" xr:uid="{00000000-0005-0000-0000-00008D230000}"/>
    <cellStyle name="20% - Accent6 72 2 2 2" xfId="23312" xr:uid="{00000000-0005-0000-0000-00008E230000}"/>
    <cellStyle name="20% - Accent6 72 2 3" xfId="10030" xr:uid="{00000000-0005-0000-0000-00008F230000}"/>
    <cellStyle name="20% - Accent6 72 2 3 2" xfId="21318" xr:uid="{00000000-0005-0000-0000-000090230000}"/>
    <cellStyle name="20% - Accent6 72 2 4" xfId="8036" xr:uid="{00000000-0005-0000-0000-000091230000}"/>
    <cellStyle name="20% - Accent6 72 2 4 2" xfId="19324" xr:uid="{00000000-0005-0000-0000-000092230000}"/>
    <cellStyle name="20% - Accent6 72 2 5" xfId="6042" xr:uid="{00000000-0005-0000-0000-000093230000}"/>
    <cellStyle name="20% - Accent6 72 2 5 2" xfId="17330" xr:uid="{00000000-0005-0000-0000-000094230000}"/>
    <cellStyle name="20% - Accent6 72 2 6" xfId="15336" xr:uid="{00000000-0005-0000-0000-000095230000}"/>
    <cellStyle name="20% - Accent6 72 3" xfId="11027" xr:uid="{00000000-0005-0000-0000-000096230000}"/>
    <cellStyle name="20% - Accent6 72 3 2" xfId="22315" xr:uid="{00000000-0005-0000-0000-000097230000}"/>
    <cellStyle name="20% - Accent6 72 4" xfId="9033" xr:uid="{00000000-0005-0000-0000-000098230000}"/>
    <cellStyle name="20% - Accent6 72 4 2" xfId="20321" xr:uid="{00000000-0005-0000-0000-000099230000}"/>
    <cellStyle name="20% - Accent6 72 5" xfId="7039" xr:uid="{00000000-0005-0000-0000-00009A230000}"/>
    <cellStyle name="20% - Accent6 72 5 2" xfId="18327" xr:uid="{00000000-0005-0000-0000-00009B230000}"/>
    <cellStyle name="20% - Accent6 72 6" xfId="5045" xr:uid="{00000000-0005-0000-0000-00009C230000}"/>
    <cellStyle name="20% - Accent6 72 6 2" xfId="16333" xr:uid="{00000000-0005-0000-0000-00009D230000}"/>
    <cellStyle name="20% - Accent6 72 7" xfId="14339" xr:uid="{00000000-0005-0000-0000-00009E230000}"/>
    <cellStyle name="20% - Accent6 72 8" xfId="13025" xr:uid="{00000000-0005-0000-0000-00009F230000}"/>
    <cellStyle name="20% - Accent6 8" xfId="1090" xr:uid="{00000000-0005-0000-0000-0000A0230000}"/>
    <cellStyle name="20% - Accent6 8 2" xfId="4046" xr:uid="{00000000-0005-0000-0000-0000A1230000}"/>
    <cellStyle name="20% - Accent6 8 2 2" xfId="12025" xr:uid="{00000000-0005-0000-0000-0000A2230000}"/>
    <cellStyle name="20% - Accent6 8 2 2 2" xfId="23313" xr:uid="{00000000-0005-0000-0000-0000A3230000}"/>
    <cellStyle name="20% - Accent6 8 2 3" xfId="10031" xr:uid="{00000000-0005-0000-0000-0000A4230000}"/>
    <cellStyle name="20% - Accent6 8 2 3 2" xfId="21319" xr:uid="{00000000-0005-0000-0000-0000A5230000}"/>
    <cellStyle name="20% - Accent6 8 2 4" xfId="8037" xr:uid="{00000000-0005-0000-0000-0000A6230000}"/>
    <cellStyle name="20% - Accent6 8 2 4 2" xfId="19325" xr:uid="{00000000-0005-0000-0000-0000A7230000}"/>
    <cellStyle name="20% - Accent6 8 2 5" xfId="6043" xr:uid="{00000000-0005-0000-0000-0000A8230000}"/>
    <cellStyle name="20% - Accent6 8 2 5 2" xfId="17331" xr:uid="{00000000-0005-0000-0000-0000A9230000}"/>
    <cellStyle name="20% - Accent6 8 2 6" xfId="15337" xr:uid="{00000000-0005-0000-0000-0000AA230000}"/>
    <cellStyle name="20% - Accent6 8 3" xfId="11028" xr:uid="{00000000-0005-0000-0000-0000AB230000}"/>
    <cellStyle name="20% - Accent6 8 3 2" xfId="22316" xr:uid="{00000000-0005-0000-0000-0000AC230000}"/>
    <cellStyle name="20% - Accent6 8 4" xfId="9034" xr:uid="{00000000-0005-0000-0000-0000AD230000}"/>
    <cellStyle name="20% - Accent6 8 4 2" xfId="20322" xr:uid="{00000000-0005-0000-0000-0000AE230000}"/>
    <cellStyle name="20% - Accent6 8 5" xfId="7040" xr:uid="{00000000-0005-0000-0000-0000AF230000}"/>
    <cellStyle name="20% - Accent6 8 5 2" xfId="18328" xr:uid="{00000000-0005-0000-0000-0000B0230000}"/>
    <cellStyle name="20% - Accent6 8 6" xfId="5046" xr:uid="{00000000-0005-0000-0000-0000B1230000}"/>
    <cellStyle name="20% - Accent6 8 6 2" xfId="16334" xr:uid="{00000000-0005-0000-0000-0000B2230000}"/>
    <cellStyle name="20% - Accent6 8 7" xfId="14340" xr:uid="{00000000-0005-0000-0000-0000B3230000}"/>
    <cellStyle name="20% - Accent6 8 8" xfId="13026" xr:uid="{00000000-0005-0000-0000-0000B4230000}"/>
    <cellStyle name="20% - Accent6 9" xfId="1091" xr:uid="{00000000-0005-0000-0000-0000B5230000}"/>
    <cellStyle name="20% - Accent6 9 2" xfId="4047" xr:uid="{00000000-0005-0000-0000-0000B6230000}"/>
    <cellStyle name="20% - Accent6 9 2 2" xfId="12026" xr:uid="{00000000-0005-0000-0000-0000B7230000}"/>
    <cellStyle name="20% - Accent6 9 2 2 2" xfId="23314" xr:uid="{00000000-0005-0000-0000-0000B8230000}"/>
    <cellStyle name="20% - Accent6 9 2 3" xfId="10032" xr:uid="{00000000-0005-0000-0000-0000B9230000}"/>
    <cellStyle name="20% - Accent6 9 2 3 2" xfId="21320" xr:uid="{00000000-0005-0000-0000-0000BA230000}"/>
    <cellStyle name="20% - Accent6 9 2 4" xfId="8038" xr:uid="{00000000-0005-0000-0000-0000BB230000}"/>
    <cellStyle name="20% - Accent6 9 2 4 2" xfId="19326" xr:uid="{00000000-0005-0000-0000-0000BC230000}"/>
    <cellStyle name="20% - Accent6 9 2 5" xfId="6044" xr:uid="{00000000-0005-0000-0000-0000BD230000}"/>
    <cellStyle name="20% - Accent6 9 2 5 2" xfId="17332" xr:uid="{00000000-0005-0000-0000-0000BE230000}"/>
    <cellStyle name="20% - Accent6 9 2 6" xfId="15338" xr:uid="{00000000-0005-0000-0000-0000BF230000}"/>
    <cellStyle name="20% - Accent6 9 3" xfId="11029" xr:uid="{00000000-0005-0000-0000-0000C0230000}"/>
    <cellStyle name="20% - Accent6 9 3 2" xfId="22317" xr:uid="{00000000-0005-0000-0000-0000C1230000}"/>
    <cellStyle name="20% - Accent6 9 4" xfId="9035" xr:uid="{00000000-0005-0000-0000-0000C2230000}"/>
    <cellStyle name="20% - Accent6 9 4 2" xfId="20323" xr:uid="{00000000-0005-0000-0000-0000C3230000}"/>
    <cellStyle name="20% - Accent6 9 5" xfId="7041" xr:uid="{00000000-0005-0000-0000-0000C4230000}"/>
    <cellStyle name="20% - Accent6 9 5 2" xfId="18329" xr:uid="{00000000-0005-0000-0000-0000C5230000}"/>
    <cellStyle name="20% - Accent6 9 6" xfId="5047" xr:uid="{00000000-0005-0000-0000-0000C6230000}"/>
    <cellStyle name="20% - Accent6 9 6 2" xfId="16335" xr:uid="{00000000-0005-0000-0000-0000C7230000}"/>
    <cellStyle name="20% - Accent6 9 7" xfId="14341" xr:uid="{00000000-0005-0000-0000-0000C8230000}"/>
    <cellStyle name="20% - Accent6 9 8" xfId="13027" xr:uid="{00000000-0005-0000-0000-0000C9230000}"/>
    <cellStyle name="40% - Accent1 10" xfId="1092" xr:uid="{00000000-0005-0000-0000-0000CA230000}"/>
    <cellStyle name="40% - Accent1 10 2" xfId="4048" xr:uid="{00000000-0005-0000-0000-0000CB230000}"/>
    <cellStyle name="40% - Accent1 10 2 2" xfId="12027" xr:uid="{00000000-0005-0000-0000-0000CC230000}"/>
    <cellStyle name="40% - Accent1 10 2 2 2" xfId="23315" xr:uid="{00000000-0005-0000-0000-0000CD230000}"/>
    <cellStyle name="40% - Accent1 10 2 3" xfId="10033" xr:uid="{00000000-0005-0000-0000-0000CE230000}"/>
    <cellStyle name="40% - Accent1 10 2 3 2" xfId="21321" xr:uid="{00000000-0005-0000-0000-0000CF230000}"/>
    <cellStyle name="40% - Accent1 10 2 4" xfId="8039" xr:uid="{00000000-0005-0000-0000-0000D0230000}"/>
    <cellStyle name="40% - Accent1 10 2 4 2" xfId="19327" xr:uid="{00000000-0005-0000-0000-0000D1230000}"/>
    <cellStyle name="40% - Accent1 10 2 5" xfId="6045" xr:uid="{00000000-0005-0000-0000-0000D2230000}"/>
    <cellStyle name="40% - Accent1 10 2 5 2" xfId="17333" xr:uid="{00000000-0005-0000-0000-0000D3230000}"/>
    <cellStyle name="40% - Accent1 10 2 6" xfId="15339" xr:uid="{00000000-0005-0000-0000-0000D4230000}"/>
    <cellStyle name="40% - Accent1 10 3" xfId="11030" xr:uid="{00000000-0005-0000-0000-0000D5230000}"/>
    <cellStyle name="40% - Accent1 10 3 2" xfId="22318" xr:uid="{00000000-0005-0000-0000-0000D6230000}"/>
    <cellStyle name="40% - Accent1 10 4" xfId="9036" xr:uid="{00000000-0005-0000-0000-0000D7230000}"/>
    <cellStyle name="40% - Accent1 10 4 2" xfId="20324" xr:uid="{00000000-0005-0000-0000-0000D8230000}"/>
    <cellStyle name="40% - Accent1 10 5" xfId="7042" xr:uid="{00000000-0005-0000-0000-0000D9230000}"/>
    <cellStyle name="40% - Accent1 10 5 2" xfId="18330" xr:uid="{00000000-0005-0000-0000-0000DA230000}"/>
    <cellStyle name="40% - Accent1 10 6" xfId="5048" xr:uid="{00000000-0005-0000-0000-0000DB230000}"/>
    <cellStyle name="40% - Accent1 10 6 2" xfId="16336" xr:uid="{00000000-0005-0000-0000-0000DC230000}"/>
    <cellStyle name="40% - Accent1 10 7" xfId="14342" xr:uid="{00000000-0005-0000-0000-0000DD230000}"/>
    <cellStyle name="40% - Accent1 10 8" xfId="13028" xr:uid="{00000000-0005-0000-0000-0000DE230000}"/>
    <cellStyle name="40% - Accent1 11" xfId="1093" xr:uid="{00000000-0005-0000-0000-0000DF230000}"/>
    <cellStyle name="40% - Accent1 11 2" xfId="4049" xr:uid="{00000000-0005-0000-0000-0000E0230000}"/>
    <cellStyle name="40% - Accent1 11 2 2" xfId="12028" xr:uid="{00000000-0005-0000-0000-0000E1230000}"/>
    <cellStyle name="40% - Accent1 11 2 2 2" xfId="23316" xr:uid="{00000000-0005-0000-0000-0000E2230000}"/>
    <cellStyle name="40% - Accent1 11 2 3" xfId="10034" xr:uid="{00000000-0005-0000-0000-0000E3230000}"/>
    <cellStyle name="40% - Accent1 11 2 3 2" xfId="21322" xr:uid="{00000000-0005-0000-0000-0000E4230000}"/>
    <cellStyle name="40% - Accent1 11 2 4" xfId="8040" xr:uid="{00000000-0005-0000-0000-0000E5230000}"/>
    <cellStyle name="40% - Accent1 11 2 4 2" xfId="19328" xr:uid="{00000000-0005-0000-0000-0000E6230000}"/>
    <cellStyle name="40% - Accent1 11 2 5" xfId="6046" xr:uid="{00000000-0005-0000-0000-0000E7230000}"/>
    <cellStyle name="40% - Accent1 11 2 5 2" xfId="17334" xr:uid="{00000000-0005-0000-0000-0000E8230000}"/>
    <cellStyle name="40% - Accent1 11 2 6" xfId="15340" xr:uid="{00000000-0005-0000-0000-0000E9230000}"/>
    <cellStyle name="40% - Accent1 11 3" xfId="11031" xr:uid="{00000000-0005-0000-0000-0000EA230000}"/>
    <cellStyle name="40% - Accent1 11 3 2" xfId="22319" xr:uid="{00000000-0005-0000-0000-0000EB230000}"/>
    <cellStyle name="40% - Accent1 11 4" xfId="9037" xr:uid="{00000000-0005-0000-0000-0000EC230000}"/>
    <cellStyle name="40% - Accent1 11 4 2" xfId="20325" xr:uid="{00000000-0005-0000-0000-0000ED230000}"/>
    <cellStyle name="40% - Accent1 11 5" xfId="7043" xr:uid="{00000000-0005-0000-0000-0000EE230000}"/>
    <cellStyle name="40% - Accent1 11 5 2" xfId="18331" xr:uid="{00000000-0005-0000-0000-0000EF230000}"/>
    <cellStyle name="40% - Accent1 11 6" xfId="5049" xr:uid="{00000000-0005-0000-0000-0000F0230000}"/>
    <cellStyle name="40% - Accent1 11 6 2" xfId="16337" xr:uid="{00000000-0005-0000-0000-0000F1230000}"/>
    <cellStyle name="40% - Accent1 11 7" xfId="14343" xr:uid="{00000000-0005-0000-0000-0000F2230000}"/>
    <cellStyle name="40% - Accent1 11 8" xfId="13029" xr:uid="{00000000-0005-0000-0000-0000F3230000}"/>
    <cellStyle name="40% - Accent1 12" xfId="1094" xr:uid="{00000000-0005-0000-0000-0000F4230000}"/>
    <cellStyle name="40% - Accent1 12 2" xfId="4050" xr:uid="{00000000-0005-0000-0000-0000F5230000}"/>
    <cellStyle name="40% - Accent1 12 2 2" xfId="12029" xr:uid="{00000000-0005-0000-0000-0000F6230000}"/>
    <cellStyle name="40% - Accent1 12 2 2 2" xfId="23317" xr:uid="{00000000-0005-0000-0000-0000F7230000}"/>
    <cellStyle name="40% - Accent1 12 2 3" xfId="10035" xr:uid="{00000000-0005-0000-0000-0000F8230000}"/>
    <cellStyle name="40% - Accent1 12 2 3 2" xfId="21323" xr:uid="{00000000-0005-0000-0000-0000F9230000}"/>
    <cellStyle name="40% - Accent1 12 2 4" xfId="8041" xr:uid="{00000000-0005-0000-0000-0000FA230000}"/>
    <cellStyle name="40% - Accent1 12 2 4 2" xfId="19329" xr:uid="{00000000-0005-0000-0000-0000FB230000}"/>
    <cellStyle name="40% - Accent1 12 2 5" xfId="6047" xr:uid="{00000000-0005-0000-0000-0000FC230000}"/>
    <cellStyle name="40% - Accent1 12 2 5 2" xfId="17335" xr:uid="{00000000-0005-0000-0000-0000FD230000}"/>
    <cellStyle name="40% - Accent1 12 2 6" xfId="15341" xr:uid="{00000000-0005-0000-0000-0000FE230000}"/>
    <cellStyle name="40% - Accent1 12 3" xfId="11032" xr:uid="{00000000-0005-0000-0000-0000FF230000}"/>
    <cellStyle name="40% - Accent1 12 3 2" xfId="22320" xr:uid="{00000000-0005-0000-0000-000000240000}"/>
    <cellStyle name="40% - Accent1 12 4" xfId="9038" xr:uid="{00000000-0005-0000-0000-000001240000}"/>
    <cellStyle name="40% - Accent1 12 4 2" xfId="20326" xr:uid="{00000000-0005-0000-0000-000002240000}"/>
    <cellStyle name="40% - Accent1 12 5" xfId="7044" xr:uid="{00000000-0005-0000-0000-000003240000}"/>
    <cellStyle name="40% - Accent1 12 5 2" xfId="18332" xr:uid="{00000000-0005-0000-0000-000004240000}"/>
    <cellStyle name="40% - Accent1 12 6" xfId="5050" xr:uid="{00000000-0005-0000-0000-000005240000}"/>
    <cellStyle name="40% - Accent1 12 6 2" xfId="16338" xr:uid="{00000000-0005-0000-0000-000006240000}"/>
    <cellStyle name="40% - Accent1 12 7" xfId="14344" xr:uid="{00000000-0005-0000-0000-000007240000}"/>
    <cellStyle name="40% - Accent1 12 8" xfId="13030" xr:uid="{00000000-0005-0000-0000-000008240000}"/>
    <cellStyle name="40% - Accent1 13" xfId="1095" xr:uid="{00000000-0005-0000-0000-000009240000}"/>
    <cellStyle name="40% - Accent1 13 2" xfId="4051" xr:uid="{00000000-0005-0000-0000-00000A240000}"/>
    <cellStyle name="40% - Accent1 13 2 2" xfId="12030" xr:uid="{00000000-0005-0000-0000-00000B240000}"/>
    <cellStyle name="40% - Accent1 13 2 2 2" xfId="23318" xr:uid="{00000000-0005-0000-0000-00000C240000}"/>
    <cellStyle name="40% - Accent1 13 2 3" xfId="10036" xr:uid="{00000000-0005-0000-0000-00000D240000}"/>
    <cellStyle name="40% - Accent1 13 2 3 2" xfId="21324" xr:uid="{00000000-0005-0000-0000-00000E240000}"/>
    <cellStyle name="40% - Accent1 13 2 4" xfId="8042" xr:uid="{00000000-0005-0000-0000-00000F240000}"/>
    <cellStyle name="40% - Accent1 13 2 4 2" xfId="19330" xr:uid="{00000000-0005-0000-0000-000010240000}"/>
    <cellStyle name="40% - Accent1 13 2 5" xfId="6048" xr:uid="{00000000-0005-0000-0000-000011240000}"/>
    <cellStyle name="40% - Accent1 13 2 5 2" xfId="17336" xr:uid="{00000000-0005-0000-0000-000012240000}"/>
    <cellStyle name="40% - Accent1 13 2 6" xfId="15342" xr:uid="{00000000-0005-0000-0000-000013240000}"/>
    <cellStyle name="40% - Accent1 13 3" xfId="11033" xr:uid="{00000000-0005-0000-0000-000014240000}"/>
    <cellStyle name="40% - Accent1 13 3 2" xfId="22321" xr:uid="{00000000-0005-0000-0000-000015240000}"/>
    <cellStyle name="40% - Accent1 13 4" xfId="9039" xr:uid="{00000000-0005-0000-0000-000016240000}"/>
    <cellStyle name="40% - Accent1 13 4 2" xfId="20327" xr:uid="{00000000-0005-0000-0000-000017240000}"/>
    <cellStyle name="40% - Accent1 13 5" xfId="7045" xr:uid="{00000000-0005-0000-0000-000018240000}"/>
    <cellStyle name="40% - Accent1 13 5 2" xfId="18333" xr:uid="{00000000-0005-0000-0000-000019240000}"/>
    <cellStyle name="40% - Accent1 13 6" xfId="5051" xr:uid="{00000000-0005-0000-0000-00001A240000}"/>
    <cellStyle name="40% - Accent1 13 6 2" xfId="16339" xr:uid="{00000000-0005-0000-0000-00001B240000}"/>
    <cellStyle name="40% - Accent1 13 7" xfId="14345" xr:uid="{00000000-0005-0000-0000-00001C240000}"/>
    <cellStyle name="40% - Accent1 13 8" xfId="13031" xr:uid="{00000000-0005-0000-0000-00001D240000}"/>
    <cellStyle name="40% - Accent1 14" xfId="1096" xr:uid="{00000000-0005-0000-0000-00001E240000}"/>
    <cellStyle name="40% - Accent1 14 2" xfId="4052" xr:uid="{00000000-0005-0000-0000-00001F240000}"/>
    <cellStyle name="40% - Accent1 14 2 2" xfId="12031" xr:uid="{00000000-0005-0000-0000-000020240000}"/>
    <cellStyle name="40% - Accent1 14 2 2 2" xfId="23319" xr:uid="{00000000-0005-0000-0000-000021240000}"/>
    <cellStyle name="40% - Accent1 14 2 3" xfId="10037" xr:uid="{00000000-0005-0000-0000-000022240000}"/>
    <cellStyle name="40% - Accent1 14 2 3 2" xfId="21325" xr:uid="{00000000-0005-0000-0000-000023240000}"/>
    <cellStyle name="40% - Accent1 14 2 4" xfId="8043" xr:uid="{00000000-0005-0000-0000-000024240000}"/>
    <cellStyle name="40% - Accent1 14 2 4 2" xfId="19331" xr:uid="{00000000-0005-0000-0000-000025240000}"/>
    <cellStyle name="40% - Accent1 14 2 5" xfId="6049" xr:uid="{00000000-0005-0000-0000-000026240000}"/>
    <cellStyle name="40% - Accent1 14 2 5 2" xfId="17337" xr:uid="{00000000-0005-0000-0000-000027240000}"/>
    <cellStyle name="40% - Accent1 14 2 6" xfId="15343" xr:uid="{00000000-0005-0000-0000-000028240000}"/>
    <cellStyle name="40% - Accent1 14 3" xfId="11034" xr:uid="{00000000-0005-0000-0000-000029240000}"/>
    <cellStyle name="40% - Accent1 14 3 2" xfId="22322" xr:uid="{00000000-0005-0000-0000-00002A240000}"/>
    <cellStyle name="40% - Accent1 14 4" xfId="9040" xr:uid="{00000000-0005-0000-0000-00002B240000}"/>
    <cellStyle name="40% - Accent1 14 4 2" xfId="20328" xr:uid="{00000000-0005-0000-0000-00002C240000}"/>
    <cellStyle name="40% - Accent1 14 5" xfId="7046" xr:uid="{00000000-0005-0000-0000-00002D240000}"/>
    <cellStyle name="40% - Accent1 14 5 2" xfId="18334" xr:uid="{00000000-0005-0000-0000-00002E240000}"/>
    <cellStyle name="40% - Accent1 14 6" xfId="5052" xr:uid="{00000000-0005-0000-0000-00002F240000}"/>
    <cellStyle name="40% - Accent1 14 6 2" xfId="16340" xr:uid="{00000000-0005-0000-0000-000030240000}"/>
    <cellStyle name="40% - Accent1 14 7" xfId="14346" xr:uid="{00000000-0005-0000-0000-000031240000}"/>
    <cellStyle name="40% - Accent1 14 8" xfId="13032" xr:uid="{00000000-0005-0000-0000-000032240000}"/>
    <cellStyle name="40% - Accent1 15" xfId="1097" xr:uid="{00000000-0005-0000-0000-000033240000}"/>
    <cellStyle name="40% - Accent1 15 2" xfId="4053" xr:uid="{00000000-0005-0000-0000-000034240000}"/>
    <cellStyle name="40% - Accent1 15 2 2" xfId="12032" xr:uid="{00000000-0005-0000-0000-000035240000}"/>
    <cellStyle name="40% - Accent1 15 2 2 2" xfId="23320" xr:uid="{00000000-0005-0000-0000-000036240000}"/>
    <cellStyle name="40% - Accent1 15 2 3" xfId="10038" xr:uid="{00000000-0005-0000-0000-000037240000}"/>
    <cellStyle name="40% - Accent1 15 2 3 2" xfId="21326" xr:uid="{00000000-0005-0000-0000-000038240000}"/>
    <cellStyle name="40% - Accent1 15 2 4" xfId="8044" xr:uid="{00000000-0005-0000-0000-000039240000}"/>
    <cellStyle name="40% - Accent1 15 2 4 2" xfId="19332" xr:uid="{00000000-0005-0000-0000-00003A240000}"/>
    <cellStyle name="40% - Accent1 15 2 5" xfId="6050" xr:uid="{00000000-0005-0000-0000-00003B240000}"/>
    <cellStyle name="40% - Accent1 15 2 5 2" xfId="17338" xr:uid="{00000000-0005-0000-0000-00003C240000}"/>
    <cellStyle name="40% - Accent1 15 2 6" xfId="15344" xr:uid="{00000000-0005-0000-0000-00003D240000}"/>
    <cellStyle name="40% - Accent1 15 3" xfId="11035" xr:uid="{00000000-0005-0000-0000-00003E240000}"/>
    <cellStyle name="40% - Accent1 15 3 2" xfId="22323" xr:uid="{00000000-0005-0000-0000-00003F240000}"/>
    <cellStyle name="40% - Accent1 15 4" xfId="9041" xr:uid="{00000000-0005-0000-0000-000040240000}"/>
    <cellStyle name="40% - Accent1 15 4 2" xfId="20329" xr:uid="{00000000-0005-0000-0000-000041240000}"/>
    <cellStyle name="40% - Accent1 15 5" xfId="7047" xr:uid="{00000000-0005-0000-0000-000042240000}"/>
    <cellStyle name="40% - Accent1 15 5 2" xfId="18335" xr:uid="{00000000-0005-0000-0000-000043240000}"/>
    <cellStyle name="40% - Accent1 15 6" xfId="5053" xr:uid="{00000000-0005-0000-0000-000044240000}"/>
    <cellStyle name="40% - Accent1 15 6 2" xfId="16341" xr:uid="{00000000-0005-0000-0000-000045240000}"/>
    <cellStyle name="40% - Accent1 15 7" xfId="14347" xr:uid="{00000000-0005-0000-0000-000046240000}"/>
    <cellStyle name="40% - Accent1 15 8" xfId="13033" xr:uid="{00000000-0005-0000-0000-000047240000}"/>
    <cellStyle name="40% - Accent1 16" xfId="1098" xr:uid="{00000000-0005-0000-0000-000048240000}"/>
    <cellStyle name="40% - Accent1 16 2" xfId="4054" xr:uid="{00000000-0005-0000-0000-000049240000}"/>
    <cellStyle name="40% - Accent1 16 2 2" xfId="12033" xr:uid="{00000000-0005-0000-0000-00004A240000}"/>
    <cellStyle name="40% - Accent1 16 2 2 2" xfId="23321" xr:uid="{00000000-0005-0000-0000-00004B240000}"/>
    <cellStyle name="40% - Accent1 16 2 3" xfId="10039" xr:uid="{00000000-0005-0000-0000-00004C240000}"/>
    <cellStyle name="40% - Accent1 16 2 3 2" xfId="21327" xr:uid="{00000000-0005-0000-0000-00004D240000}"/>
    <cellStyle name="40% - Accent1 16 2 4" xfId="8045" xr:uid="{00000000-0005-0000-0000-00004E240000}"/>
    <cellStyle name="40% - Accent1 16 2 4 2" xfId="19333" xr:uid="{00000000-0005-0000-0000-00004F240000}"/>
    <cellStyle name="40% - Accent1 16 2 5" xfId="6051" xr:uid="{00000000-0005-0000-0000-000050240000}"/>
    <cellStyle name="40% - Accent1 16 2 5 2" xfId="17339" xr:uid="{00000000-0005-0000-0000-000051240000}"/>
    <cellStyle name="40% - Accent1 16 2 6" xfId="15345" xr:uid="{00000000-0005-0000-0000-000052240000}"/>
    <cellStyle name="40% - Accent1 16 3" xfId="11036" xr:uid="{00000000-0005-0000-0000-000053240000}"/>
    <cellStyle name="40% - Accent1 16 3 2" xfId="22324" xr:uid="{00000000-0005-0000-0000-000054240000}"/>
    <cellStyle name="40% - Accent1 16 4" xfId="9042" xr:uid="{00000000-0005-0000-0000-000055240000}"/>
    <cellStyle name="40% - Accent1 16 4 2" xfId="20330" xr:uid="{00000000-0005-0000-0000-000056240000}"/>
    <cellStyle name="40% - Accent1 16 5" xfId="7048" xr:uid="{00000000-0005-0000-0000-000057240000}"/>
    <cellStyle name="40% - Accent1 16 5 2" xfId="18336" xr:uid="{00000000-0005-0000-0000-000058240000}"/>
    <cellStyle name="40% - Accent1 16 6" xfId="5054" xr:uid="{00000000-0005-0000-0000-000059240000}"/>
    <cellStyle name="40% - Accent1 16 6 2" xfId="16342" xr:uid="{00000000-0005-0000-0000-00005A240000}"/>
    <cellStyle name="40% - Accent1 16 7" xfId="14348" xr:uid="{00000000-0005-0000-0000-00005B240000}"/>
    <cellStyle name="40% - Accent1 16 8" xfId="13034" xr:uid="{00000000-0005-0000-0000-00005C240000}"/>
    <cellStyle name="40% - Accent1 17" xfId="1099" xr:uid="{00000000-0005-0000-0000-00005D240000}"/>
    <cellStyle name="40% - Accent1 17 2" xfId="4055" xr:uid="{00000000-0005-0000-0000-00005E240000}"/>
    <cellStyle name="40% - Accent1 17 2 2" xfId="12034" xr:uid="{00000000-0005-0000-0000-00005F240000}"/>
    <cellStyle name="40% - Accent1 17 2 2 2" xfId="23322" xr:uid="{00000000-0005-0000-0000-000060240000}"/>
    <cellStyle name="40% - Accent1 17 2 3" xfId="10040" xr:uid="{00000000-0005-0000-0000-000061240000}"/>
    <cellStyle name="40% - Accent1 17 2 3 2" xfId="21328" xr:uid="{00000000-0005-0000-0000-000062240000}"/>
    <cellStyle name="40% - Accent1 17 2 4" xfId="8046" xr:uid="{00000000-0005-0000-0000-000063240000}"/>
    <cellStyle name="40% - Accent1 17 2 4 2" xfId="19334" xr:uid="{00000000-0005-0000-0000-000064240000}"/>
    <cellStyle name="40% - Accent1 17 2 5" xfId="6052" xr:uid="{00000000-0005-0000-0000-000065240000}"/>
    <cellStyle name="40% - Accent1 17 2 5 2" xfId="17340" xr:uid="{00000000-0005-0000-0000-000066240000}"/>
    <cellStyle name="40% - Accent1 17 2 6" xfId="15346" xr:uid="{00000000-0005-0000-0000-000067240000}"/>
    <cellStyle name="40% - Accent1 17 3" xfId="11037" xr:uid="{00000000-0005-0000-0000-000068240000}"/>
    <cellStyle name="40% - Accent1 17 3 2" xfId="22325" xr:uid="{00000000-0005-0000-0000-000069240000}"/>
    <cellStyle name="40% - Accent1 17 4" xfId="9043" xr:uid="{00000000-0005-0000-0000-00006A240000}"/>
    <cellStyle name="40% - Accent1 17 4 2" xfId="20331" xr:uid="{00000000-0005-0000-0000-00006B240000}"/>
    <cellStyle name="40% - Accent1 17 5" xfId="7049" xr:uid="{00000000-0005-0000-0000-00006C240000}"/>
    <cellStyle name="40% - Accent1 17 5 2" xfId="18337" xr:uid="{00000000-0005-0000-0000-00006D240000}"/>
    <cellStyle name="40% - Accent1 17 6" xfId="5055" xr:uid="{00000000-0005-0000-0000-00006E240000}"/>
    <cellStyle name="40% - Accent1 17 6 2" xfId="16343" xr:uid="{00000000-0005-0000-0000-00006F240000}"/>
    <cellStyle name="40% - Accent1 17 7" xfId="14349" xr:uid="{00000000-0005-0000-0000-000070240000}"/>
    <cellStyle name="40% - Accent1 17 8" xfId="13035" xr:uid="{00000000-0005-0000-0000-000071240000}"/>
    <cellStyle name="40% - Accent1 18" xfId="1100" xr:uid="{00000000-0005-0000-0000-000072240000}"/>
    <cellStyle name="40% - Accent1 18 2" xfId="4056" xr:uid="{00000000-0005-0000-0000-000073240000}"/>
    <cellStyle name="40% - Accent1 18 2 2" xfId="12035" xr:uid="{00000000-0005-0000-0000-000074240000}"/>
    <cellStyle name="40% - Accent1 18 2 2 2" xfId="23323" xr:uid="{00000000-0005-0000-0000-000075240000}"/>
    <cellStyle name="40% - Accent1 18 2 3" xfId="10041" xr:uid="{00000000-0005-0000-0000-000076240000}"/>
    <cellStyle name="40% - Accent1 18 2 3 2" xfId="21329" xr:uid="{00000000-0005-0000-0000-000077240000}"/>
    <cellStyle name="40% - Accent1 18 2 4" xfId="8047" xr:uid="{00000000-0005-0000-0000-000078240000}"/>
    <cellStyle name="40% - Accent1 18 2 4 2" xfId="19335" xr:uid="{00000000-0005-0000-0000-000079240000}"/>
    <cellStyle name="40% - Accent1 18 2 5" xfId="6053" xr:uid="{00000000-0005-0000-0000-00007A240000}"/>
    <cellStyle name="40% - Accent1 18 2 5 2" xfId="17341" xr:uid="{00000000-0005-0000-0000-00007B240000}"/>
    <cellStyle name="40% - Accent1 18 2 6" xfId="15347" xr:uid="{00000000-0005-0000-0000-00007C240000}"/>
    <cellStyle name="40% - Accent1 18 3" xfId="11038" xr:uid="{00000000-0005-0000-0000-00007D240000}"/>
    <cellStyle name="40% - Accent1 18 3 2" xfId="22326" xr:uid="{00000000-0005-0000-0000-00007E240000}"/>
    <cellStyle name="40% - Accent1 18 4" xfId="9044" xr:uid="{00000000-0005-0000-0000-00007F240000}"/>
    <cellStyle name="40% - Accent1 18 4 2" xfId="20332" xr:uid="{00000000-0005-0000-0000-000080240000}"/>
    <cellStyle name="40% - Accent1 18 5" xfId="7050" xr:uid="{00000000-0005-0000-0000-000081240000}"/>
    <cellStyle name="40% - Accent1 18 5 2" xfId="18338" xr:uid="{00000000-0005-0000-0000-000082240000}"/>
    <cellStyle name="40% - Accent1 18 6" xfId="5056" xr:uid="{00000000-0005-0000-0000-000083240000}"/>
    <cellStyle name="40% - Accent1 18 6 2" xfId="16344" xr:uid="{00000000-0005-0000-0000-000084240000}"/>
    <cellStyle name="40% - Accent1 18 7" xfId="14350" xr:uid="{00000000-0005-0000-0000-000085240000}"/>
    <cellStyle name="40% - Accent1 18 8" xfId="13036" xr:uid="{00000000-0005-0000-0000-000086240000}"/>
    <cellStyle name="40% - Accent1 19" xfId="1101" xr:uid="{00000000-0005-0000-0000-000087240000}"/>
    <cellStyle name="40% - Accent1 19 2" xfId="4057" xr:uid="{00000000-0005-0000-0000-000088240000}"/>
    <cellStyle name="40% - Accent1 19 2 2" xfId="12036" xr:uid="{00000000-0005-0000-0000-000089240000}"/>
    <cellStyle name="40% - Accent1 19 2 2 2" xfId="23324" xr:uid="{00000000-0005-0000-0000-00008A240000}"/>
    <cellStyle name="40% - Accent1 19 2 3" xfId="10042" xr:uid="{00000000-0005-0000-0000-00008B240000}"/>
    <cellStyle name="40% - Accent1 19 2 3 2" xfId="21330" xr:uid="{00000000-0005-0000-0000-00008C240000}"/>
    <cellStyle name="40% - Accent1 19 2 4" xfId="8048" xr:uid="{00000000-0005-0000-0000-00008D240000}"/>
    <cellStyle name="40% - Accent1 19 2 4 2" xfId="19336" xr:uid="{00000000-0005-0000-0000-00008E240000}"/>
    <cellStyle name="40% - Accent1 19 2 5" xfId="6054" xr:uid="{00000000-0005-0000-0000-00008F240000}"/>
    <cellStyle name="40% - Accent1 19 2 5 2" xfId="17342" xr:uid="{00000000-0005-0000-0000-000090240000}"/>
    <cellStyle name="40% - Accent1 19 2 6" xfId="15348" xr:uid="{00000000-0005-0000-0000-000091240000}"/>
    <cellStyle name="40% - Accent1 19 3" xfId="11039" xr:uid="{00000000-0005-0000-0000-000092240000}"/>
    <cellStyle name="40% - Accent1 19 3 2" xfId="22327" xr:uid="{00000000-0005-0000-0000-000093240000}"/>
    <cellStyle name="40% - Accent1 19 4" xfId="9045" xr:uid="{00000000-0005-0000-0000-000094240000}"/>
    <cellStyle name="40% - Accent1 19 4 2" xfId="20333" xr:uid="{00000000-0005-0000-0000-000095240000}"/>
    <cellStyle name="40% - Accent1 19 5" xfId="7051" xr:uid="{00000000-0005-0000-0000-000096240000}"/>
    <cellStyle name="40% - Accent1 19 5 2" xfId="18339" xr:uid="{00000000-0005-0000-0000-000097240000}"/>
    <cellStyle name="40% - Accent1 19 6" xfId="5057" xr:uid="{00000000-0005-0000-0000-000098240000}"/>
    <cellStyle name="40% - Accent1 19 6 2" xfId="16345" xr:uid="{00000000-0005-0000-0000-000099240000}"/>
    <cellStyle name="40% - Accent1 19 7" xfId="14351" xr:uid="{00000000-0005-0000-0000-00009A240000}"/>
    <cellStyle name="40% - Accent1 19 8" xfId="13037" xr:uid="{00000000-0005-0000-0000-00009B240000}"/>
    <cellStyle name="40% - Accent1 2" xfId="1102" xr:uid="{00000000-0005-0000-0000-00009C240000}"/>
    <cellStyle name="40% - Accent1 2 10" xfId="24595" xr:uid="{00000000-0005-0000-0000-00009D240000}"/>
    <cellStyle name="40% - Accent1 2 11" xfId="24985" xr:uid="{00000000-0005-0000-0000-00009E240000}"/>
    <cellStyle name="40% - Accent1 2 2" xfId="4058" xr:uid="{00000000-0005-0000-0000-00009F240000}"/>
    <cellStyle name="40% - Accent1 2 2 2" xfId="12037" xr:uid="{00000000-0005-0000-0000-0000A0240000}"/>
    <cellStyle name="40% - Accent1 2 2 2 2" xfId="23325" xr:uid="{00000000-0005-0000-0000-0000A1240000}"/>
    <cellStyle name="40% - Accent1 2 2 3" xfId="10043" xr:uid="{00000000-0005-0000-0000-0000A2240000}"/>
    <cellStyle name="40% - Accent1 2 2 3 2" xfId="21331" xr:uid="{00000000-0005-0000-0000-0000A3240000}"/>
    <cellStyle name="40% - Accent1 2 2 4" xfId="8049" xr:uid="{00000000-0005-0000-0000-0000A4240000}"/>
    <cellStyle name="40% - Accent1 2 2 4 2" xfId="19337" xr:uid="{00000000-0005-0000-0000-0000A5240000}"/>
    <cellStyle name="40% - Accent1 2 2 5" xfId="6055" xr:uid="{00000000-0005-0000-0000-0000A6240000}"/>
    <cellStyle name="40% - Accent1 2 2 5 2" xfId="17343" xr:uid="{00000000-0005-0000-0000-0000A7240000}"/>
    <cellStyle name="40% - Accent1 2 2 6" xfId="15349" xr:uid="{00000000-0005-0000-0000-0000A8240000}"/>
    <cellStyle name="40% - Accent1 2 2 7" xfId="24356" xr:uid="{00000000-0005-0000-0000-0000A9240000}"/>
    <cellStyle name="40% - Accent1 2 2 8" xfId="24820" xr:uid="{00000000-0005-0000-0000-0000AA240000}"/>
    <cellStyle name="40% - Accent1 2 2 9" xfId="25187" xr:uid="{00000000-0005-0000-0000-0000AB240000}"/>
    <cellStyle name="40% - Accent1 2 3" xfId="11040" xr:uid="{00000000-0005-0000-0000-0000AC240000}"/>
    <cellStyle name="40% - Accent1 2 3 2" xfId="22328" xr:uid="{00000000-0005-0000-0000-0000AD240000}"/>
    <cellStyle name="40% - Accent1 2 4" xfId="9046" xr:uid="{00000000-0005-0000-0000-0000AE240000}"/>
    <cellStyle name="40% - Accent1 2 4 2" xfId="20334" xr:uid="{00000000-0005-0000-0000-0000AF240000}"/>
    <cellStyle name="40% - Accent1 2 5" xfId="7052" xr:uid="{00000000-0005-0000-0000-0000B0240000}"/>
    <cellStyle name="40% - Accent1 2 5 2" xfId="18340" xr:uid="{00000000-0005-0000-0000-0000B1240000}"/>
    <cellStyle name="40% - Accent1 2 6" xfId="5058" xr:uid="{00000000-0005-0000-0000-0000B2240000}"/>
    <cellStyle name="40% - Accent1 2 6 2" xfId="16346" xr:uid="{00000000-0005-0000-0000-0000B3240000}"/>
    <cellStyle name="40% - Accent1 2 7" xfId="14352" xr:uid="{00000000-0005-0000-0000-0000B4240000}"/>
    <cellStyle name="40% - Accent1 2 8" xfId="13038" xr:uid="{00000000-0005-0000-0000-0000B5240000}"/>
    <cellStyle name="40% - Accent1 2 9" xfId="23968" xr:uid="{00000000-0005-0000-0000-0000B6240000}"/>
    <cellStyle name="40% - Accent1 20" xfId="1103" xr:uid="{00000000-0005-0000-0000-0000B7240000}"/>
    <cellStyle name="40% - Accent1 20 2" xfId="4059" xr:uid="{00000000-0005-0000-0000-0000B8240000}"/>
    <cellStyle name="40% - Accent1 20 2 2" xfId="12038" xr:uid="{00000000-0005-0000-0000-0000B9240000}"/>
    <cellStyle name="40% - Accent1 20 2 2 2" xfId="23326" xr:uid="{00000000-0005-0000-0000-0000BA240000}"/>
    <cellStyle name="40% - Accent1 20 2 3" xfId="10044" xr:uid="{00000000-0005-0000-0000-0000BB240000}"/>
    <cellStyle name="40% - Accent1 20 2 3 2" xfId="21332" xr:uid="{00000000-0005-0000-0000-0000BC240000}"/>
    <cellStyle name="40% - Accent1 20 2 4" xfId="8050" xr:uid="{00000000-0005-0000-0000-0000BD240000}"/>
    <cellStyle name="40% - Accent1 20 2 4 2" xfId="19338" xr:uid="{00000000-0005-0000-0000-0000BE240000}"/>
    <cellStyle name="40% - Accent1 20 2 5" xfId="6056" xr:uid="{00000000-0005-0000-0000-0000BF240000}"/>
    <cellStyle name="40% - Accent1 20 2 5 2" xfId="17344" xr:uid="{00000000-0005-0000-0000-0000C0240000}"/>
    <cellStyle name="40% - Accent1 20 2 6" xfId="15350" xr:uid="{00000000-0005-0000-0000-0000C1240000}"/>
    <cellStyle name="40% - Accent1 20 3" xfId="11041" xr:uid="{00000000-0005-0000-0000-0000C2240000}"/>
    <cellStyle name="40% - Accent1 20 3 2" xfId="22329" xr:uid="{00000000-0005-0000-0000-0000C3240000}"/>
    <cellStyle name="40% - Accent1 20 4" xfId="9047" xr:uid="{00000000-0005-0000-0000-0000C4240000}"/>
    <cellStyle name="40% - Accent1 20 4 2" xfId="20335" xr:uid="{00000000-0005-0000-0000-0000C5240000}"/>
    <cellStyle name="40% - Accent1 20 5" xfId="7053" xr:uid="{00000000-0005-0000-0000-0000C6240000}"/>
    <cellStyle name="40% - Accent1 20 5 2" xfId="18341" xr:uid="{00000000-0005-0000-0000-0000C7240000}"/>
    <cellStyle name="40% - Accent1 20 6" xfId="5059" xr:uid="{00000000-0005-0000-0000-0000C8240000}"/>
    <cellStyle name="40% - Accent1 20 6 2" xfId="16347" xr:uid="{00000000-0005-0000-0000-0000C9240000}"/>
    <cellStyle name="40% - Accent1 20 7" xfId="14353" xr:uid="{00000000-0005-0000-0000-0000CA240000}"/>
    <cellStyle name="40% - Accent1 20 8" xfId="13039" xr:uid="{00000000-0005-0000-0000-0000CB240000}"/>
    <cellStyle name="40% - Accent1 21" xfId="1104" xr:uid="{00000000-0005-0000-0000-0000CC240000}"/>
    <cellStyle name="40% - Accent1 21 2" xfId="4060" xr:uid="{00000000-0005-0000-0000-0000CD240000}"/>
    <cellStyle name="40% - Accent1 21 2 2" xfId="12039" xr:uid="{00000000-0005-0000-0000-0000CE240000}"/>
    <cellStyle name="40% - Accent1 21 2 2 2" xfId="23327" xr:uid="{00000000-0005-0000-0000-0000CF240000}"/>
    <cellStyle name="40% - Accent1 21 2 3" xfId="10045" xr:uid="{00000000-0005-0000-0000-0000D0240000}"/>
    <cellStyle name="40% - Accent1 21 2 3 2" xfId="21333" xr:uid="{00000000-0005-0000-0000-0000D1240000}"/>
    <cellStyle name="40% - Accent1 21 2 4" xfId="8051" xr:uid="{00000000-0005-0000-0000-0000D2240000}"/>
    <cellStyle name="40% - Accent1 21 2 4 2" xfId="19339" xr:uid="{00000000-0005-0000-0000-0000D3240000}"/>
    <cellStyle name="40% - Accent1 21 2 5" xfId="6057" xr:uid="{00000000-0005-0000-0000-0000D4240000}"/>
    <cellStyle name="40% - Accent1 21 2 5 2" xfId="17345" xr:uid="{00000000-0005-0000-0000-0000D5240000}"/>
    <cellStyle name="40% - Accent1 21 2 6" xfId="15351" xr:uid="{00000000-0005-0000-0000-0000D6240000}"/>
    <cellStyle name="40% - Accent1 21 3" xfId="11042" xr:uid="{00000000-0005-0000-0000-0000D7240000}"/>
    <cellStyle name="40% - Accent1 21 3 2" xfId="22330" xr:uid="{00000000-0005-0000-0000-0000D8240000}"/>
    <cellStyle name="40% - Accent1 21 4" xfId="9048" xr:uid="{00000000-0005-0000-0000-0000D9240000}"/>
    <cellStyle name="40% - Accent1 21 4 2" xfId="20336" xr:uid="{00000000-0005-0000-0000-0000DA240000}"/>
    <cellStyle name="40% - Accent1 21 5" xfId="7054" xr:uid="{00000000-0005-0000-0000-0000DB240000}"/>
    <cellStyle name="40% - Accent1 21 5 2" xfId="18342" xr:uid="{00000000-0005-0000-0000-0000DC240000}"/>
    <cellStyle name="40% - Accent1 21 6" xfId="5060" xr:uid="{00000000-0005-0000-0000-0000DD240000}"/>
    <cellStyle name="40% - Accent1 21 6 2" xfId="16348" xr:uid="{00000000-0005-0000-0000-0000DE240000}"/>
    <cellStyle name="40% - Accent1 21 7" xfId="14354" xr:uid="{00000000-0005-0000-0000-0000DF240000}"/>
    <cellStyle name="40% - Accent1 21 8" xfId="13040" xr:uid="{00000000-0005-0000-0000-0000E0240000}"/>
    <cellStyle name="40% - Accent1 22" xfId="1105" xr:uid="{00000000-0005-0000-0000-0000E1240000}"/>
    <cellStyle name="40% - Accent1 22 2" xfId="4061" xr:uid="{00000000-0005-0000-0000-0000E2240000}"/>
    <cellStyle name="40% - Accent1 22 2 2" xfId="12040" xr:uid="{00000000-0005-0000-0000-0000E3240000}"/>
    <cellStyle name="40% - Accent1 22 2 2 2" xfId="23328" xr:uid="{00000000-0005-0000-0000-0000E4240000}"/>
    <cellStyle name="40% - Accent1 22 2 3" xfId="10046" xr:uid="{00000000-0005-0000-0000-0000E5240000}"/>
    <cellStyle name="40% - Accent1 22 2 3 2" xfId="21334" xr:uid="{00000000-0005-0000-0000-0000E6240000}"/>
    <cellStyle name="40% - Accent1 22 2 4" xfId="8052" xr:uid="{00000000-0005-0000-0000-0000E7240000}"/>
    <cellStyle name="40% - Accent1 22 2 4 2" xfId="19340" xr:uid="{00000000-0005-0000-0000-0000E8240000}"/>
    <cellStyle name="40% - Accent1 22 2 5" xfId="6058" xr:uid="{00000000-0005-0000-0000-0000E9240000}"/>
    <cellStyle name="40% - Accent1 22 2 5 2" xfId="17346" xr:uid="{00000000-0005-0000-0000-0000EA240000}"/>
    <cellStyle name="40% - Accent1 22 2 6" xfId="15352" xr:uid="{00000000-0005-0000-0000-0000EB240000}"/>
    <cellStyle name="40% - Accent1 22 3" xfId="11043" xr:uid="{00000000-0005-0000-0000-0000EC240000}"/>
    <cellStyle name="40% - Accent1 22 3 2" xfId="22331" xr:uid="{00000000-0005-0000-0000-0000ED240000}"/>
    <cellStyle name="40% - Accent1 22 4" xfId="9049" xr:uid="{00000000-0005-0000-0000-0000EE240000}"/>
    <cellStyle name="40% - Accent1 22 4 2" xfId="20337" xr:uid="{00000000-0005-0000-0000-0000EF240000}"/>
    <cellStyle name="40% - Accent1 22 5" xfId="7055" xr:uid="{00000000-0005-0000-0000-0000F0240000}"/>
    <cellStyle name="40% - Accent1 22 5 2" xfId="18343" xr:uid="{00000000-0005-0000-0000-0000F1240000}"/>
    <cellStyle name="40% - Accent1 22 6" xfId="5061" xr:uid="{00000000-0005-0000-0000-0000F2240000}"/>
    <cellStyle name="40% - Accent1 22 6 2" xfId="16349" xr:uid="{00000000-0005-0000-0000-0000F3240000}"/>
    <cellStyle name="40% - Accent1 22 7" xfId="14355" xr:uid="{00000000-0005-0000-0000-0000F4240000}"/>
    <cellStyle name="40% - Accent1 22 8" xfId="13041" xr:uid="{00000000-0005-0000-0000-0000F5240000}"/>
    <cellStyle name="40% - Accent1 23" xfId="1106" xr:uid="{00000000-0005-0000-0000-0000F6240000}"/>
    <cellStyle name="40% - Accent1 23 2" xfId="4062" xr:uid="{00000000-0005-0000-0000-0000F7240000}"/>
    <cellStyle name="40% - Accent1 23 2 2" xfId="12041" xr:uid="{00000000-0005-0000-0000-0000F8240000}"/>
    <cellStyle name="40% - Accent1 23 2 2 2" xfId="23329" xr:uid="{00000000-0005-0000-0000-0000F9240000}"/>
    <cellStyle name="40% - Accent1 23 2 3" xfId="10047" xr:uid="{00000000-0005-0000-0000-0000FA240000}"/>
    <cellStyle name="40% - Accent1 23 2 3 2" xfId="21335" xr:uid="{00000000-0005-0000-0000-0000FB240000}"/>
    <cellStyle name="40% - Accent1 23 2 4" xfId="8053" xr:uid="{00000000-0005-0000-0000-0000FC240000}"/>
    <cellStyle name="40% - Accent1 23 2 4 2" xfId="19341" xr:uid="{00000000-0005-0000-0000-0000FD240000}"/>
    <cellStyle name="40% - Accent1 23 2 5" xfId="6059" xr:uid="{00000000-0005-0000-0000-0000FE240000}"/>
    <cellStyle name="40% - Accent1 23 2 5 2" xfId="17347" xr:uid="{00000000-0005-0000-0000-0000FF240000}"/>
    <cellStyle name="40% - Accent1 23 2 6" xfId="15353" xr:uid="{00000000-0005-0000-0000-000000250000}"/>
    <cellStyle name="40% - Accent1 23 3" xfId="11044" xr:uid="{00000000-0005-0000-0000-000001250000}"/>
    <cellStyle name="40% - Accent1 23 3 2" xfId="22332" xr:uid="{00000000-0005-0000-0000-000002250000}"/>
    <cellStyle name="40% - Accent1 23 4" xfId="9050" xr:uid="{00000000-0005-0000-0000-000003250000}"/>
    <cellStyle name="40% - Accent1 23 4 2" xfId="20338" xr:uid="{00000000-0005-0000-0000-000004250000}"/>
    <cellStyle name="40% - Accent1 23 5" xfId="7056" xr:uid="{00000000-0005-0000-0000-000005250000}"/>
    <cellStyle name="40% - Accent1 23 5 2" xfId="18344" xr:uid="{00000000-0005-0000-0000-000006250000}"/>
    <cellStyle name="40% - Accent1 23 6" xfId="5062" xr:uid="{00000000-0005-0000-0000-000007250000}"/>
    <cellStyle name="40% - Accent1 23 6 2" xfId="16350" xr:uid="{00000000-0005-0000-0000-000008250000}"/>
    <cellStyle name="40% - Accent1 23 7" xfId="14356" xr:uid="{00000000-0005-0000-0000-000009250000}"/>
    <cellStyle name="40% - Accent1 23 8" xfId="13042" xr:uid="{00000000-0005-0000-0000-00000A250000}"/>
    <cellStyle name="40% - Accent1 24" xfId="1107" xr:uid="{00000000-0005-0000-0000-00000B250000}"/>
    <cellStyle name="40% - Accent1 24 2" xfId="4063" xr:uid="{00000000-0005-0000-0000-00000C250000}"/>
    <cellStyle name="40% - Accent1 24 2 2" xfId="12042" xr:uid="{00000000-0005-0000-0000-00000D250000}"/>
    <cellStyle name="40% - Accent1 24 2 2 2" xfId="23330" xr:uid="{00000000-0005-0000-0000-00000E250000}"/>
    <cellStyle name="40% - Accent1 24 2 3" xfId="10048" xr:uid="{00000000-0005-0000-0000-00000F250000}"/>
    <cellStyle name="40% - Accent1 24 2 3 2" xfId="21336" xr:uid="{00000000-0005-0000-0000-000010250000}"/>
    <cellStyle name="40% - Accent1 24 2 4" xfId="8054" xr:uid="{00000000-0005-0000-0000-000011250000}"/>
    <cellStyle name="40% - Accent1 24 2 4 2" xfId="19342" xr:uid="{00000000-0005-0000-0000-000012250000}"/>
    <cellStyle name="40% - Accent1 24 2 5" xfId="6060" xr:uid="{00000000-0005-0000-0000-000013250000}"/>
    <cellStyle name="40% - Accent1 24 2 5 2" xfId="17348" xr:uid="{00000000-0005-0000-0000-000014250000}"/>
    <cellStyle name="40% - Accent1 24 2 6" xfId="15354" xr:uid="{00000000-0005-0000-0000-000015250000}"/>
    <cellStyle name="40% - Accent1 24 3" xfId="11045" xr:uid="{00000000-0005-0000-0000-000016250000}"/>
    <cellStyle name="40% - Accent1 24 3 2" xfId="22333" xr:uid="{00000000-0005-0000-0000-000017250000}"/>
    <cellStyle name="40% - Accent1 24 4" xfId="9051" xr:uid="{00000000-0005-0000-0000-000018250000}"/>
    <cellStyle name="40% - Accent1 24 4 2" xfId="20339" xr:uid="{00000000-0005-0000-0000-000019250000}"/>
    <cellStyle name="40% - Accent1 24 5" xfId="7057" xr:uid="{00000000-0005-0000-0000-00001A250000}"/>
    <cellStyle name="40% - Accent1 24 5 2" xfId="18345" xr:uid="{00000000-0005-0000-0000-00001B250000}"/>
    <cellStyle name="40% - Accent1 24 6" xfId="5063" xr:uid="{00000000-0005-0000-0000-00001C250000}"/>
    <cellStyle name="40% - Accent1 24 6 2" xfId="16351" xr:uid="{00000000-0005-0000-0000-00001D250000}"/>
    <cellStyle name="40% - Accent1 24 7" xfId="14357" xr:uid="{00000000-0005-0000-0000-00001E250000}"/>
    <cellStyle name="40% - Accent1 24 8" xfId="13043" xr:uid="{00000000-0005-0000-0000-00001F250000}"/>
    <cellStyle name="40% - Accent1 25" xfId="1108" xr:uid="{00000000-0005-0000-0000-000020250000}"/>
    <cellStyle name="40% - Accent1 25 2" xfId="4064" xr:uid="{00000000-0005-0000-0000-000021250000}"/>
    <cellStyle name="40% - Accent1 25 2 2" xfId="12043" xr:uid="{00000000-0005-0000-0000-000022250000}"/>
    <cellStyle name="40% - Accent1 25 2 2 2" xfId="23331" xr:uid="{00000000-0005-0000-0000-000023250000}"/>
    <cellStyle name="40% - Accent1 25 2 3" xfId="10049" xr:uid="{00000000-0005-0000-0000-000024250000}"/>
    <cellStyle name="40% - Accent1 25 2 3 2" xfId="21337" xr:uid="{00000000-0005-0000-0000-000025250000}"/>
    <cellStyle name="40% - Accent1 25 2 4" xfId="8055" xr:uid="{00000000-0005-0000-0000-000026250000}"/>
    <cellStyle name="40% - Accent1 25 2 4 2" xfId="19343" xr:uid="{00000000-0005-0000-0000-000027250000}"/>
    <cellStyle name="40% - Accent1 25 2 5" xfId="6061" xr:uid="{00000000-0005-0000-0000-000028250000}"/>
    <cellStyle name="40% - Accent1 25 2 5 2" xfId="17349" xr:uid="{00000000-0005-0000-0000-000029250000}"/>
    <cellStyle name="40% - Accent1 25 2 6" xfId="15355" xr:uid="{00000000-0005-0000-0000-00002A250000}"/>
    <cellStyle name="40% - Accent1 25 3" xfId="11046" xr:uid="{00000000-0005-0000-0000-00002B250000}"/>
    <cellStyle name="40% - Accent1 25 3 2" xfId="22334" xr:uid="{00000000-0005-0000-0000-00002C250000}"/>
    <cellStyle name="40% - Accent1 25 4" xfId="9052" xr:uid="{00000000-0005-0000-0000-00002D250000}"/>
    <cellStyle name="40% - Accent1 25 4 2" xfId="20340" xr:uid="{00000000-0005-0000-0000-00002E250000}"/>
    <cellStyle name="40% - Accent1 25 5" xfId="7058" xr:uid="{00000000-0005-0000-0000-00002F250000}"/>
    <cellStyle name="40% - Accent1 25 5 2" xfId="18346" xr:uid="{00000000-0005-0000-0000-000030250000}"/>
    <cellStyle name="40% - Accent1 25 6" xfId="5064" xr:uid="{00000000-0005-0000-0000-000031250000}"/>
    <cellStyle name="40% - Accent1 25 6 2" xfId="16352" xr:uid="{00000000-0005-0000-0000-000032250000}"/>
    <cellStyle name="40% - Accent1 25 7" xfId="14358" xr:uid="{00000000-0005-0000-0000-000033250000}"/>
    <cellStyle name="40% - Accent1 25 8" xfId="13044" xr:uid="{00000000-0005-0000-0000-000034250000}"/>
    <cellStyle name="40% - Accent1 26" xfId="1109" xr:uid="{00000000-0005-0000-0000-000035250000}"/>
    <cellStyle name="40% - Accent1 26 2" xfId="4065" xr:uid="{00000000-0005-0000-0000-000036250000}"/>
    <cellStyle name="40% - Accent1 26 2 2" xfId="12044" xr:uid="{00000000-0005-0000-0000-000037250000}"/>
    <cellStyle name="40% - Accent1 26 2 2 2" xfId="23332" xr:uid="{00000000-0005-0000-0000-000038250000}"/>
    <cellStyle name="40% - Accent1 26 2 3" xfId="10050" xr:uid="{00000000-0005-0000-0000-000039250000}"/>
    <cellStyle name="40% - Accent1 26 2 3 2" xfId="21338" xr:uid="{00000000-0005-0000-0000-00003A250000}"/>
    <cellStyle name="40% - Accent1 26 2 4" xfId="8056" xr:uid="{00000000-0005-0000-0000-00003B250000}"/>
    <cellStyle name="40% - Accent1 26 2 4 2" xfId="19344" xr:uid="{00000000-0005-0000-0000-00003C250000}"/>
    <cellStyle name="40% - Accent1 26 2 5" xfId="6062" xr:uid="{00000000-0005-0000-0000-00003D250000}"/>
    <cellStyle name="40% - Accent1 26 2 5 2" xfId="17350" xr:uid="{00000000-0005-0000-0000-00003E250000}"/>
    <cellStyle name="40% - Accent1 26 2 6" xfId="15356" xr:uid="{00000000-0005-0000-0000-00003F250000}"/>
    <cellStyle name="40% - Accent1 26 3" xfId="11047" xr:uid="{00000000-0005-0000-0000-000040250000}"/>
    <cellStyle name="40% - Accent1 26 3 2" xfId="22335" xr:uid="{00000000-0005-0000-0000-000041250000}"/>
    <cellStyle name="40% - Accent1 26 4" xfId="9053" xr:uid="{00000000-0005-0000-0000-000042250000}"/>
    <cellStyle name="40% - Accent1 26 4 2" xfId="20341" xr:uid="{00000000-0005-0000-0000-000043250000}"/>
    <cellStyle name="40% - Accent1 26 5" xfId="7059" xr:uid="{00000000-0005-0000-0000-000044250000}"/>
    <cellStyle name="40% - Accent1 26 5 2" xfId="18347" xr:uid="{00000000-0005-0000-0000-000045250000}"/>
    <cellStyle name="40% - Accent1 26 6" xfId="5065" xr:uid="{00000000-0005-0000-0000-000046250000}"/>
    <cellStyle name="40% - Accent1 26 6 2" xfId="16353" xr:uid="{00000000-0005-0000-0000-000047250000}"/>
    <cellStyle name="40% - Accent1 26 7" xfId="14359" xr:uid="{00000000-0005-0000-0000-000048250000}"/>
    <cellStyle name="40% - Accent1 26 8" xfId="13045" xr:uid="{00000000-0005-0000-0000-000049250000}"/>
    <cellStyle name="40% - Accent1 27" xfId="1110" xr:uid="{00000000-0005-0000-0000-00004A250000}"/>
    <cellStyle name="40% - Accent1 27 2" xfId="4066" xr:uid="{00000000-0005-0000-0000-00004B250000}"/>
    <cellStyle name="40% - Accent1 27 2 2" xfId="12045" xr:uid="{00000000-0005-0000-0000-00004C250000}"/>
    <cellStyle name="40% - Accent1 27 2 2 2" xfId="23333" xr:uid="{00000000-0005-0000-0000-00004D250000}"/>
    <cellStyle name="40% - Accent1 27 2 3" xfId="10051" xr:uid="{00000000-0005-0000-0000-00004E250000}"/>
    <cellStyle name="40% - Accent1 27 2 3 2" xfId="21339" xr:uid="{00000000-0005-0000-0000-00004F250000}"/>
    <cellStyle name="40% - Accent1 27 2 4" xfId="8057" xr:uid="{00000000-0005-0000-0000-000050250000}"/>
    <cellStyle name="40% - Accent1 27 2 4 2" xfId="19345" xr:uid="{00000000-0005-0000-0000-000051250000}"/>
    <cellStyle name="40% - Accent1 27 2 5" xfId="6063" xr:uid="{00000000-0005-0000-0000-000052250000}"/>
    <cellStyle name="40% - Accent1 27 2 5 2" xfId="17351" xr:uid="{00000000-0005-0000-0000-000053250000}"/>
    <cellStyle name="40% - Accent1 27 2 6" xfId="15357" xr:uid="{00000000-0005-0000-0000-000054250000}"/>
    <cellStyle name="40% - Accent1 27 3" xfId="11048" xr:uid="{00000000-0005-0000-0000-000055250000}"/>
    <cellStyle name="40% - Accent1 27 3 2" xfId="22336" xr:uid="{00000000-0005-0000-0000-000056250000}"/>
    <cellStyle name="40% - Accent1 27 4" xfId="9054" xr:uid="{00000000-0005-0000-0000-000057250000}"/>
    <cellStyle name="40% - Accent1 27 4 2" xfId="20342" xr:uid="{00000000-0005-0000-0000-000058250000}"/>
    <cellStyle name="40% - Accent1 27 5" xfId="7060" xr:uid="{00000000-0005-0000-0000-000059250000}"/>
    <cellStyle name="40% - Accent1 27 5 2" xfId="18348" xr:uid="{00000000-0005-0000-0000-00005A250000}"/>
    <cellStyle name="40% - Accent1 27 6" xfId="5066" xr:uid="{00000000-0005-0000-0000-00005B250000}"/>
    <cellStyle name="40% - Accent1 27 6 2" xfId="16354" xr:uid="{00000000-0005-0000-0000-00005C250000}"/>
    <cellStyle name="40% - Accent1 27 7" xfId="14360" xr:uid="{00000000-0005-0000-0000-00005D250000}"/>
    <cellStyle name="40% - Accent1 27 8" xfId="13046" xr:uid="{00000000-0005-0000-0000-00005E250000}"/>
    <cellStyle name="40% - Accent1 28" xfId="1111" xr:uid="{00000000-0005-0000-0000-00005F250000}"/>
    <cellStyle name="40% - Accent1 28 2" xfId="4067" xr:uid="{00000000-0005-0000-0000-000060250000}"/>
    <cellStyle name="40% - Accent1 28 2 2" xfId="12046" xr:uid="{00000000-0005-0000-0000-000061250000}"/>
    <cellStyle name="40% - Accent1 28 2 2 2" xfId="23334" xr:uid="{00000000-0005-0000-0000-000062250000}"/>
    <cellStyle name="40% - Accent1 28 2 3" xfId="10052" xr:uid="{00000000-0005-0000-0000-000063250000}"/>
    <cellStyle name="40% - Accent1 28 2 3 2" xfId="21340" xr:uid="{00000000-0005-0000-0000-000064250000}"/>
    <cellStyle name="40% - Accent1 28 2 4" xfId="8058" xr:uid="{00000000-0005-0000-0000-000065250000}"/>
    <cellStyle name="40% - Accent1 28 2 4 2" xfId="19346" xr:uid="{00000000-0005-0000-0000-000066250000}"/>
    <cellStyle name="40% - Accent1 28 2 5" xfId="6064" xr:uid="{00000000-0005-0000-0000-000067250000}"/>
    <cellStyle name="40% - Accent1 28 2 5 2" xfId="17352" xr:uid="{00000000-0005-0000-0000-000068250000}"/>
    <cellStyle name="40% - Accent1 28 2 6" xfId="15358" xr:uid="{00000000-0005-0000-0000-000069250000}"/>
    <cellStyle name="40% - Accent1 28 3" xfId="11049" xr:uid="{00000000-0005-0000-0000-00006A250000}"/>
    <cellStyle name="40% - Accent1 28 3 2" xfId="22337" xr:uid="{00000000-0005-0000-0000-00006B250000}"/>
    <cellStyle name="40% - Accent1 28 4" xfId="9055" xr:uid="{00000000-0005-0000-0000-00006C250000}"/>
    <cellStyle name="40% - Accent1 28 4 2" xfId="20343" xr:uid="{00000000-0005-0000-0000-00006D250000}"/>
    <cellStyle name="40% - Accent1 28 5" xfId="7061" xr:uid="{00000000-0005-0000-0000-00006E250000}"/>
    <cellStyle name="40% - Accent1 28 5 2" xfId="18349" xr:uid="{00000000-0005-0000-0000-00006F250000}"/>
    <cellStyle name="40% - Accent1 28 6" xfId="5067" xr:uid="{00000000-0005-0000-0000-000070250000}"/>
    <cellStyle name="40% - Accent1 28 6 2" xfId="16355" xr:uid="{00000000-0005-0000-0000-000071250000}"/>
    <cellStyle name="40% - Accent1 28 7" xfId="14361" xr:uid="{00000000-0005-0000-0000-000072250000}"/>
    <cellStyle name="40% - Accent1 28 8" xfId="13047" xr:uid="{00000000-0005-0000-0000-000073250000}"/>
    <cellStyle name="40% - Accent1 29" xfId="1112" xr:uid="{00000000-0005-0000-0000-000074250000}"/>
    <cellStyle name="40% - Accent1 29 2" xfId="4068" xr:uid="{00000000-0005-0000-0000-000075250000}"/>
    <cellStyle name="40% - Accent1 29 2 2" xfId="12047" xr:uid="{00000000-0005-0000-0000-000076250000}"/>
    <cellStyle name="40% - Accent1 29 2 2 2" xfId="23335" xr:uid="{00000000-0005-0000-0000-000077250000}"/>
    <cellStyle name="40% - Accent1 29 2 3" xfId="10053" xr:uid="{00000000-0005-0000-0000-000078250000}"/>
    <cellStyle name="40% - Accent1 29 2 3 2" xfId="21341" xr:uid="{00000000-0005-0000-0000-000079250000}"/>
    <cellStyle name="40% - Accent1 29 2 4" xfId="8059" xr:uid="{00000000-0005-0000-0000-00007A250000}"/>
    <cellStyle name="40% - Accent1 29 2 4 2" xfId="19347" xr:uid="{00000000-0005-0000-0000-00007B250000}"/>
    <cellStyle name="40% - Accent1 29 2 5" xfId="6065" xr:uid="{00000000-0005-0000-0000-00007C250000}"/>
    <cellStyle name="40% - Accent1 29 2 5 2" xfId="17353" xr:uid="{00000000-0005-0000-0000-00007D250000}"/>
    <cellStyle name="40% - Accent1 29 2 6" xfId="15359" xr:uid="{00000000-0005-0000-0000-00007E250000}"/>
    <cellStyle name="40% - Accent1 29 3" xfId="11050" xr:uid="{00000000-0005-0000-0000-00007F250000}"/>
    <cellStyle name="40% - Accent1 29 3 2" xfId="22338" xr:uid="{00000000-0005-0000-0000-000080250000}"/>
    <cellStyle name="40% - Accent1 29 4" xfId="9056" xr:uid="{00000000-0005-0000-0000-000081250000}"/>
    <cellStyle name="40% - Accent1 29 4 2" xfId="20344" xr:uid="{00000000-0005-0000-0000-000082250000}"/>
    <cellStyle name="40% - Accent1 29 5" xfId="7062" xr:uid="{00000000-0005-0000-0000-000083250000}"/>
    <cellStyle name="40% - Accent1 29 5 2" xfId="18350" xr:uid="{00000000-0005-0000-0000-000084250000}"/>
    <cellStyle name="40% - Accent1 29 6" xfId="5068" xr:uid="{00000000-0005-0000-0000-000085250000}"/>
    <cellStyle name="40% - Accent1 29 6 2" xfId="16356" xr:uid="{00000000-0005-0000-0000-000086250000}"/>
    <cellStyle name="40% - Accent1 29 7" xfId="14362" xr:uid="{00000000-0005-0000-0000-000087250000}"/>
    <cellStyle name="40% - Accent1 29 8" xfId="13048" xr:uid="{00000000-0005-0000-0000-000088250000}"/>
    <cellStyle name="40% - Accent1 3" xfId="1113" xr:uid="{00000000-0005-0000-0000-000089250000}"/>
    <cellStyle name="40% - Accent1 3 10" xfId="24596" xr:uid="{00000000-0005-0000-0000-00008A250000}"/>
    <cellStyle name="40% - Accent1 3 11" xfId="24986" xr:uid="{00000000-0005-0000-0000-00008B250000}"/>
    <cellStyle name="40% - Accent1 3 2" xfId="4069" xr:uid="{00000000-0005-0000-0000-00008C250000}"/>
    <cellStyle name="40% - Accent1 3 2 2" xfId="12048" xr:uid="{00000000-0005-0000-0000-00008D250000}"/>
    <cellStyle name="40% - Accent1 3 2 2 2" xfId="23336" xr:uid="{00000000-0005-0000-0000-00008E250000}"/>
    <cellStyle name="40% - Accent1 3 2 3" xfId="10054" xr:uid="{00000000-0005-0000-0000-00008F250000}"/>
    <cellStyle name="40% - Accent1 3 2 3 2" xfId="21342" xr:uid="{00000000-0005-0000-0000-000090250000}"/>
    <cellStyle name="40% - Accent1 3 2 4" xfId="8060" xr:uid="{00000000-0005-0000-0000-000091250000}"/>
    <cellStyle name="40% - Accent1 3 2 4 2" xfId="19348" xr:uid="{00000000-0005-0000-0000-000092250000}"/>
    <cellStyle name="40% - Accent1 3 2 5" xfId="6066" xr:uid="{00000000-0005-0000-0000-000093250000}"/>
    <cellStyle name="40% - Accent1 3 2 5 2" xfId="17354" xr:uid="{00000000-0005-0000-0000-000094250000}"/>
    <cellStyle name="40% - Accent1 3 2 6" xfId="15360" xr:uid="{00000000-0005-0000-0000-000095250000}"/>
    <cellStyle name="40% - Accent1 3 2 7" xfId="24357" xr:uid="{00000000-0005-0000-0000-000096250000}"/>
    <cellStyle name="40% - Accent1 3 2 8" xfId="24821" xr:uid="{00000000-0005-0000-0000-000097250000}"/>
    <cellStyle name="40% - Accent1 3 2 9" xfId="25188" xr:uid="{00000000-0005-0000-0000-000098250000}"/>
    <cellStyle name="40% - Accent1 3 3" xfId="11051" xr:uid="{00000000-0005-0000-0000-000099250000}"/>
    <cellStyle name="40% - Accent1 3 3 2" xfId="22339" xr:uid="{00000000-0005-0000-0000-00009A250000}"/>
    <cellStyle name="40% - Accent1 3 4" xfId="9057" xr:uid="{00000000-0005-0000-0000-00009B250000}"/>
    <cellStyle name="40% - Accent1 3 4 2" xfId="20345" xr:uid="{00000000-0005-0000-0000-00009C250000}"/>
    <cellStyle name="40% - Accent1 3 5" xfId="7063" xr:uid="{00000000-0005-0000-0000-00009D250000}"/>
    <cellStyle name="40% - Accent1 3 5 2" xfId="18351" xr:uid="{00000000-0005-0000-0000-00009E250000}"/>
    <cellStyle name="40% - Accent1 3 6" xfId="5069" xr:uid="{00000000-0005-0000-0000-00009F250000}"/>
    <cellStyle name="40% - Accent1 3 6 2" xfId="16357" xr:uid="{00000000-0005-0000-0000-0000A0250000}"/>
    <cellStyle name="40% - Accent1 3 7" xfId="14363" xr:uid="{00000000-0005-0000-0000-0000A1250000}"/>
    <cellStyle name="40% - Accent1 3 8" xfId="13049" xr:uid="{00000000-0005-0000-0000-0000A2250000}"/>
    <cellStyle name="40% - Accent1 3 9" xfId="23969" xr:uid="{00000000-0005-0000-0000-0000A3250000}"/>
    <cellStyle name="40% - Accent1 30" xfId="1114" xr:uid="{00000000-0005-0000-0000-0000A4250000}"/>
    <cellStyle name="40% - Accent1 30 2" xfId="4070" xr:uid="{00000000-0005-0000-0000-0000A5250000}"/>
    <cellStyle name="40% - Accent1 30 2 2" xfId="12049" xr:uid="{00000000-0005-0000-0000-0000A6250000}"/>
    <cellStyle name="40% - Accent1 30 2 2 2" xfId="23337" xr:uid="{00000000-0005-0000-0000-0000A7250000}"/>
    <cellStyle name="40% - Accent1 30 2 3" xfId="10055" xr:uid="{00000000-0005-0000-0000-0000A8250000}"/>
    <cellStyle name="40% - Accent1 30 2 3 2" xfId="21343" xr:uid="{00000000-0005-0000-0000-0000A9250000}"/>
    <cellStyle name="40% - Accent1 30 2 4" xfId="8061" xr:uid="{00000000-0005-0000-0000-0000AA250000}"/>
    <cellStyle name="40% - Accent1 30 2 4 2" xfId="19349" xr:uid="{00000000-0005-0000-0000-0000AB250000}"/>
    <cellStyle name="40% - Accent1 30 2 5" xfId="6067" xr:uid="{00000000-0005-0000-0000-0000AC250000}"/>
    <cellStyle name="40% - Accent1 30 2 5 2" xfId="17355" xr:uid="{00000000-0005-0000-0000-0000AD250000}"/>
    <cellStyle name="40% - Accent1 30 2 6" xfId="15361" xr:uid="{00000000-0005-0000-0000-0000AE250000}"/>
    <cellStyle name="40% - Accent1 30 3" xfId="11052" xr:uid="{00000000-0005-0000-0000-0000AF250000}"/>
    <cellStyle name="40% - Accent1 30 3 2" xfId="22340" xr:uid="{00000000-0005-0000-0000-0000B0250000}"/>
    <cellStyle name="40% - Accent1 30 4" xfId="9058" xr:uid="{00000000-0005-0000-0000-0000B1250000}"/>
    <cellStyle name="40% - Accent1 30 4 2" xfId="20346" xr:uid="{00000000-0005-0000-0000-0000B2250000}"/>
    <cellStyle name="40% - Accent1 30 5" xfId="7064" xr:uid="{00000000-0005-0000-0000-0000B3250000}"/>
    <cellStyle name="40% - Accent1 30 5 2" xfId="18352" xr:uid="{00000000-0005-0000-0000-0000B4250000}"/>
    <cellStyle name="40% - Accent1 30 6" xfId="5070" xr:uid="{00000000-0005-0000-0000-0000B5250000}"/>
    <cellStyle name="40% - Accent1 30 6 2" xfId="16358" xr:uid="{00000000-0005-0000-0000-0000B6250000}"/>
    <cellStyle name="40% - Accent1 30 7" xfId="14364" xr:uid="{00000000-0005-0000-0000-0000B7250000}"/>
    <cellStyle name="40% - Accent1 30 8" xfId="13050" xr:uid="{00000000-0005-0000-0000-0000B8250000}"/>
    <cellStyle name="40% - Accent1 31" xfId="1115" xr:uid="{00000000-0005-0000-0000-0000B9250000}"/>
    <cellStyle name="40% - Accent1 31 2" xfId="4071" xr:uid="{00000000-0005-0000-0000-0000BA250000}"/>
    <cellStyle name="40% - Accent1 31 2 2" xfId="12050" xr:uid="{00000000-0005-0000-0000-0000BB250000}"/>
    <cellStyle name="40% - Accent1 31 2 2 2" xfId="23338" xr:uid="{00000000-0005-0000-0000-0000BC250000}"/>
    <cellStyle name="40% - Accent1 31 2 3" xfId="10056" xr:uid="{00000000-0005-0000-0000-0000BD250000}"/>
    <cellStyle name="40% - Accent1 31 2 3 2" xfId="21344" xr:uid="{00000000-0005-0000-0000-0000BE250000}"/>
    <cellStyle name="40% - Accent1 31 2 4" xfId="8062" xr:uid="{00000000-0005-0000-0000-0000BF250000}"/>
    <cellStyle name="40% - Accent1 31 2 4 2" xfId="19350" xr:uid="{00000000-0005-0000-0000-0000C0250000}"/>
    <cellStyle name="40% - Accent1 31 2 5" xfId="6068" xr:uid="{00000000-0005-0000-0000-0000C1250000}"/>
    <cellStyle name="40% - Accent1 31 2 5 2" xfId="17356" xr:uid="{00000000-0005-0000-0000-0000C2250000}"/>
    <cellStyle name="40% - Accent1 31 2 6" xfId="15362" xr:uid="{00000000-0005-0000-0000-0000C3250000}"/>
    <cellStyle name="40% - Accent1 31 3" xfId="11053" xr:uid="{00000000-0005-0000-0000-0000C4250000}"/>
    <cellStyle name="40% - Accent1 31 3 2" xfId="22341" xr:uid="{00000000-0005-0000-0000-0000C5250000}"/>
    <cellStyle name="40% - Accent1 31 4" xfId="9059" xr:uid="{00000000-0005-0000-0000-0000C6250000}"/>
    <cellStyle name="40% - Accent1 31 4 2" xfId="20347" xr:uid="{00000000-0005-0000-0000-0000C7250000}"/>
    <cellStyle name="40% - Accent1 31 5" xfId="7065" xr:uid="{00000000-0005-0000-0000-0000C8250000}"/>
    <cellStyle name="40% - Accent1 31 5 2" xfId="18353" xr:uid="{00000000-0005-0000-0000-0000C9250000}"/>
    <cellStyle name="40% - Accent1 31 6" xfId="5071" xr:uid="{00000000-0005-0000-0000-0000CA250000}"/>
    <cellStyle name="40% - Accent1 31 6 2" xfId="16359" xr:uid="{00000000-0005-0000-0000-0000CB250000}"/>
    <cellStyle name="40% - Accent1 31 7" xfId="14365" xr:uid="{00000000-0005-0000-0000-0000CC250000}"/>
    <cellStyle name="40% - Accent1 31 8" xfId="13051" xr:uid="{00000000-0005-0000-0000-0000CD250000}"/>
    <cellStyle name="40% - Accent1 32" xfId="1116" xr:uid="{00000000-0005-0000-0000-0000CE250000}"/>
    <cellStyle name="40% - Accent1 32 2" xfId="4072" xr:uid="{00000000-0005-0000-0000-0000CF250000}"/>
    <cellStyle name="40% - Accent1 32 2 2" xfId="12051" xr:uid="{00000000-0005-0000-0000-0000D0250000}"/>
    <cellStyle name="40% - Accent1 32 2 2 2" xfId="23339" xr:uid="{00000000-0005-0000-0000-0000D1250000}"/>
    <cellStyle name="40% - Accent1 32 2 3" xfId="10057" xr:uid="{00000000-0005-0000-0000-0000D2250000}"/>
    <cellStyle name="40% - Accent1 32 2 3 2" xfId="21345" xr:uid="{00000000-0005-0000-0000-0000D3250000}"/>
    <cellStyle name="40% - Accent1 32 2 4" xfId="8063" xr:uid="{00000000-0005-0000-0000-0000D4250000}"/>
    <cellStyle name="40% - Accent1 32 2 4 2" xfId="19351" xr:uid="{00000000-0005-0000-0000-0000D5250000}"/>
    <cellStyle name="40% - Accent1 32 2 5" xfId="6069" xr:uid="{00000000-0005-0000-0000-0000D6250000}"/>
    <cellStyle name="40% - Accent1 32 2 5 2" xfId="17357" xr:uid="{00000000-0005-0000-0000-0000D7250000}"/>
    <cellStyle name="40% - Accent1 32 2 6" xfId="15363" xr:uid="{00000000-0005-0000-0000-0000D8250000}"/>
    <cellStyle name="40% - Accent1 32 3" xfId="11054" xr:uid="{00000000-0005-0000-0000-0000D9250000}"/>
    <cellStyle name="40% - Accent1 32 3 2" xfId="22342" xr:uid="{00000000-0005-0000-0000-0000DA250000}"/>
    <cellStyle name="40% - Accent1 32 4" xfId="9060" xr:uid="{00000000-0005-0000-0000-0000DB250000}"/>
    <cellStyle name="40% - Accent1 32 4 2" xfId="20348" xr:uid="{00000000-0005-0000-0000-0000DC250000}"/>
    <cellStyle name="40% - Accent1 32 5" xfId="7066" xr:uid="{00000000-0005-0000-0000-0000DD250000}"/>
    <cellStyle name="40% - Accent1 32 5 2" xfId="18354" xr:uid="{00000000-0005-0000-0000-0000DE250000}"/>
    <cellStyle name="40% - Accent1 32 6" xfId="5072" xr:uid="{00000000-0005-0000-0000-0000DF250000}"/>
    <cellStyle name="40% - Accent1 32 6 2" xfId="16360" xr:uid="{00000000-0005-0000-0000-0000E0250000}"/>
    <cellStyle name="40% - Accent1 32 7" xfId="14366" xr:uid="{00000000-0005-0000-0000-0000E1250000}"/>
    <cellStyle name="40% - Accent1 32 8" xfId="13052" xr:uid="{00000000-0005-0000-0000-0000E2250000}"/>
    <cellStyle name="40% - Accent1 33" xfId="1117" xr:uid="{00000000-0005-0000-0000-0000E3250000}"/>
    <cellStyle name="40% - Accent1 33 2" xfId="4073" xr:uid="{00000000-0005-0000-0000-0000E4250000}"/>
    <cellStyle name="40% - Accent1 33 2 2" xfId="12052" xr:uid="{00000000-0005-0000-0000-0000E5250000}"/>
    <cellStyle name="40% - Accent1 33 2 2 2" xfId="23340" xr:uid="{00000000-0005-0000-0000-0000E6250000}"/>
    <cellStyle name="40% - Accent1 33 2 3" xfId="10058" xr:uid="{00000000-0005-0000-0000-0000E7250000}"/>
    <cellStyle name="40% - Accent1 33 2 3 2" xfId="21346" xr:uid="{00000000-0005-0000-0000-0000E8250000}"/>
    <cellStyle name="40% - Accent1 33 2 4" xfId="8064" xr:uid="{00000000-0005-0000-0000-0000E9250000}"/>
    <cellStyle name="40% - Accent1 33 2 4 2" xfId="19352" xr:uid="{00000000-0005-0000-0000-0000EA250000}"/>
    <cellStyle name="40% - Accent1 33 2 5" xfId="6070" xr:uid="{00000000-0005-0000-0000-0000EB250000}"/>
    <cellStyle name="40% - Accent1 33 2 5 2" xfId="17358" xr:uid="{00000000-0005-0000-0000-0000EC250000}"/>
    <cellStyle name="40% - Accent1 33 2 6" xfId="15364" xr:uid="{00000000-0005-0000-0000-0000ED250000}"/>
    <cellStyle name="40% - Accent1 33 3" xfId="11055" xr:uid="{00000000-0005-0000-0000-0000EE250000}"/>
    <cellStyle name="40% - Accent1 33 3 2" xfId="22343" xr:uid="{00000000-0005-0000-0000-0000EF250000}"/>
    <cellStyle name="40% - Accent1 33 4" xfId="9061" xr:uid="{00000000-0005-0000-0000-0000F0250000}"/>
    <cellStyle name="40% - Accent1 33 4 2" xfId="20349" xr:uid="{00000000-0005-0000-0000-0000F1250000}"/>
    <cellStyle name="40% - Accent1 33 5" xfId="7067" xr:uid="{00000000-0005-0000-0000-0000F2250000}"/>
    <cellStyle name="40% - Accent1 33 5 2" xfId="18355" xr:uid="{00000000-0005-0000-0000-0000F3250000}"/>
    <cellStyle name="40% - Accent1 33 6" xfId="5073" xr:uid="{00000000-0005-0000-0000-0000F4250000}"/>
    <cellStyle name="40% - Accent1 33 6 2" xfId="16361" xr:uid="{00000000-0005-0000-0000-0000F5250000}"/>
    <cellStyle name="40% - Accent1 33 7" xfId="14367" xr:uid="{00000000-0005-0000-0000-0000F6250000}"/>
    <cellStyle name="40% - Accent1 33 8" xfId="13053" xr:uid="{00000000-0005-0000-0000-0000F7250000}"/>
    <cellStyle name="40% - Accent1 34" xfId="1118" xr:uid="{00000000-0005-0000-0000-0000F8250000}"/>
    <cellStyle name="40% - Accent1 34 2" xfId="4074" xr:uid="{00000000-0005-0000-0000-0000F9250000}"/>
    <cellStyle name="40% - Accent1 34 2 2" xfId="12053" xr:uid="{00000000-0005-0000-0000-0000FA250000}"/>
    <cellStyle name="40% - Accent1 34 2 2 2" xfId="23341" xr:uid="{00000000-0005-0000-0000-0000FB250000}"/>
    <cellStyle name="40% - Accent1 34 2 3" xfId="10059" xr:uid="{00000000-0005-0000-0000-0000FC250000}"/>
    <cellStyle name="40% - Accent1 34 2 3 2" xfId="21347" xr:uid="{00000000-0005-0000-0000-0000FD250000}"/>
    <cellStyle name="40% - Accent1 34 2 4" xfId="8065" xr:uid="{00000000-0005-0000-0000-0000FE250000}"/>
    <cellStyle name="40% - Accent1 34 2 4 2" xfId="19353" xr:uid="{00000000-0005-0000-0000-0000FF250000}"/>
    <cellStyle name="40% - Accent1 34 2 5" xfId="6071" xr:uid="{00000000-0005-0000-0000-000000260000}"/>
    <cellStyle name="40% - Accent1 34 2 5 2" xfId="17359" xr:uid="{00000000-0005-0000-0000-000001260000}"/>
    <cellStyle name="40% - Accent1 34 2 6" xfId="15365" xr:uid="{00000000-0005-0000-0000-000002260000}"/>
    <cellStyle name="40% - Accent1 34 3" xfId="11056" xr:uid="{00000000-0005-0000-0000-000003260000}"/>
    <cellStyle name="40% - Accent1 34 3 2" xfId="22344" xr:uid="{00000000-0005-0000-0000-000004260000}"/>
    <cellStyle name="40% - Accent1 34 4" xfId="9062" xr:uid="{00000000-0005-0000-0000-000005260000}"/>
    <cellStyle name="40% - Accent1 34 4 2" xfId="20350" xr:uid="{00000000-0005-0000-0000-000006260000}"/>
    <cellStyle name="40% - Accent1 34 5" xfId="7068" xr:uid="{00000000-0005-0000-0000-000007260000}"/>
    <cellStyle name="40% - Accent1 34 5 2" xfId="18356" xr:uid="{00000000-0005-0000-0000-000008260000}"/>
    <cellStyle name="40% - Accent1 34 6" xfId="5074" xr:uid="{00000000-0005-0000-0000-000009260000}"/>
    <cellStyle name="40% - Accent1 34 6 2" xfId="16362" xr:uid="{00000000-0005-0000-0000-00000A260000}"/>
    <cellStyle name="40% - Accent1 34 7" xfId="14368" xr:uid="{00000000-0005-0000-0000-00000B260000}"/>
    <cellStyle name="40% - Accent1 34 8" xfId="13054" xr:uid="{00000000-0005-0000-0000-00000C260000}"/>
    <cellStyle name="40% - Accent1 35" xfId="1119" xr:uid="{00000000-0005-0000-0000-00000D260000}"/>
    <cellStyle name="40% - Accent1 35 2" xfId="4075" xr:uid="{00000000-0005-0000-0000-00000E260000}"/>
    <cellStyle name="40% - Accent1 35 2 2" xfId="12054" xr:uid="{00000000-0005-0000-0000-00000F260000}"/>
    <cellStyle name="40% - Accent1 35 2 2 2" xfId="23342" xr:uid="{00000000-0005-0000-0000-000010260000}"/>
    <cellStyle name="40% - Accent1 35 2 3" xfId="10060" xr:uid="{00000000-0005-0000-0000-000011260000}"/>
    <cellStyle name="40% - Accent1 35 2 3 2" xfId="21348" xr:uid="{00000000-0005-0000-0000-000012260000}"/>
    <cellStyle name="40% - Accent1 35 2 4" xfId="8066" xr:uid="{00000000-0005-0000-0000-000013260000}"/>
    <cellStyle name="40% - Accent1 35 2 4 2" xfId="19354" xr:uid="{00000000-0005-0000-0000-000014260000}"/>
    <cellStyle name="40% - Accent1 35 2 5" xfId="6072" xr:uid="{00000000-0005-0000-0000-000015260000}"/>
    <cellStyle name="40% - Accent1 35 2 5 2" xfId="17360" xr:uid="{00000000-0005-0000-0000-000016260000}"/>
    <cellStyle name="40% - Accent1 35 2 6" xfId="15366" xr:uid="{00000000-0005-0000-0000-000017260000}"/>
    <cellStyle name="40% - Accent1 35 3" xfId="11057" xr:uid="{00000000-0005-0000-0000-000018260000}"/>
    <cellStyle name="40% - Accent1 35 3 2" xfId="22345" xr:uid="{00000000-0005-0000-0000-000019260000}"/>
    <cellStyle name="40% - Accent1 35 4" xfId="9063" xr:uid="{00000000-0005-0000-0000-00001A260000}"/>
    <cellStyle name="40% - Accent1 35 4 2" xfId="20351" xr:uid="{00000000-0005-0000-0000-00001B260000}"/>
    <cellStyle name="40% - Accent1 35 5" xfId="7069" xr:uid="{00000000-0005-0000-0000-00001C260000}"/>
    <cellStyle name="40% - Accent1 35 5 2" xfId="18357" xr:uid="{00000000-0005-0000-0000-00001D260000}"/>
    <cellStyle name="40% - Accent1 35 6" xfId="5075" xr:uid="{00000000-0005-0000-0000-00001E260000}"/>
    <cellStyle name="40% - Accent1 35 6 2" xfId="16363" xr:uid="{00000000-0005-0000-0000-00001F260000}"/>
    <cellStyle name="40% - Accent1 35 7" xfId="14369" xr:uid="{00000000-0005-0000-0000-000020260000}"/>
    <cellStyle name="40% - Accent1 35 8" xfId="13055" xr:uid="{00000000-0005-0000-0000-000021260000}"/>
    <cellStyle name="40% - Accent1 36" xfId="1120" xr:uid="{00000000-0005-0000-0000-000022260000}"/>
    <cellStyle name="40% - Accent1 36 2" xfId="4076" xr:uid="{00000000-0005-0000-0000-000023260000}"/>
    <cellStyle name="40% - Accent1 36 2 2" xfId="12055" xr:uid="{00000000-0005-0000-0000-000024260000}"/>
    <cellStyle name="40% - Accent1 36 2 2 2" xfId="23343" xr:uid="{00000000-0005-0000-0000-000025260000}"/>
    <cellStyle name="40% - Accent1 36 2 3" xfId="10061" xr:uid="{00000000-0005-0000-0000-000026260000}"/>
    <cellStyle name="40% - Accent1 36 2 3 2" xfId="21349" xr:uid="{00000000-0005-0000-0000-000027260000}"/>
    <cellStyle name="40% - Accent1 36 2 4" xfId="8067" xr:uid="{00000000-0005-0000-0000-000028260000}"/>
    <cellStyle name="40% - Accent1 36 2 4 2" xfId="19355" xr:uid="{00000000-0005-0000-0000-000029260000}"/>
    <cellStyle name="40% - Accent1 36 2 5" xfId="6073" xr:uid="{00000000-0005-0000-0000-00002A260000}"/>
    <cellStyle name="40% - Accent1 36 2 5 2" xfId="17361" xr:uid="{00000000-0005-0000-0000-00002B260000}"/>
    <cellStyle name="40% - Accent1 36 2 6" xfId="15367" xr:uid="{00000000-0005-0000-0000-00002C260000}"/>
    <cellStyle name="40% - Accent1 36 3" xfId="11058" xr:uid="{00000000-0005-0000-0000-00002D260000}"/>
    <cellStyle name="40% - Accent1 36 3 2" xfId="22346" xr:uid="{00000000-0005-0000-0000-00002E260000}"/>
    <cellStyle name="40% - Accent1 36 4" xfId="9064" xr:uid="{00000000-0005-0000-0000-00002F260000}"/>
    <cellStyle name="40% - Accent1 36 4 2" xfId="20352" xr:uid="{00000000-0005-0000-0000-000030260000}"/>
    <cellStyle name="40% - Accent1 36 5" xfId="7070" xr:uid="{00000000-0005-0000-0000-000031260000}"/>
    <cellStyle name="40% - Accent1 36 5 2" xfId="18358" xr:uid="{00000000-0005-0000-0000-000032260000}"/>
    <cellStyle name="40% - Accent1 36 6" xfId="5076" xr:uid="{00000000-0005-0000-0000-000033260000}"/>
    <cellStyle name="40% - Accent1 36 6 2" xfId="16364" xr:uid="{00000000-0005-0000-0000-000034260000}"/>
    <cellStyle name="40% - Accent1 36 7" xfId="14370" xr:uid="{00000000-0005-0000-0000-000035260000}"/>
    <cellStyle name="40% - Accent1 36 8" xfId="13056" xr:uid="{00000000-0005-0000-0000-000036260000}"/>
    <cellStyle name="40% - Accent1 37" xfId="1121" xr:uid="{00000000-0005-0000-0000-000037260000}"/>
    <cellStyle name="40% - Accent1 37 2" xfId="4077" xr:uid="{00000000-0005-0000-0000-000038260000}"/>
    <cellStyle name="40% - Accent1 37 2 2" xfId="12056" xr:uid="{00000000-0005-0000-0000-000039260000}"/>
    <cellStyle name="40% - Accent1 37 2 2 2" xfId="23344" xr:uid="{00000000-0005-0000-0000-00003A260000}"/>
    <cellStyle name="40% - Accent1 37 2 3" xfId="10062" xr:uid="{00000000-0005-0000-0000-00003B260000}"/>
    <cellStyle name="40% - Accent1 37 2 3 2" xfId="21350" xr:uid="{00000000-0005-0000-0000-00003C260000}"/>
    <cellStyle name="40% - Accent1 37 2 4" xfId="8068" xr:uid="{00000000-0005-0000-0000-00003D260000}"/>
    <cellStyle name="40% - Accent1 37 2 4 2" xfId="19356" xr:uid="{00000000-0005-0000-0000-00003E260000}"/>
    <cellStyle name="40% - Accent1 37 2 5" xfId="6074" xr:uid="{00000000-0005-0000-0000-00003F260000}"/>
    <cellStyle name="40% - Accent1 37 2 5 2" xfId="17362" xr:uid="{00000000-0005-0000-0000-000040260000}"/>
    <cellStyle name="40% - Accent1 37 2 6" xfId="15368" xr:uid="{00000000-0005-0000-0000-000041260000}"/>
    <cellStyle name="40% - Accent1 37 3" xfId="11059" xr:uid="{00000000-0005-0000-0000-000042260000}"/>
    <cellStyle name="40% - Accent1 37 3 2" xfId="22347" xr:uid="{00000000-0005-0000-0000-000043260000}"/>
    <cellStyle name="40% - Accent1 37 4" xfId="9065" xr:uid="{00000000-0005-0000-0000-000044260000}"/>
    <cellStyle name="40% - Accent1 37 4 2" xfId="20353" xr:uid="{00000000-0005-0000-0000-000045260000}"/>
    <cellStyle name="40% - Accent1 37 5" xfId="7071" xr:uid="{00000000-0005-0000-0000-000046260000}"/>
    <cellStyle name="40% - Accent1 37 5 2" xfId="18359" xr:uid="{00000000-0005-0000-0000-000047260000}"/>
    <cellStyle name="40% - Accent1 37 6" xfId="5077" xr:uid="{00000000-0005-0000-0000-000048260000}"/>
    <cellStyle name="40% - Accent1 37 6 2" xfId="16365" xr:uid="{00000000-0005-0000-0000-000049260000}"/>
    <cellStyle name="40% - Accent1 37 7" xfId="14371" xr:uid="{00000000-0005-0000-0000-00004A260000}"/>
    <cellStyle name="40% - Accent1 37 8" xfId="13057" xr:uid="{00000000-0005-0000-0000-00004B260000}"/>
    <cellStyle name="40% - Accent1 38" xfId="1122" xr:uid="{00000000-0005-0000-0000-00004C260000}"/>
    <cellStyle name="40% - Accent1 38 2" xfId="4078" xr:uid="{00000000-0005-0000-0000-00004D260000}"/>
    <cellStyle name="40% - Accent1 38 2 2" xfId="12057" xr:uid="{00000000-0005-0000-0000-00004E260000}"/>
    <cellStyle name="40% - Accent1 38 2 2 2" xfId="23345" xr:uid="{00000000-0005-0000-0000-00004F260000}"/>
    <cellStyle name="40% - Accent1 38 2 3" xfId="10063" xr:uid="{00000000-0005-0000-0000-000050260000}"/>
    <cellStyle name="40% - Accent1 38 2 3 2" xfId="21351" xr:uid="{00000000-0005-0000-0000-000051260000}"/>
    <cellStyle name="40% - Accent1 38 2 4" xfId="8069" xr:uid="{00000000-0005-0000-0000-000052260000}"/>
    <cellStyle name="40% - Accent1 38 2 4 2" xfId="19357" xr:uid="{00000000-0005-0000-0000-000053260000}"/>
    <cellStyle name="40% - Accent1 38 2 5" xfId="6075" xr:uid="{00000000-0005-0000-0000-000054260000}"/>
    <cellStyle name="40% - Accent1 38 2 5 2" xfId="17363" xr:uid="{00000000-0005-0000-0000-000055260000}"/>
    <cellStyle name="40% - Accent1 38 2 6" xfId="15369" xr:uid="{00000000-0005-0000-0000-000056260000}"/>
    <cellStyle name="40% - Accent1 38 3" xfId="11060" xr:uid="{00000000-0005-0000-0000-000057260000}"/>
    <cellStyle name="40% - Accent1 38 3 2" xfId="22348" xr:uid="{00000000-0005-0000-0000-000058260000}"/>
    <cellStyle name="40% - Accent1 38 4" xfId="9066" xr:uid="{00000000-0005-0000-0000-000059260000}"/>
    <cellStyle name="40% - Accent1 38 4 2" xfId="20354" xr:uid="{00000000-0005-0000-0000-00005A260000}"/>
    <cellStyle name="40% - Accent1 38 5" xfId="7072" xr:uid="{00000000-0005-0000-0000-00005B260000}"/>
    <cellStyle name="40% - Accent1 38 5 2" xfId="18360" xr:uid="{00000000-0005-0000-0000-00005C260000}"/>
    <cellStyle name="40% - Accent1 38 6" xfId="5078" xr:uid="{00000000-0005-0000-0000-00005D260000}"/>
    <cellStyle name="40% - Accent1 38 6 2" xfId="16366" xr:uid="{00000000-0005-0000-0000-00005E260000}"/>
    <cellStyle name="40% - Accent1 38 7" xfId="14372" xr:uid="{00000000-0005-0000-0000-00005F260000}"/>
    <cellStyle name="40% - Accent1 38 8" xfId="13058" xr:uid="{00000000-0005-0000-0000-000060260000}"/>
    <cellStyle name="40% - Accent1 39" xfId="1123" xr:uid="{00000000-0005-0000-0000-000061260000}"/>
    <cellStyle name="40% - Accent1 39 2" xfId="4079" xr:uid="{00000000-0005-0000-0000-000062260000}"/>
    <cellStyle name="40% - Accent1 39 2 2" xfId="12058" xr:uid="{00000000-0005-0000-0000-000063260000}"/>
    <cellStyle name="40% - Accent1 39 2 2 2" xfId="23346" xr:uid="{00000000-0005-0000-0000-000064260000}"/>
    <cellStyle name="40% - Accent1 39 2 3" xfId="10064" xr:uid="{00000000-0005-0000-0000-000065260000}"/>
    <cellStyle name="40% - Accent1 39 2 3 2" xfId="21352" xr:uid="{00000000-0005-0000-0000-000066260000}"/>
    <cellStyle name="40% - Accent1 39 2 4" xfId="8070" xr:uid="{00000000-0005-0000-0000-000067260000}"/>
    <cellStyle name="40% - Accent1 39 2 4 2" xfId="19358" xr:uid="{00000000-0005-0000-0000-000068260000}"/>
    <cellStyle name="40% - Accent1 39 2 5" xfId="6076" xr:uid="{00000000-0005-0000-0000-000069260000}"/>
    <cellStyle name="40% - Accent1 39 2 5 2" xfId="17364" xr:uid="{00000000-0005-0000-0000-00006A260000}"/>
    <cellStyle name="40% - Accent1 39 2 6" xfId="15370" xr:uid="{00000000-0005-0000-0000-00006B260000}"/>
    <cellStyle name="40% - Accent1 39 3" xfId="11061" xr:uid="{00000000-0005-0000-0000-00006C260000}"/>
    <cellStyle name="40% - Accent1 39 3 2" xfId="22349" xr:uid="{00000000-0005-0000-0000-00006D260000}"/>
    <cellStyle name="40% - Accent1 39 4" xfId="9067" xr:uid="{00000000-0005-0000-0000-00006E260000}"/>
    <cellStyle name="40% - Accent1 39 4 2" xfId="20355" xr:uid="{00000000-0005-0000-0000-00006F260000}"/>
    <cellStyle name="40% - Accent1 39 5" xfId="7073" xr:uid="{00000000-0005-0000-0000-000070260000}"/>
    <cellStyle name="40% - Accent1 39 5 2" xfId="18361" xr:uid="{00000000-0005-0000-0000-000071260000}"/>
    <cellStyle name="40% - Accent1 39 6" xfId="5079" xr:uid="{00000000-0005-0000-0000-000072260000}"/>
    <cellStyle name="40% - Accent1 39 6 2" xfId="16367" xr:uid="{00000000-0005-0000-0000-000073260000}"/>
    <cellStyle name="40% - Accent1 39 7" xfId="14373" xr:uid="{00000000-0005-0000-0000-000074260000}"/>
    <cellStyle name="40% - Accent1 39 8" xfId="13059" xr:uid="{00000000-0005-0000-0000-000075260000}"/>
    <cellStyle name="40% - Accent1 4" xfId="1124" xr:uid="{00000000-0005-0000-0000-000076260000}"/>
    <cellStyle name="40% - Accent1 4 10" xfId="24597" xr:uid="{00000000-0005-0000-0000-000077260000}"/>
    <cellStyle name="40% - Accent1 4 11" xfId="24987" xr:uid="{00000000-0005-0000-0000-000078260000}"/>
    <cellStyle name="40% - Accent1 4 2" xfId="4080" xr:uid="{00000000-0005-0000-0000-000079260000}"/>
    <cellStyle name="40% - Accent1 4 2 2" xfId="12059" xr:uid="{00000000-0005-0000-0000-00007A260000}"/>
    <cellStyle name="40% - Accent1 4 2 2 2" xfId="23347" xr:uid="{00000000-0005-0000-0000-00007B260000}"/>
    <cellStyle name="40% - Accent1 4 2 3" xfId="10065" xr:uid="{00000000-0005-0000-0000-00007C260000}"/>
    <cellStyle name="40% - Accent1 4 2 3 2" xfId="21353" xr:uid="{00000000-0005-0000-0000-00007D260000}"/>
    <cellStyle name="40% - Accent1 4 2 4" xfId="8071" xr:uid="{00000000-0005-0000-0000-00007E260000}"/>
    <cellStyle name="40% - Accent1 4 2 4 2" xfId="19359" xr:uid="{00000000-0005-0000-0000-00007F260000}"/>
    <cellStyle name="40% - Accent1 4 2 5" xfId="6077" xr:uid="{00000000-0005-0000-0000-000080260000}"/>
    <cellStyle name="40% - Accent1 4 2 5 2" xfId="17365" xr:uid="{00000000-0005-0000-0000-000081260000}"/>
    <cellStyle name="40% - Accent1 4 2 6" xfId="15371" xr:uid="{00000000-0005-0000-0000-000082260000}"/>
    <cellStyle name="40% - Accent1 4 2 7" xfId="24358" xr:uid="{00000000-0005-0000-0000-000083260000}"/>
    <cellStyle name="40% - Accent1 4 2 8" xfId="24822" xr:uid="{00000000-0005-0000-0000-000084260000}"/>
    <cellStyle name="40% - Accent1 4 2 9" xfId="25189" xr:uid="{00000000-0005-0000-0000-000085260000}"/>
    <cellStyle name="40% - Accent1 4 3" xfId="11062" xr:uid="{00000000-0005-0000-0000-000086260000}"/>
    <cellStyle name="40% - Accent1 4 3 2" xfId="22350" xr:uid="{00000000-0005-0000-0000-000087260000}"/>
    <cellStyle name="40% - Accent1 4 4" xfId="9068" xr:uid="{00000000-0005-0000-0000-000088260000}"/>
    <cellStyle name="40% - Accent1 4 4 2" xfId="20356" xr:uid="{00000000-0005-0000-0000-000089260000}"/>
    <cellStyle name="40% - Accent1 4 5" xfId="7074" xr:uid="{00000000-0005-0000-0000-00008A260000}"/>
    <cellStyle name="40% - Accent1 4 5 2" xfId="18362" xr:uid="{00000000-0005-0000-0000-00008B260000}"/>
    <cellStyle name="40% - Accent1 4 6" xfId="5080" xr:uid="{00000000-0005-0000-0000-00008C260000}"/>
    <cellStyle name="40% - Accent1 4 6 2" xfId="16368" xr:uid="{00000000-0005-0000-0000-00008D260000}"/>
    <cellStyle name="40% - Accent1 4 7" xfId="14374" xr:uid="{00000000-0005-0000-0000-00008E260000}"/>
    <cellStyle name="40% - Accent1 4 8" xfId="13060" xr:uid="{00000000-0005-0000-0000-00008F260000}"/>
    <cellStyle name="40% - Accent1 4 9" xfId="23970" xr:uid="{00000000-0005-0000-0000-000090260000}"/>
    <cellStyle name="40% - Accent1 40" xfId="1125" xr:uid="{00000000-0005-0000-0000-000091260000}"/>
    <cellStyle name="40% - Accent1 40 2" xfId="4081" xr:uid="{00000000-0005-0000-0000-000092260000}"/>
    <cellStyle name="40% - Accent1 40 2 2" xfId="12060" xr:uid="{00000000-0005-0000-0000-000093260000}"/>
    <cellStyle name="40% - Accent1 40 2 2 2" xfId="23348" xr:uid="{00000000-0005-0000-0000-000094260000}"/>
    <cellStyle name="40% - Accent1 40 2 3" xfId="10066" xr:uid="{00000000-0005-0000-0000-000095260000}"/>
    <cellStyle name="40% - Accent1 40 2 3 2" xfId="21354" xr:uid="{00000000-0005-0000-0000-000096260000}"/>
    <cellStyle name="40% - Accent1 40 2 4" xfId="8072" xr:uid="{00000000-0005-0000-0000-000097260000}"/>
    <cellStyle name="40% - Accent1 40 2 4 2" xfId="19360" xr:uid="{00000000-0005-0000-0000-000098260000}"/>
    <cellStyle name="40% - Accent1 40 2 5" xfId="6078" xr:uid="{00000000-0005-0000-0000-000099260000}"/>
    <cellStyle name="40% - Accent1 40 2 5 2" xfId="17366" xr:uid="{00000000-0005-0000-0000-00009A260000}"/>
    <cellStyle name="40% - Accent1 40 2 6" xfId="15372" xr:uid="{00000000-0005-0000-0000-00009B260000}"/>
    <cellStyle name="40% - Accent1 40 3" xfId="11063" xr:uid="{00000000-0005-0000-0000-00009C260000}"/>
    <cellStyle name="40% - Accent1 40 3 2" xfId="22351" xr:uid="{00000000-0005-0000-0000-00009D260000}"/>
    <cellStyle name="40% - Accent1 40 4" xfId="9069" xr:uid="{00000000-0005-0000-0000-00009E260000}"/>
    <cellStyle name="40% - Accent1 40 4 2" xfId="20357" xr:uid="{00000000-0005-0000-0000-00009F260000}"/>
    <cellStyle name="40% - Accent1 40 5" xfId="7075" xr:uid="{00000000-0005-0000-0000-0000A0260000}"/>
    <cellStyle name="40% - Accent1 40 5 2" xfId="18363" xr:uid="{00000000-0005-0000-0000-0000A1260000}"/>
    <cellStyle name="40% - Accent1 40 6" xfId="5081" xr:uid="{00000000-0005-0000-0000-0000A2260000}"/>
    <cellStyle name="40% - Accent1 40 6 2" xfId="16369" xr:uid="{00000000-0005-0000-0000-0000A3260000}"/>
    <cellStyle name="40% - Accent1 40 7" xfId="14375" xr:uid="{00000000-0005-0000-0000-0000A4260000}"/>
    <cellStyle name="40% - Accent1 40 8" xfId="13061" xr:uid="{00000000-0005-0000-0000-0000A5260000}"/>
    <cellStyle name="40% - Accent1 41" xfId="1126" xr:uid="{00000000-0005-0000-0000-0000A6260000}"/>
    <cellStyle name="40% - Accent1 41 2" xfId="4082" xr:uid="{00000000-0005-0000-0000-0000A7260000}"/>
    <cellStyle name="40% - Accent1 41 2 2" xfId="12061" xr:uid="{00000000-0005-0000-0000-0000A8260000}"/>
    <cellStyle name="40% - Accent1 41 2 2 2" xfId="23349" xr:uid="{00000000-0005-0000-0000-0000A9260000}"/>
    <cellStyle name="40% - Accent1 41 2 3" xfId="10067" xr:uid="{00000000-0005-0000-0000-0000AA260000}"/>
    <cellStyle name="40% - Accent1 41 2 3 2" xfId="21355" xr:uid="{00000000-0005-0000-0000-0000AB260000}"/>
    <cellStyle name="40% - Accent1 41 2 4" xfId="8073" xr:uid="{00000000-0005-0000-0000-0000AC260000}"/>
    <cellStyle name="40% - Accent1 41 2 4 2" xfId="19361" xr:uid="{00000000-0005-0000-0000-0000AD260000}"/>
    <cellStyle name="40% - Accent1 41 2 5" xfId="6079" xr:uid="{00000000-0005-0000-0000-0000AE260000}"/>
    <cellStyle name="40% - Accent1 41 2 5 2" xfId="17367" xr:uid="{00000000-0005-0000-0000-0000AF260000}"/>
    <cellStyle name="40% - Accent1 41 2 6" xfId="15373" xr:uid="{00000000-0005-0000-0000-0000B0260000}"/>
    <cellStyle name="40% - Accent1 41 3" xfId="11064" xr:uid="{00000000-0005-0000-0000-0000B1260000}"/>
    <cellStyle name="40% - Accent1 41 3 2" xfId="22352" xr:uid="{00000000-0005-0000-0000-0000B2260000}"/>
    <cellStyle name="40% - Accent1 41 4" xfId="9070" xr:uid="{00000000-0005-0000-0000-0000B3260000}"/>
    <cellStyle name="40% - Accent1 41 4 2" xfId="20358" xr:uid="{00000000-0005-0000-0000-0000B4260000}"/>
    <cellStyle name="40% - Accent1 41 5" xfId="7076" xr:uid="{00000000-0005-0000-0000-0000B5260000}"/>
    <cellStyle name="40% - Accent1 41 5 2" xfId="18364" xr:uid="{00000000-0005-0000-0000-0000B6260000}"/>
    <cellStyle name="40% - Accent1 41 6" xfId="5082" xr:uid="{00000000-0005-0000-0000-0000B7260000}"/>
    <cellStyle name="40% - Accent1 41 6 2" xfId="16370" xr:uid="{00000000-0005-0000-0000-0000B8260000}"/>
    <cellStyle name="40% - Accent1 41 7" xfId="14376" xr:uid="{00000000-0005-0000-0000-0000B9260000}"/>
    <cellStyle name="40% - Accent1 41 8" xfId="13062" xr:uid="{00000000-0005-0000-0000-0000BA260000}"/>
    <cellStyle name="40% - Accent1 42" xfId="1127" xr:uid="{00000000-0005-0000-0000-0000BB260000}"/>
    <cellStyle name="40% - Accent1 42 2" xfId="4083" xr:uid="{00000000-0005-0000-0000-0000BC260000}"/>
    <cellStyle name="40% - Accent1 42 2 2" xfId="12062" xr:uid="{00000000-0005-0000-0000-0000BD260000}"/>
    <cellStyle name="40% - Accent1 42 2 2 2" xfId="23350" xr:uid="{00000000-0005-0000-0000-0000BE260000}"/>
    <cellStyle name="40% - Accent1 42 2 3" xfId="10068" xr:uid="{00000000-0005-0000-0000-0000BF260000}"/>
    <cellStyle name="40% - Accent1 42 2 3 2" xfId="21356" xr:uid="{00000000-0005-0000-0000-0000C0260000}"/>
    <cellStyle name="40% - Accent1 42 2 4" xfId="8074" xr:uid="{00000000-0005-0000-0000-0000C1260000}"/>
    <cellStyle name="40% - Accent1 42 2 4 2" xfId="19362" xr:uid="{00000000-0005-0000-0000-0000C2260000}"/>
    <cellStyle name="40% - Accent1 42 2 5" xfId="6080" xr:uid="{00000000-0005-0000-0000-0000C3260000}"/>
    <cellStyle name="40% - Accent1 42 2 5 2" xfId="17368" xr:uid="{00000000-0005-0000-0000-0000C4260000}"/>
    <cellStyle name="40% - Accent1 42 2 6" xfId="15374" xr:uid="{00000000-0005-0000-0000-0000C5260000}"/>
    <cellStyle name="40% - Accent1 42 3" xfId="11065" xr:uid="{00000000-0005-0000-0000-0000C6260000}"/>
    <cellStyle name="40% - Accent1 42 3 2" xfId="22353" xr:uid="{00000000-0005-0000-0000-0000C7260000}"/>
    <cellStyle name="40% - Accent1 42 4" xfId="9071" xr:uid="{00000000-0005-0000-0000-0000C8260000}"/>
    <cellStyle name="40% - Accent1 42 4 2" xfId="20359" xr:uid="{00000000-0005-0000-0000-0000C9260000}"/>
    <cellStyle name="40% - Accent1 42 5" xfId="7077" xr:uid="{00000000-0005-0000-0000-0000CA260000}"/>
    <cellStyle name="40% - Accent1 42 5 2" xfId="18365" xr:uid="{00000000-0005-0000-0000-0000CB260000}"/>
    <cellStyle name="40% - Accent1 42 6" xfId="5083" xr:uid="{00000000-0005-0000-0000-0000CC260000}"/>
    <cellStyle name="40% - Accent1 42 6 2" xfId="16371" xr:uid="{00000000-0005-0000-0000-0000CD260000}"/>
    <cellStyle name="40% - Accent1 42 7" xfId="14377" xr:uid="{00000000-0005-0000-0000-0000CE260000}"/>
    <cellStyle name="40% - Accent1 42 8" xfId="13063" xr:uid="{00000000-0005-0000-0000-0000CF260000}"/>
    <cellStyle name="40% - Accent1 43" xfId="1128" xr:uid="{00000000-0005-0000-0000-0000D0260000}"/>
    <cellStyle name="40% - Accent1 43 2" xfId="4084" xr:uid="{00000000-0005-0000-0000-0000D1260000}"/>
    <cellStyle name="40% - Accent1 43 2 2" xfId="12063" xr:uid="{00000000-0005-0000-0000-0000D2260000}"/>
    <cellStyle name="40% - Accent1 43 2 2 2" xfId="23351" xr:uid="{00000000-0005-0000-0000-0000D3260000}"/>
    <cellStyle name="40% - Accent1 43 2 3" xfId="10069" xr:uid="{00000000-0005-0000-0000-0000D4260000}"/>
    <cellStyle name="40% - Accent1 43 2 3 2" xfId="21357" xr:uid="{00000000-0005-0000-0000-0000D5260000}"/>
    <cellStyle name="40% - Accent1 43 2 4" xfId="8075" xr:uid="{00000000-0005-0000-0000-0000D6260000}"/>
    <cellStyle name="40% - Accent1 43 2 4 2" xfId="19363" xr:uid="{00000000-0005-0000-0000-0000D7260000}"/>
    <cellStyle name="40% - Accent1 43 2 5" xfId="6081" xr:uid="{00000000-0005-0000-0000-0000D8260000}"/>
    <cellStyle name="40% - Accent1 43 2 5 2" xfId="17369" xr:uid="{00000000-0005-0000-0000-0000D9260000}"/>
    <cellStyle name="40% - Accent1 43 2 6" xfId="15375" xr:uid="{00000000-0005-0000-0000-0000DA260000}"/>
    <cellStyle name="40% - Accent1 43 3" xfId="11066" xr:uid="{00000000-0005-0000-0000-0000DB260000}"/>
    <cellStyle name="40% - Accent1 43 3 2" xfId="22354" xr:uid="{00000000-0005-0000-0000-0000DC260000}"/>
    <cellStyle name="40% - Accent1 43 4" xfId="9072" xr:uid="{00000000-0005-0000-0000-0000DD260000}"/>
    <cellStyle name="40% - Accent1 43 4 2" xfId="20360" xr:uid="{00000000-0005-0000-0000-0000DE260000}"/>
    <cellStyle name="40% - Accent1 43 5" xfId="7078" xr:uid="{00000000-0005-0000-0000-0000DF260000}"/>
    <cellStyle name="40% - Accent1 43 5 2" xfId="18366" xr:uid="{00000000-0005-0000-0000-0000E0260000}"/>
    <cellStyle name="40% - Accent1 43 6" xfId="5084" xr:uid="{00000000-0005-0000-0000-0000E1260000}"/>
    <cellStyle name="40% - Accent1 43 6 2" xfId="16372" xr:uid="{00000000-0005-0000-0000-0000E2260000}"/>
    <cellStyle name="40% - Accent1 43 7" xfId="14378" xr:uid="{00000000-0005-0000-0000-0000E3260000}"/>
    <cellStyle name="40% - Accent1 43 8" xfId="13064" xr:uid="{00000000-0005-0000-0000-0000E4260000}"/>
    <cellStyle name="40% - Accent1 44" xfId="1129" xr:uid="{00000000-0005-0000-0000-0000E5260000}"/>
    <cellStyle name="40% - Accent1 44 2" xfId="4085" xr:uid="{00000000-0005-0000-0000-0000E6260000}"/>
    <cellStyle name="40% - Accent1 44 2 2" xfId="12064" xr:uid="{00000000-0005-0000-0000-0000E7260000}"/>
    <cellStyle name="40% - Accent1 44 2 2 2" xfId="23352" xr:uid="{00000000-0005-0000-0000-0000E8260000}"/>
    <cellStyle name="40% - Accent1 44 2 3" xfId="10070" xr:uid="{00000000-0005-0000-0000-0000E9260000}"/>
    <cellStyle name="40% - Accent1 44 2 3 2" xfId="21358" xr:uid="{00000000-0005-0000-0000-0000EA260000}"/>
    <cellStyle name="40% - Accent1 44 2 4" xfId="8076" xr:uid="{00000000-0005-0000-0000-0000EB260000}"/>
    <cellStyle name="40% - Accent1 44 2 4 2" xfId="19364" xr:uid="{00000000-0005-0000-0000-0000EC260000}"/>
    <cellStyle name="40% - Accent1 44 2 5" xfId="6082" xr:uid="{00000000-0005-0000-0000-0000ED260000}"/>
    <cellStyle name="40% - Accent1 44 2 5 2" xfId="17370" xr:uid="{00000000-0005-0000-0000-0000EE260000}"/>
    <cellStyle name="40% - Accent1 44 2 6" xfId="15376" xr:uid="{00000000-0005-0000-0000-0000EF260000}"/>
    <cellStyle name="40% - Accent1 44 3" xfId="11067" xr:uid="{00000000-0005-0000-0000-0000F0260000}"/>
    <cellStyle name="40% - Accent1 44 3 2" xfId="22355" xr:uid="{00000000-0005-0000-0000-0000F1260000}"/>
    <cellStyle name="40% - Accent1 44 4" xfId="9073" xr:uid="{00000000-0005-0000-0000-0000F2260000}"/>
    <cellStyle name="40% - Accent1 44 4 2" xfId="20361" xr:uid="{00000000-0005-0000-0000-0000F3260000}"/>
    <cellStyle name="40% - Accent1 44 5" xfId="7079" xr:uid="{00000000-0005-0000-0000-0000F4260000}"/>
    <cellStyle name="40% - Accent1 44 5 2" xfId="18367" xr:uid="{00000000-0005-0000-0000-0000F5260000}"/>
    <cellStyle name="40% - Accent1 44 6" xfId="5085" xr:uid="{00000000-0005-0000-0000-0000F6260000}"/>
    <cellStyle name="40% - Accent1 44 6 2" xfId="16373" xr:uid="{00000000-0005-0000-0000-0000F7260000}"/>
    <cellStyle name="40% - Accent1 44 7" xfId="14379" xr:uid="{00000000-0005-0000-0000-0000F8260000}"/>
    <cellStyle name="40% - Accent1 44 8" xfId="13065" xr:uid="{00000000-0005-0000-0000-0000F9260000}"/>
    <cellStyle name="40% - Accent1 45" xfId="1130" xr:uid="{00000000-0005-0000-0000-0000FA260000}"/>
    <cellStyle name="40% - Accent1 45 2" xfId="4086" xr:uid="{00000000-0005-0000-0000-0000FB260000}"/>
    <cellStyle name="40% - Accent1 45 2 2" xfId="12065" xr:uid="{00000000-0005-0000-0000-0000FC260000}"/>
    <cellStyle name="40% - Accent1 45 2 2 2" xfId="23353" xr:uid="{00000000-0005-0000-0000-0000FD260000}"/>
    <cellStyle name="40% - Accent1 45 2 3" xfId="10071" xr:uid="{00000000-0005-0000-0000-0000FE260000}"/>
    <cellStyle name="40% - Accent1 45 2 3 2" xfId="21359" xr:uid="{00000000-0005-0000-0000-0000FF260000}"/>
    <cellStyle name="40% - Accent1 45 2 4" xfId="8077" xr:uid="{00000000-0005-0000-0000-000000270000}"/>
    <cellStyle name="40% - Accent1 45 2 4 2" xfId="19365" xr:uid="{00000000-0005-0000-0000-000001270000}"/>
    <cellStyle name="40% - Accent1 45 2 5" xfId="6083" xr:uid="{00000000-0005-0000-0000-000002270000}"/>
    <cellStyle name="40% - Accent1 45 2 5 2" xfId="17371" xr:uid="{00000000-0005-0000-0000-000003270000}"/>
    <cellStyle name="40% - Accent1 45 2 6" xfId="15377" xr:uid="{00000000-0005-0000-0000-000004270000}"/>
    <cellStyle name="40% - Accent1 45 3" xfId="11068" xr:uid="{00000000-0005-0000-0000-000005270000}"/>
    <cellStyle name="40% - Accent1 45 3 2" xfId="22356" xr:uid="{00000000-0005-0000-0000-000006270000}"/>
    <cellStyle name="40% - Accent1 45 4" xfId="9074" xr:uid="{00000000-0005-0000-0000-000007270000}"/>
    <cellStyle name="40% - Accent1 45 4 2" xfId="20362" xr:uid="{00000000-0005-0000-0000-000008270000}"/>
    <cellStyle name="40% - Accent1 45 5" xfId="7080" xr:uid="{00000000-0005-0000-0000-000009270000}"/>
    <cellStyle name="40% - Accent1 45 5 2" xfId="18368" xr:uid="{00000000-0005-0000-0000-00000A270000}"/>
    <cellStyle name="40% - Accent1 45 6" xfId="5086" xr:uid="{00000000-0005-0000-0000-00000B270000}"/>
    <cellStyle name="40% - Accent1 45 6 2" xfId="16374" xr:uid="{00000000-0005-0000-0000-00000C270000}"/>
    <cellStyle name="40% - Accent1 45 7" xfId="14380" xr:uid="{00000000-0005-0000-0000-00000D270000}"/>
    <cellStyle name="40% - Accent1 45 8" xfId="13066" xr:uid="{00000000-0005-0000-0000-00000E270000}"/>
    <cellStyle name="40% - Accent1 46" xfId="1131" xr:uid="{00000000-0005-0000-0000-00000F270000}"/>
    <cellStyle name="40% - Accent1 46 2" xfId="4087" xr:uid="{00000000-0005-0000-0000-000010270000}"/>
    <cellStyle name="40% - Accent1 46 2 2" xfId="12066" xr:uid="{00000000-0005-0000-0000-000011270000}"/>
    <cellStyle name="40% - Accent1 46 2 2 2" xfId="23354" xr:uid="{00000000-0005-0000-0000-000012270000}"/>
    <cellStyle name="40% - Accent1 46 2 3" xfId="10072" xr:uid="{00000000-0005-0000-0000-000013270000}"/>
    <cellStyle name="40% - Accent1 46 2 3 2" xfId="21360" xr:uid="{00000000-0005-0000-0000-000014270000}"/>
    <cellStyle name="40% - Accent1 46 2 4" xfId="8078" xr:uid="{00000000-0005-0000-0000-000015270000}"/>
    <cellStyle name="40% - Accent1 46 2 4 2" xfId="19366" xr:uid="{00000000-0005-0000-0000-000016270000}"/>
    <cellStyle name="40% - Accent1 46 2 5" xfId="6084" xr:uid="{00000000-0005-0000-0000-000017270000}"/>
    <cellStyle name="40% - Accent1 46 2 5 2" xfId="17372" xr:uid="{00000000-0005-0000-0000-000018270000}"/>
    <cellStyle name="40% - Accent1 46 2 6" xfId="15378" xr:uid="{00000000-0005-0000-0000-000019270000}"/>
    <cellStyle name="40% - Accent1 46 3" xfId="11069" xr:uid="{00000000-0005-0000-0000-00001A270000}"/>
    <cellStyle name="40% - Accent1 46 3 2" xfId="22357" xr:uid="{00000000-0005-0000-0000-00001B270000}"/>
    <cellStyle name="40% - Accent1 46 4" xfId="9075" xr:uid="{00000000-0005-0000-0000-00001C270000}"/>
    <cellStyle name="40% - Accent1 46 4 2" xfId="20363" xr:uid="{00000000-0005-0000-0000-00001D270000}"/>
    <cellStyle name="40% - Accent1 46 5" xfId="7081" xr:uid="{00000000-0005-0000-0000-00001E270000}"/>
    <cellStyle name="40% - Accent1 46 5 2" xfId="18369" xr:uid="{00000000-0005-0000-0000-00001F270000}"/>
    <cellStyle name="40% - Accent1 46 6" xfId="5087" xr:uid="{00000000-0005-0000-0000-000020270000}"/>
    <cellStyle name="40% - Accent1 46 6 2" xfId="16375" xr:uid="{00000000-0005-0000-0000-000021270000}"/>
    <cellStyle name="40% - Accent1 46 7" xfId="14381" xr:uid="{00000000-0005-0000-0000-000022270000}"/>
    <cellStyle name="40% - Accent1 46 8" xfId="13067" xr:uid="{00000000-0005-0000-0000-000023270000}"/>
    <cellStyle name="40% - Accent1 47" xfId="1132" xr:uid="{00000000-0005-0000-0000-000024270000}"/>
    <cellStyle name="40% - Accent1 47 2" xfId="4088" xr:uid="{00000000-0005-0000-0000-000025270000}"/>
    <cellStyle name="40% - Accent1 47 2 2" xfId="12067" xr:uid="{00000000-0005-0000-0000-000026270000}"/>
    <cellStyle name="40% - Accent1 47 2 2 2" xfId="23355" xr:uid="{00000000-0005-0000-0000-000027270000}"/>
    <cellStyle name="40% - Accent1 47 2 3" xfId="10073" xr:uid="{00000000-0005-0000-0000-000028270000}"/>
    <cellStyle name="40% - Accent1 47 2 3 2" xfId="21361" xr:uid="{00000000-0005-0000-0000-000029270000}"/>
    <cellStyle name="40% - Accent1 47 2 4" xfId="8079" xr:uid="{00000000-0005-0000-0000-00002A270000}"/>
    <cellStyle name="40% - Accent1 47 2 4 2" xfId="19367" xr:uid="{00000000-0005-0000-0000-00002B270000}"/>
    <cellStyle name="40% - Accent1 47 2 5" xfId="6085" xr:uid="{00000000-0005-0000-0000-00002C270000}"/>
    <cellStyle name="40% - Accent1 47 2 5 2" xfId="17373" xr:uid="{00000000-0005-0000-0000-00002D270000}"/>
    <cellStyle name="40% - Accent1 47 2 6" xfId="15379" xr:uid="{00000000-0005-0000-0000-00002E270000}"/>
    <cellStyle name="40% - Accent1 47 3" xfId="11070" xr:uid="{00000000-0005-0000-0000-00002F270000}"/>
    <cellStyle name="40% - Accent1 47 3 2" xfId="22358" xr:uid="{00000000-0005-0000-0000-000030270000}"/>
    <cellStyle name="40% - Accent1 47 4" xfId="9076" xr:uid="{00000000-0005-0000-0000-000031270000}"/>
    <cellStyle name="40% - Accent1 47 4 2" xfId="20364" xr:uid="{00000000-0005-0000-0000-000032270000}"/>
    <cellStyle name="40% - Accent1 47 5" xfId="7082" xr:uid="{00000000-0005-0000-0000-000033270000}"/>
    <cellStyle name="40% - Accent1 47 5 2" xfId="18370" xr:uid="{00000000-0005-0000-0000-000034270000}"/>
    <cellStyle name="40% - Accent1 47 6" xfId="5088" xr:uid="{00000000-0005-0000-0000-000035270000}"/>
    <cellStyle name="40% - Accent1 47 6 2" xfId="16376" xr:uid="{00000000-0005-0000-0000-000036270000}"/>
    <cellStyle name="40% - Accent1 47 7" xfId="14382" xr:uid="{00000000-0005-0000-0000-000037270000}"/>
    <cellStyle name="40% - Accent1 47 8" xfId="13068" xr:uid="{00000000-0005-0000-0000-000038270000}"/>
    <cellStyle name="40% - Accent1 48" xfId="1133" xr:uid="{00000000-0005-0000-0000-000039270000}"/>
    <cellStyle name="40% - Accent1 48 2" xfId="4089" xr:uid="{00000000-0005-0000-0000-00003A270000}"/>
    <cellStyle name="40% - Accent1 48 2 2" xfId="12068" xr:uid="{00000000-0005-0000-0000-00003B270000}"/>
    <cellStyle name="40% - Accent1 48 2 2 2" xfId="23356" xr:uid="{00000000-0005-0000-0000-00003C270000}"/>
    <cellStyle name="40% - Accent1 48 2 3" xfId="10074" xr:uid="{00000000-0005-0000-0000-00003D270000}"/>
    <cellStyle name="40% - Accent1 48 2 3 2" xfId="21362" xr:uid="{00000000-0005-0000-0000-00003E270000}"/>
    <cellStyle name="40% - Accent1 48 2 4" xfId="8080" xr:uid="{00000000-0005-0000-0000-00003F270000}"/>
    <cellStyle name="40% - Accent1 48 2 4 2" xfId="19368" xr:uid="{00000000-0005-0000-0000-000040270000}"/>
    <cellStyle name="40% - Accent1 48 2 5" xfId="6086" xr:uid="{00000000-0005-0000-0000-000041270000}"/>
    <cellStyle name="40% - Accent1 48 2 5 2" xfId="17374" xr:uid="{00000000-0005-0000-0000-000042270000}"/>
    <cellStyle name="40% - Accent1 48 2 6" xfId="15380" xr:uid="{00000000-0005-0000-0000-000043270000}"/>
    <cellStyle name="40% - Accent1 48 3" xfId="11071" xr:uid="{00000000-0005-0000-0000-000044270000}"/>
    <cellStyle name="40% - Accent1 48 3 2" xfId="22359" xr:uid="{00000000-0005-0000-0000-000045270000}"/>
    <cellStyle name="40% - Accent1 48 4" xfId="9077" xr:uid="{00000000-0005-0000-0000-000046270000}"/>
    <cellStyle name="40% - Accent1 48 4 2" xfId="20365" xr:uid="{00000000-0005-0000-0000-000047270000}"/>
    <cellStyle name="40% - Accent1 48 5" xfId="7083" xr:uid="{00000000-0005-0000-0000-000048270000}"/>
    <cellStyle name="40% - Accent1 48 5 2" xfId="18371" xr:uid="{00000000-0005-0000-0000-000049270000}"/>
    <cellStyle name="40% - Accent1 48 6" xfId="5089" xr:uid="{00000000-0005-0000-0000-00004A270000}"/>
    <cellStyle name="40% - Accent1 48 6 2" xfId="16377" xr:uid="{00000000-0005-0000-0000-00004B270000}"/>
    <cellStyle name="40% - Accent1 48 7" xfId="14383" xr:uid="{00000000-0005-0000-0000-00004C270000}"/>
    <cellStyle name="40% - Accent1 48 8" xfId="13069" xr:uid="{00000000-0005-0000-0000-00004D270000}"/>
    <cellStyle name="40% - Accent1 49" xfId="1134" xr:uid="{00000000-0005-0000-0000-00004E270000}"/>
    <cellStyle name="40% - Accent1 49 2" xfId="4090" xr:uid="{00000000-0005-0000-0000-00004F270000}"/>
    <cellStyle name="40% - Accent1 49 2 2" xfId="12069" xr:uid="{00000000-0005-0000-0000-000050270000}"/>
    <cellStyle name="40% - Accent1 49 2 2 2" xfId="23357" xr:uid="{00000000-0005-0000-0000-000051270000}"/>
    <cellStyle name="40% - Accent1 49 2 3" xfId="10075" xr:uid="{00000000-0005-0000-0000-000052270000}"/>
    <cellStyle name="40% - Accent1 49 2 3 2" xfId="21363" xr:uid="{00000000-0005-0000-0000-000053270000}"/>
    <cellStyle name="40% - Accent1 49 2 4" xfId="8081" xr:uid="{00000000-0005-0000-0000-000054270000}"/>
    <cellStyle name="40% - Accent1 49 2 4 2" xfId="19369" xr:uid="{00000000-0005-0000-0000-000055270000}"/>
    <cellStyle name="40% - Accent1 49 2 5" xfId="6087" xr:uid="{00000000-0005-0000-0000-000056270000}"/>
    <cellStyle name="40% - Accent1 49 2 5 2" xfId="17375" xr:uid="{00000000-0005-0000-0000-000057270000}"/>
    <cellStyle name="40% - Accent1 49 2 6" xfId="15381" xr:uid="{00000000-0005-0000-0000-000058270000}"/>
    <cellStyle name="40% - Accent1 49 3" xfId="11072" xr:uid="{00000000-0005-0000-0000-000059270000}"/>
    <cellStyle name="40% - Accent1 49 3 2" xfId="22360" xr:uid="{00000000-0005-0000-0000-00005A270000}"/>
    <cellStyle name="40% - Accent1 49 4" xfId="9078" xr:uid="{00000000-0005-0000-0000-00005B270000}"/>
    <cellStyle name="40% - Accent1 49 4 2" xfId="20366" xr:uid="{00000000-0005-0000-0000-00005C270000}"/>
    <cellStyle name="40% - Accent1 49 5" xfId="7084" xr:uid="{00000000-0005-0000-0000-00005D270000}"/>
    <cellStyle name="40% - Accent1 49 5 2" xfId="18372" xr:uid="{00000000-0005-0000-0000-00005E270000}"/>
    <cellStyle name="40% - Accent1 49 6" xfId="5090" xr:uid="{00000000-0005-0000-0000-00005F270000}"/>
    <cellStyle name="40% - Accent1 49 6 2" xfId="16378" xr:uid="{00000000-0005-0000-0000-000060270000}"/>
    <cellStyle name="40% - Accent1 49 7" xfId="14384" xr:uid="{00000000-0005-0000-0000-000061270000}"/>
    <cellStyle name="40% - Accent1 49 8" xfId="13070" xr:uid="{00000000-0005-0000-0000-000062270000}"/>
    <cellStyle name="40% - Accent1 5" xfId="1135" xr:uid="{00000000-0005-0000-0000-000063270000}"/>
    <cellStyle name="40% - Accent1 5 10" xfId="24598" xr:uid="{00000000-0005-0000-0000-000064270000}"/>
    <cellStyle name="40% - Accent1 5 11" xfId="24988" xr:uid="{00000000-0005-0000-0000-000065270000}"/>
    <cellStyle name="40% - Accent1 5 2" xfId="4091" xr:uid="{00000000-0005-0000-0000-000066270000}"/>
    <cellStyle name="40% - Accent1 5 2 2" xfId="12070" xr:uid="{00000000-0005-0000-0000-000067270000}"/>
    <cellStyle name="40% - Accent1 5 2 2 2" xfId="23358" xr:uid="{00000000-0005-0000-0000-000068270000}"/>
    <cellStyle name="40% - Accent1 5 2 3" xfId="10076" xr:uid="{00000000-0005-0000-0000-000069270000}"/>
    <cellStyle name="40% - Accent1 5 2 3 2" xfId="21364" xr:uid="{00000000-0005-0000-0000-00006A270000}"/>
    <cellStyle name="40% - Accent1 5 2 4" xfId="8082" xr:uid="{00000000-0005-0000-0000-00006B270000}"/>
    <cellStyle name="40% - Accent1 5 2 4 2" xfId="19370" xr:uid="{00000000-0005-0000-0000-00006C270000}"/>
    <cellStyle name="40% - Accent1 5 2 5" xfId="6088" xr:uid="{00000000-0005-0000-0000-00006D270000}"/>
    <cellStyle name="40% - Accent1 5 2 5 2" xfId="17376" xr:uid="{00000000-0005-0000-0000-00006E270000}"/>
    <cellStyle name="40% - Accent1 5 2 6" xfId="15382" xr:uid="{00000000-0005-0000-0000-00006F270000}"/>
    <cellStyle name="40% - Accent1 5 2 7" xfId="24359" xr:uid="{00000000-0005-0000-0000-000070270000}"/>
    <cellStyle name="40% - Accent1 5 2 8" xfId="24823" xr:uid="{00000000-0005-0000-0000-000071270000}"/>
    <cellStyle name="40% - Accent1 5 2 9" xfId="25190" xr:uid="{00000000-0005-0000-0000-000072270000}"/>
    <cellStyle name="40% - Accent1 5 3" xfId="11073" xr:uid="{00000000-0005-0000-0000-000073270000}"/>
    <cellStyle name="40% - Accent1 5 3 2" xfId="22361" xr:uid="{00000000-0005-0000-0000-000074270000}"/>
    <cellStyle name="40% - Accent1 5 4" xfId="9079" xr:uid="{00000000-0005-0000-0000-000075270000}"/>
    <cellStyle name="40% - Accent1 5 4 2" xfId="20367" xr:uid="{00000000-0005-0000-0000-000076270000}"/>
    <cellStyle name="40% - Accent1 5 5" xfId="7085" xr:uid="{00000000-0005-0000-0000-000077270000}"/>
    <cellStyle name="40% - Accent1 5 5 2" xfId="18373" xr:uid="{00000000-0005-0000-0000-000078270000}"/>
    <cellStyle name="40% - Accent1 5 6" xfId="5091" xr:uid="{00000000-0005-0000-0000-000079270000}"/>
    <cellStyle name="40% - Accent1 5 6 2" xfId="16379" xr:uid="{00000000-0005-0000-0000-00007A270000}"/>
    <cellStyle name="40% - Accent1 5 7" xfId="14385" xr:uid="{00000000-0005-0000-0000-00007B270000}"/>
    <cellStyle name="40% - Accent1 5 8" xfId="13071" xr:uid="{00000000-0005-0000-0000-00007C270000}"/>
    <cellStyle name="40% - Accent1 5 9" xfId="23971" xr:uid="{00000000-0005-0000-0000-00007D270000}"/>
    <cellStyle name="40% - Accent1 50" xfId="1136" xr:uid="{00000000-0005-0000-0000-00007E270000}"/>
    <cellStyle name="40% - Accent1 50 2" xfId="4092" xr:uid="{00000000-0005-0000-0000-00007F270000}"/>
    <cellStyle name="40% - Accent1 50 2 2" xfId="12071" xr:uid="{00000000-0005-0000-0000-000080270000}"/>
    <cellStyle name="40% - Accent1 50 2 2 2" xfId="23359" xr:uid="{00000000-0005-0000-0000-000081270000}"/>
    <cellStyle name="40% - Accent1 50 2 3" xfId="10077" xr:uid="{00000000-0005-0000-0000-000082270000}"/>
    <cellStyle name="40% - Accent1 50 2 3 2" xfId="21365" xr:uid="{00000000-0005-0000-0000-000083270000}"/>
    <cellStyle name="40% - Accent1 50 2 4" xfId="8083" xr:uid="{00000000-0005-0000-0000-000084270000}"/>
    <cellStyle name="40% - Accent1 50 2 4 2" xfId="19371" xr:uid="{00000000-0005-0000-0000-000085270000}"/>
    <cellStyle name="40% - Accent1 50 2 5" xfId="6089" xr:uid="{00000000-0005-0000-0000-000086270000}"/>
    <cellStyle name="40% - Accent1 50 2 5 2" xfId="17377" xr:uid="{00000000-0005-0000-0000-000087270000}"/>
    <cellStyle name="40% - Accent1 50 2 6" xfId="15383" xr:uid="{00000000-0005-0000-0000-000088270000}"/>
    <cellStyle name="40% - Accent1 50 3" xfId="11074" xr:uid="{00000000-0005-0000-0000-000089270000}"/>
    <cellStyle name="40% - Accent1 50 3 2" xfId="22362" xr:uid="{00000000-0005-0000-0000-00008A270000}"/>
    <cellStyle name="40% - Accent1 50 4" xfId="9080" xr:uid="{00000000-0005-0000-0000-00008B270000}"/>
    <cellStyle name="40% - Accent1 50 4 2" xfId="20368" xr:uid="{00000000-0005-0000-0000-00008C270000}"/>
    <cellStyle name="40% - Accent1 50 5" xfId="7086" xr:uid="{00000000-0005-0000-0000-00008D270000}"/>
    <cellStyle name="40% - Accent1 50 5 2" xfId="18374" xr:uid="{00000000-0005-0000-0000-00008E270000}"/>
    <cellStyle name="40% - Accent1 50 6" xfId="5092" xr:uid="{00000000-0005-0000-0000-00008F270000}"/>
    <cellStyle name="40% - Accent1 50 6 2" xfId="16380" xr:uid="{00000000-0005-0000-0000-000090270000}"/>
    <cellStyle name="40% - Accent1 50 7" xfId="14386" xr:uid="{00000000-0005-0000-0000-000091270000}"/>
    <cellStyle name="40% - Accent1 50 8" xfId="13072" xr:uid="{00000000-0005-0000-0000-000092270000}"/>
    <cellStyle name="40% - Accent1 51" xfId="1137" xr:uid="{00000000-0005-0000-0000-000093270000}"/>
    <cellStyle name="40% - Accent1 51 2" xfId="4093" xr:uid="{00000000-0005-0000-0000-000094270000}"/>
    <cellStyle name="40% - Accent1 51 2 2" xfId="12072" xr:uid="{00000000-0005-0000-0000-000095270000}"/>
    <cellStyle name="40% - Accent1 51 2 2 2" xfId="23360" xr:uid="{00000000-0005-0000-0000-000096270000}"/>
    <cellStyle name="40% - Accent1 51 2 3" xfId="10078" xr:uid="{00000000-0005-0000-0000-000097270000}"/>
    <cellStyle name="40% - Accent1 51 2 3 2" xfId="21366" xr:uid="{00000000-0005-0000-0000-000098270000}"/>
    <cellStyle name="40% - Accent1 51 2 4" xfId="8084" xr:uid="{00000000-0005-0000-0000-000099270000}"/>
    <cellStyle name="40% - Accent1 51 2 4 2" xfId="19372" xr:uid="{00000000-0005-0000-0000-00009A270000}"/>
    <cellStyle name="40% - Accent1 51 2 5" xfId="6090" xr:uid="{00000000-0005-0000-0000-00009B270000}"/>
    <cellStyle name="40% - Accent1 51 2 5 2" xfId="17378" xr:uid="{00000000-0005-0000-0000-00009C270000}"/>
    <cellStyle name="40% - Accent1 51 2 6" xfId="15384" xr:uid="{00000000-0005-0000-0000-00009D270000}"/>
    <cellStyle name="40% - Accent1 51 3" xfId="11075" xr:uid="{00000000-0005-0000-0000-00009E270000}"/>
    <cellStyle name="40% - Accent1 51 3 2" xfId="22363" xr:uid="{00000000-0005-0000-0000-00009F270000}"/>
    <cellStyle name="40% - Accent1 51 4" xfId="9081" xr:uid="{00000000-0005-0000-0000-0000A0270000}"/>
    <cellStyle name="40% - Accent1 51 4 2" xfId="20369" xr:uid="{00000000-0005-0000-0000-0000A1270000}"/>
    <cellStyle name="40% - Accent1 51 5" xfId="7087" xr:uid="{00000000-0005-0000-0000-0000A2270000}"/>
    <cellStyle name="40% - Accent1 51 5 2" xfId="18375" xr:uid="{00000000-0005-0000-0000-0000A3270000}"/>
    <cellStyle name="40% - Accent1 51 6" xfId="5093" xr:uid="{00000000-0005-0000-0000-0000A4270000}"/>
    <cellStyle name="40% - Accent1 51 6 2" xfId="16381" xr:uid="{00000000-0005-0000-0000-0000A5270000}"/>
    <cellStyle name="40% - Accent1 51 7" xfId="14387" xr:uid="{00000000-0005-0000-0000-0000A6270000}"/>
    <cellStyle name="40% - Accent1 51 8" xfId="13073" xr:uid="{00000000-0005-0000-0000-0000A7270000}"/>
    <cellStyle name="40% - Accent1 52" xfId="1138" xr:uid="{00000000-0005-0000-0000-0000A8270000}"/>
    <cellStyle name="40% - Accent1 52 2" xfId="4094" xr:uid="{00000000-0005-0000-0000-0000A9270000}"/>
    <cellStyle name="40% - Accent1 52 2 2" xfId="12073" xr:uid="{00000000-0005-0000-0000-0000AA270000}"/>
    <cellStyle name="40% - Accent1 52 2 2 2" xfId="23361" xr:uid="{00000000-0005-0000-0000-0000AB270000}"/>
    <cellStyle name="40% - Accent1 52 2 3" xfId="10079" xr:uid="{00000000-0005-0000-0000-0000AC270000}"/>
    <cellStyle name="40% - Accent1 52 2 3 2" xfId="21367" xr:uid="{00000000-0005-0000-0000-0000AD270000}"/>
    <cellStyle name="40% - Accent1 52 2 4" xfId="8085" xr:uid="{00000000-0005-0000-0000-0000AE270000}"/>
    <cellStyle name="40% - Accent1 52 2 4 2" xfId="19373" xr:uid="{00000000-0005-0000-0000-0000AF270000}"/>
    <cellStyle name="40% - Accent1 52 2 5" xfId="6091" xr:uid="{00000000-0005-0000-0000-0000B0270000}"/>
    <cellStyle name="40% - Accent1 52 2 5 2" xfId="17379" xr:uid="{00000000-0005-0000-0000-0000B1270000}"/>
    <cellStyle name="40% - Accent1 52 2 6" xfId="15385" xr:uid="{00000000-0005-0000-0000-0000B2270000}"/>
    <cellStyle name="40% - Accent1 52 3" xfId="11076" xr:uid="{00000000-0005-0000-0000-0000B3270000}"/>
    <cellStyle name="40% - Accent1 52 3 2" xfId="22364" xr:uid="{00000000-0005-0000-0000-0000B4270000}"/>
    <cellStyle name="40% - Accent1 52 4" xfId="9082" xr:uid="{00000000-0005-0000-0000-0000B5270000}"/>
    <cellStyle name="40% - Accent1 52 4 2" xfId="20370" xr:uid="{00000000-0005-0000-0000-0000B6270000}"/>
    <cellStyle name="40% - Accent1 52 5" xfId="7088" xr:uid="{00000000-0005-0000-0000-0000B7270000}"/>
    <cellStyle name="40% - Accent1 52 5 2" xfId="18376" xr:uid="{00000000-0005-0000-0000-0000B8270000}"/>
    <cellStyle name="40% - Accent1 52 6" xfId="5094" xr:uid="{00000000-0005-0000-0000-0000B9270000}"/>
    <cellStyle name="40% - Accent1 52 6 2" xfId="16382" xr:uid="{00000000-0005-0000-0000-0000BA270000}"/>
    <cellStyle name="40% - Accent1 52 7" xfId="14388" xr:uid="{00000000-0005-0000-0000-0000BB270000}"/>
    <cellStyle name="40% - Accent1 52 8" xfId="13074" xr:uid="{00000000-0005-0000-0000-0000BC270000}"/>
    <cellStyle name="40% - Accent1 53" xfId="1139" xr:uid="{00000000-0005-0000-0000-0000BD270000}"/>
    <cellStyle name="40% - Accent1 53 2" xfId="4095" xr:uid="{00000000-0005-0000-0000-0000BE270000}"/>
    <cellStyle name="40% - Accent1 53 2 2" xfId="12074" xr:uid="{00000000-0005-0000-0000-0000BF270000}"/>
    <cellStyle name="40% - Accent1 53 2 2 2" xfId="23362" xr:uid="{00000000-0005-0000-0000-0000C0270000}"/>
    <cellStyle name="40% - Accent1 53 2 3" xfId="10080" xr:uid="{00000000-0005-0000-0000-0000C1270000}"/>
    <cellStyle name="40% - Accent1 53 2 3 2" xfId="21368" xr:uid="{00000000-0005-0000-0000-0000C2270000}"/>
    <cellStyle name="40% - Accent1 53 2 4" xfId="8086" xr:uid="{00000000-0005-0000-0000-0000C3270000}"/>
    <cellStyle name="40% - Accent1 53 2 4 2" xfId="19374" xr:uid="{00000000-0005-0000-0000-0000C4270000}"/>
    <cellStyle name="40% - Accent1 53 2 5" xfId="6092" xr:uid="{00000000-0005-0000-0000-0000C5270000}"/>
    <cellStyle name="40% - Accent1 53 2 5 2" xfId="17380" xr:uid="{00000000-0005-0000-0000-0000C6270000}"/>
    <cellStyle name="40% - Accent1 53 2 6" xfId="15386" xr:uid="{00000000-0005-0000-0000-0000C7270000}"/>
    <cellStyle name="40% - Accent1 53 3" xfId="11077" xr:uid="{00000000-0005-0000-0000-0000C8270000}"/>
    <cellStyle name="40% - Accent1 53 3 2" xfId="22365" xr:uid="{00000000-0005-0000-0000-0000C9270000}"/>
    <cellStyle name="40% - Accent1 53 4" xfId="9083" xr:uid="{00000000-0005-0000-0000-0000CA270000}"/>
    <cellStyle name="40% - Accent1 53 4 2" xfId="20371" xr:uid="{00000000-0005-0000-0000-0000CB270000}"/>
    <cellStyle name="40% - Accent1 53 5" xfId="7089" xr:uid="{00000000-0005-0000-0000-0000CC270000}"/>
    <cellStyle name="40% - Accent1 53 5 2" xfId="18377" xr:uid="{00000000-0005-0000-0000-0000CD270000}"/>
    <cellStyle name="40% - Accent1 53 6" xfId="5095" xr:uid="{00000000-0005-0000-0000-0000CE270000}"/>
    <cellStyle name="40% - Accent1 53 6 2" xfId="16383" xr:uid="{00000000-0005-0000-0000-0000CF270000}"/>
    <cellStyle name="40% - Accent1 53 7" xfId="14389" xr:uid="{00000000-0005-0000-0000-0000D0270000}"/>
    <cellStyle name="40% - Accent1 53 8" xfId="13075" xr:uid="{00000000-0005-0000-0000-0000D1270000}"/>
    <cellStyle name="40% - Accent1 54" xfId="1140" xr:uid="{00000000-0005-0000-0000-0000D2270000}"/>
    <cellStyle name="40% - Accent1 54 2" xfId="4096" xr:uid="{00000000-0005-0000-0000-0000D3270000}"/>
    <cellStyle name="40% - Accent1 54 2 2" xfId="12075" xr:uid="{00000000-0005-0000-0000-0000D4270000}"/>
    <cellStyle name="40% - Accent1 54 2 2 2" xfId="23363" xr:uid="{00000000-0005-0000-0000-0000D5270000}"/>
    <cellStyle name="40% - Accent1 54 2 3" xfId="10081" xr:uid="{00000000-0005-0000-0000-0000D6270000}"/>
    <cellStyle name="40% - Accent1 54 2 3 2" xfId="21369" xr:uid="{00000000-0005-0000-0000-0000D7270000}"/>
    <cellStyle name="40% - Accent1 54 2 4" xfId="8087" xr:uid="{00000000-0005-0000-0000-0000D8270000}"/>
    <cellStyle name="40% - Accent1 54 2 4 2" xfId="19375" xr:uid="{00000000-0005-0000-0000-0000D9270000}"/>
    <cellStyle name="40% - Accent1 54 2 5" xfId="6093" xr:uid="{00000000-0005-0000-0000-0000DA270000}"/>
    <cellStyle name="40% - Accent1 54 2 5 2" xfId="17381" xr:uid="{00000000-0005-0000-0000-0000DB270000}"/>
    <cellStyle name="40% - Accent1 54 2 6" xfId="15387" xr:uid="{00000000-0005-0000-0000-0000DC270000}"/>
    <cellStyle name="40% - Accent1 54 3" xfId="11078" xr:uid="{00000000-0005-0000-0000-0000DD270000}"/>
    <cellStyle name="40% - Accent1 54 3 2" xfId="22366" xr:uid="{00000000-0005-0000-0000-0000DE270000}"/>
    <cellStyle name="40% - Accent1 54 4" xfId="9084" xr:uid="{00000000-0005-0000-0000-0000DF270000}"/>
    <cellStyle name="40% - Accent1 54 4 2" xfId="20372" xr:uid="{00000000-0005-0000-0000-0000E0270000}"/>
    <cellStyle name="40% - Accent1 54 5" xfId="7090" xr:uid="{00000000-0005-0000-0000-0000E1270000}"/>
    <cellStyle name="40% - Accent1 54 5 2" xfId="18378" xr:uid="{00000000-0005-0000-0000-0000E2270000}"/>
    <cellStyle name="40% - Accent1 54 6" xfId="5096" xr:uid="{00000000-0005-0000-0000-0000E3270000}"/>
    <cellStyle name="40% - Accent1 54 6 2" xfId="16384" xr:uid="{00000000-0005-0000-0000-0000E4270000}"/>
    <cellStyle name="40% - Accent1 54 7" xfId="14390" xr:uid="{00000000-0005-0000-0000-0000E5270000}"/>
    <cellStyle name="40% - Accent1 54 8" xfId="13076" xr:uid="{00000000-0005-0000-0000-0000E6270000}"/>
    <cellStyle name="40% - Accent1 55" xfId="1141" xr:uid="{00000000-0005-0000-0000-0000E7270000}"/>
    <cellStyle name="40% - Accent1 55 2" xfId="4097" xr:uid="{00000000-0005-0000-0000-0000E8270000}"/>
    <cellStyle name="40% - Accent1 55 2 2" xfId="12076" xr:uid="{00000000-0005-0000-0000-0000E9270000}"/>
    <cellStyle name="40% - Accent1 55 2 2 2" xfId="23364" xr:uid="{00000000-0005-0000-0000-0000EA270000}"/>
    <cellStyle name="40% - Accent1 55 2 3" xfId="10082" xr:uid="{00000000-0005-0000-0000-0000EB270000}"/>
    <cellStyle name="40% - Accent1 55 2 3 2" xfId="21370" xr:uid="{00000000-0005-0000-0000-0000EC270000}"/>
    <cellStyle name="40% - Accent1 55 2 4" xfId="8088" xr:uid="{00000000-0005-0000-0000-0000ED270000}"/>
    <cellStyle name="40% - Accent1 55 2 4 2" xfId="19376" xr:uid="{00000000-0005-0000-0000-0000EE270000}"/>
    <cellStyle name="40% - Accent1 55 2 5" xfId="6094" xr:uid="{00000000-0005-0000-0000-0000EF270000}"/>
    <cellStyle name="40% - Accent1 55 2 5 2" xfId="17382" xr:uid="{00000000-0005-0000-0000-0000F0270000}"/>
    <cellStyle name="40% - Accent1 55 2 6" xfId="15388" xr:uid="{00000000-0005-0000-0000-0000F1270000}"/>
    <cellStyle name="40% - Accent1 55 3" xfId="11079" xr:uid="{00000000-0005-0000-0000-0000F2270000}"/>
    <cellStyle name="40% - Accent1 55 3 2" xfId="22367" xr:uid="{00000000-0005-0000-0000-0000F3270000}"/>
    <cellStyle name="40% - Accent1 55 4" xfId="9085" xr:uid="{00000000-0005-0000-0000-0000F4270000}"/>
    <cellStyle name="40% - Accent1 55 4 2" xfId="20373" xr:uid="{00000000-0005-0000-0000-0000F5270000}"/>
    <cellStyle name="40% - Accent1 55 5" xfId="7091" xr:uid="{00000000-0005-0000-0000-0000F6270000}"/>
    <cellStyle name="40% - Accent1 55 5 2" xfId="18379" xr:uid="{00000000-0005-0000-0000-0000F7270000}"/>
    <cellStyle name="40% - Accent1 55 6" xfId="5097" xr:uid="{00000000-0005-0000-0000-0000F8270000}"/>
    <cellStyle name="40% - Accent1 55 6 2" xfId="16385" xr:uid="{00000000-0005-0000-0000-0000F9270000}"/>
    <cellStyle name="40% - Accent1 55 7" xfId="14391" xr:uid="{00000000-0005-0000-0000-0000FA270000}"/>
    <cellStyle name="40% - Accent1 55 8" xfId="13077" xr:uid="{00000000-0005-0000-0000-0000FB270000}"/>
    <cellStyle name="40% - Accent1 56" xfId="1142" xr:uid="{00000000-0005-0000-0000-0000FC270000}"/>
    <cellStyle name="40% - Accent1 56 2" xfId="4098" xr:uid="{00000000-0005-0000-0000-0000FD270000}"/>
    <cellStyle name="40% - Accent1 56 2 2" xfId="12077" xr:uid="{00000000-0005-0000-0000-0000FE270000}"/>
    <cellStyle name="40% - Accent1 56 2 2 2" xfId="23365" xr:uid="{00000000-0005-0000-0000-0000FF270000}"/>
    <cellStyle name="40% - Accent1 56 2 3" xfId="10083" xr:uid="{00000000-0005-0000-0000-000000280000}"/>
    <cellStyle name="40% - Accent1 56 2 3 2" xfId="21371" xr:uid="{00000000-0005-0000-0000-000001280000}"/>
    <cellStyle name="40% - Accent1 56 2 4" xfId="8089" xr:uid="{00000000-0005-0000-0000-000002280000}"/>
    <cellStyle name="40% - Accent1 56 2 4 2" xfId="19377" xr:uid="{00000000-0005-0000-0000-000003280000}"/>
    <cellStyle name="40% - Accent1 56 2 5" xfId="6095" xr:uid="{00000000-0005-0000-0000-000004280000}"/>
    <cellStyle name="40% - Accent1 56 2 5 2" xfId="17383" xr:uid="{00000000-0005-0000-0000-000005280000}"/>
    <cellStyle name="40% - Accent1 56 2 6" xfId="15389" xr:uid="{00000000-0005-0000-0000-000006280000}"/>
    <cellStyle name="40% - Accent1 56 3" xfId="11080" xr:uid="{00000000-0005-0000-0000-000007280000}"/>
    <cellStyle name="40% - Accent1 56 3 2" xfId="22368" xr:uid="{00000000-0005-0000-0000-000008280000}"/>
    <cellStyle name="40% - Accent1 56 4" xfId="9086" xr:uid="{00000000-0005-0000-0000-000009280000}"/>
    <cellStyle name="40% - Accent1 56 4 2" xfId="20374" xr:uid="{00000000-0005-0000-0000-00000A280000}"/>
    <cellStyle name="40% - Accent1 56 5" xfId="7092" xr:uid="{00000000-0005-0000-0000-00000B280000}"/>
    <cellStyle name="40% - Accent1 56 5 2" xfId="18380" xr:uid="{00000000-0005-0000-0000-00000C280000}"/>
    <cellStyle name="40% - Accent1 56 6" xfId="5098" xr:uid="{00000000-0005-0000-0000-00000D280000}"/>
    <cellStyle name="40% - Accent1 56 6 2" xfId="16386" xr:uid="{00000000-0005-0000-0000-00000E280000}"/>
    <cellStyle name="40% - Accent1 56 7" xfId="14392" xr:uid="{00000000-0005-0000-0000-00000F280000}"/>
    <cellStyle name="40% - Accent1 56 8" xfId="13078" xr:uid="{00000000-0005-0000-0000-000010280000}"/>
    <cellStyle name="40% - Accent1 57" xfId="1143" xr:uid="{00000000-0005-0000-0000-000011280000}"/>
    <cellStyle name="40% - Accent1 57 2" xfId="4099" xr:uid="{00000000-0005-0000-0000-000012280000}"/>
    <cellStyle name="40% - Accent1 57 2 2" xfId="12078" xr:uid="{00000000-0005-0000-0000-000013280000}"/>
    <cellStyle name="40% - Accent1 57 2 2 2" xfId="23366" xr:uid="{00000000-0005-0000-0000-000014280000}"/>
    <cellStyle name="40% - Accent1 57 2 3" xfId="10084" xr:uid="{00000000-0005-0000-0000-000015280000}"/>
    <cellStyle name="40% - Accent1 57 2 3 2" xfId="21372" xr:uid="{00000000-0005-0000-0000-000016280000}"/>
    <cellStyle name="40% - Accent1 57 2 4" xfId="8090" xr:uid="{00000000-0005-0000-0000-000017280000}"/>
    <cellStyle name="40% - Accent1 57 2 4 2" xfId="19378" xr:uid="{00000000-0005-0000-0000-000018280000}"/>
    <cellStyle name="40% - Accent1 57 2 5" xfId="6096" xr:uid="{00000000-0005-0000-0000-000019280000}"/>
    <cellStyle name="40% - Accent1 57 2 5 2" xfId="17384" xr:uid="{00000000-0005-0000-0000-00001A280000}"/>
    <cellStyle name="40% - Accent1 57 2 6" xfId="15390" xr:uid="{00000000-0005-0000-0000-00001B280000}"/>
    <cellStyle name="40% - Accent1 57 3" xfId="11081" xr:uid="{00000000-0005-0000-0000-00001C280000}"/>
    <cellStyle name="40% - Accent1 57 3 2" xfId="22369" xr:uid="{00000000-0005-0000-0000-00001D280000}"/>
    <cellStyle name="40% - Accent1 57 4" xfId="9087" xr:uid="{00000000-0005-0000-0000-00001E280000}"/>
    <cellStyle name="40% - Accent1 57 4 2" xfId="20375" xr:uid="{00000000-0005-0000-0000-00001F280000}"/>
    <cellStyle name="40% - Accent1 57 5" xfId="7093" xr:uid="{00000000-0005-0000-0000-000020280000}"/>
    <cellStyle name="40% - Accent1 57 5 2" xfId="18381" xr:uid="{00000000-0005-0000-0000-000021280000}"/>
    <cellStyle name="40% - Accent1 57 6" xfId="5099" xr:uid="{00000000-0005-0000-0000-000022280000}"/>
    <cellStyle name="40% - Accent1 57 6 2" xfId="16387" xr:uid="{00000000-0005-0000-0000-000023280000}"/>
    <cellStyle name="40% - Accent1 57 7" xfId="14393" xr:uid="{00000000-0005-0000-0000-000024280000}"/>
    <cellStyle name="40% - Accent1 57 8" xfId="13079" xr:uid="{00000000-0005-0000-0000-000025280000}"/>
    <cellStyle name="40% - Accent1 58" xfId="1144" xr:uid="{00000000-0005-0000-0000-000026280000}"/>
    <cellStyle name="40% - Accent1 58 2" xfId="4100" xr:uid="{00000000-0005-0000-0000-000027280000}"/>
    <cellStyle name="40% - Accent1 58 2 2" xfId="12079" xr:uid="{00000000-0005-0000-0000-000028280000}"/>
    <cellStyle name="40% - Accent1 58 2 2 2" xfId="23367" xr:uid="{00000000-0005-0000-0000-000029280000}"/>
    <cellStyle name="40% - Accent1 58 2 3" xfId="10085" xr:uid="{00000000-0005-0000-0000-00002A280000}"/>
    <cellStyle name="40% - Accent1 58 2 3 2" xfId="21373" xr:uid="{00000000-0005-0000-0000-00002B280000}"/>
    <cellStyle name="40% - Accent1 58 2 4" xfId="8091" xr:uid="{00000000-0005-0000-0000-00002C280000}"/>
    <cellStyle name="40% - Accent1 58 2 4 2" xfId="19379" xr:uid="{00000000-0005-0000-0000-00002D280000}"/>
    <cellStyle name="40% - Accent1 58 2 5" xfId="6097" xr:uid="{00000000-0005-0000-0000-00002E280000}"/>
    <cellStyle name="40% - Accent1 58 2 5 2" xfId="17385" xr:uid="{00000000-0005-0000-0000-00002F280000}"/>
    <cellStyle name="40% - Accent1 58 2 6" xfId="15391" xr:uid="{00000000-0005-0000-0000-000030280000}"/>
    <cellStyle name="40% - Accent1 58 3" xfId="11082" xr:uid="{00000000-0005-0000-0000-000031280000}"/>
    <cellStyle name="40% - Accent1 58 3 2" xfId="22370" xr:uid="{00000000-0005-0000-0000-000032280000}"/>
    <cellStyle name="40% - Accent1 58 4" xfId="9088" xr:uid="{00000000-0005-0000-0000-000033280000}"/>
    <cellStyle name="40% - Accent1 58 4 2" xfId="20376" xr:uid="{00000000-0005-0000-0000-000034280000}"/>
    <cellStyle name="40% - Accent1 58 5" xfId="7094" xr:uid="{00000000-0005-0000-0000-000035280000}"/>
    <cellStyle name="40% - Accent1 58 5 2" xfId="18382" xr:uid="{00000000-0005-0000-0000-000036280000}"/>
    <cellStyle name="40% - Accent1 58 6" xfId="5100" xr:uid="{00000000-0005-0000-0000-000037280000}"/>
    <cellStyle name="40% - Accent1 58 6 2" xfId="16388" xr:uid="{00000000-0005-0000-0000-000038280000}"/>
    <cellStyle name="40% - Accent1 58 7" xfId="14394" xr:uid="{00000000-0005-0000-0000-000039280000}"/>
    <cellStyle name="40% - Accent1 58 8" xfId="13080" xr:uid="{00000000-0005-0000-0000-00003A280000}"/>
    <cellStyle name="40% - Accent1 59" xfId="1145" xr:uid="{00000000-0005-0000-0000-00003B280000}"/>
    <cellStyle name="40% - Accent1 59 2" xfId="4101" xr:uid="{00000000-0005-0000-0000-00003C280000}"/>
    <cellStyle name="40% - Accent1 59 2 2" xfId="12080" xr:uid="{00000000-0005-0000-0000-00003D280000}"/>
    <cellStyle name="40% - Accent1 59 2 2 2" xfId="23368" xr:uid="{00000000-0005-0000-0000-00003E280000}"/>
    <cellStyle name="40% - Accent1 59 2 3" xfId="10086" xr:uid="{00000000-0005-0000-0000-00003F280000}"/>
    <cellStyle name="40% - Accent1 59 2 3 2" xfId="21374" xr:uid="{00000000-0005-0000-0000-000040280000}"/>
    <cellStyle name="40% - Accent1 59 2 4" xfId="8092" xr:uid="{00000000-0005-0000-0000-000041280000}"/>
    <cellStyle name="40% - Accent1 59 2 4 2" xfId="19380" xr:uid="{00000000-0005-0000-0000-000042280000}"/>
    <cellStyle name="40% - Accent1 59 2 5" xfId="6098" xr:uid="{00000000-0005-0000-0000-000043280000}"/>
    <cellStyle name="40% - Accent1 59 2 5 2" xfId="17386" xr:uid="{00000000-0005-0000-0000-000044280000}"/>
    <cellStyle name="40% - Accent1 59 2 6" xfId="15392" xr:uid="{00000000-0005-0000-0000-000045280000}"/>
    <cellStyle name="40% - Accent1 59 3" xfId="11083" xr:uid="{00000000-0005-0000-0000-000046280000}"/>
    <cellStyle name="40% - Accent1 59 3 2" xfId="22371" xr:uid="{00000000-0005-0000-0000-000047280000}"/>
    <cellStyle name="40% - Accent1 59 4" xfId="9089" xr:uid="{00000000-0005-0000-0000-000048280000}"/>
    <cellStyle name="40% - Accent1 59 4 2" xfId="20377" xr:uid="{00000000-0005-0000-0000-000049280000}"/>
    <cellStyle name="40% - Accent1 59 5" xfId="7095" xr:uid="{00000000-0005-0000-0000-00004A280000}"/>
    <cellStyle name="40% - Accent1 59 5 2" xfId="18383" xr:uid="{00000000-0005-0000-0000-00004B280000}"/>
    <cellStyle name="40% - Accent1 59 6" xfId="5101" xr:uid="{00000000-0005-0000-0000-00004C280000}"/>
    <cellStyle name="40% - Accent1 59 6 2" xfId="16389" xr:uid="{00000000-0005-0000-0000-00004D280000}"/>
    <cellStyle name="40% - Accent1 59 7" xfId="14395" xr:uid="{00000000-0005-0000-0000-00004E280000}"/>
    <cellStyle name="40% - Accent1 59 8" xfId="13081" xr:uid="{00000000-0005-0000-0000-00004F280000}"/>
    <cellStyle name="40% - Accent1 6" xfId="1146" xr:uid="{00000000-0005-0000-0000-000050280000}"/>
    <cellStyle name="40% - Accent1 6 10" xfId="24599" xr:uid="{00000000-0005-0000-0000-000051280000}"/>
    <cellStyle name="40% - Accent1 6 11" xfId="24989" xr:uid="{00000000-0005-0000-0000-000052280000}"/>
    <cellStyle name="40% - Accent1 6 2" xfId="4102" xr:uid="{00000000-0005-0000-0000-000053280000}"/>
    <cellStyle name="40% - Accent1 6 2 2" xfId="12081" xr:uid="{00000000-0005-0000-0000-000054280000}"/>
    <cellStyle name="40% - Accent1 6 2 2 2" xfId="23369" xr:uid="{00000000-0005-0000-0000-000055280000}"/>
    <cellStyle name="40% - Accent1 6 2 3" xfId="10087" xr:uid="{00000000-0005-0000-0000-000056280000}"/>
    <cellStyle name="40% - Accent1 6 2 3 2" xfId="21375" xr:uid="{00000000-0005-0000-0000-000057280000}"/>
    <cellStyle name="40% - Accent1 6 2 4" xfId="8093" xr:uid="{00000000-0005-0000-0000-000058280000}"/>
    <cellStyle name="40% - Accent1 6 2 4 2" xfId="19381" xr:uid="{00000000-0005-0000-0000-000059280000}"/>
    <cellStyle name="40% - Accent1 6 2 5" xfId="6099" xr:uid="{00000000-0005-0000-0000-00005A280000}"/>
    <cellStyle name="40% - Accent1 6 2 5 2" xfId="17387" xr:uid="{00000000-0005-0000-0000-00005B280000}"/>
    <cellStyle name="40% - Accent1 6 2 6" xfId="15393" xr:uid="{00000000-0005-0000-0000-00005C280000}"/>
    <cellStyle name="40% - Accent1 6 2 7" xfId="24360" xr:uid="{00000000-0005-0000-0000-00005D280000}"/>
    <cellStyle name="40% - Accent1 6 2 8" xfId="24824" xr:uid="{00000000-0005-0000-0000-00005E280000}"/>
    <cellStyle name="40% - Accent1 6 2 9" xfId="25191" xr:uid="{00000000-0005-0000-0000-00005F280000}"/>
    <cellStyle name="40% - Accent1 6 3" xfId="11084" xr:uid="{00000000-0005-0000-0000-000060280000}"/>
    <cellStyle name="40% - Accent1 6 3 2" xfId="22372" xr:uid="{00000000-0005-0000-0000-000061280000}"/>
    <cellStyle name="40% - Accent1 6 4" xfId="9090" xr:uid="{00000000-0005-0000-0000-000062280000}"/>
    <cellStyle name="40% - Accent1 6 4 2" xfId="20378" xr:uid="{00000000-0005-0000-0000-000063280000}"/>
    <cellStyle name="40% - Accent1 6 5" xfId="7096" xr:uid="{00000000-0005-0000-0000-000064280000}"/>
    <cellStyle name="40% - Accent1 6 5 2" xfId="18384" xr:uid="{00000000-0005-0000-0000-000065280000}"/>
    <cellStyle name="40% - Accent1 6 6" xfId="5102" xr:uid="{00000000-0005-0000-0000-000066280000}"/>
    <cellStyle name="40% - Accent1 6 6 2" xfId="16390" xr:uid="{00000000-0005-0000-0000-000067280000}"/>
    <cellStyle name="40% - Accent1 6 7" xfId="14396" xr:uid="{00000000-0005-0000-0000-000068280000}"/>
    <cellStyle name="40% - Accent1 6 8" xfId="13082" xr:uid="{00000000-0005-0000-0000-000069280000}"/>
    <cellStyle name="40% - Accent1 6 9" xfId="23972" xr:uid="{00000000-0005-0000-0000-00006A280000}"/>
    <cellStyle name="40% - Accent1 60" xfId="1147" xr:uid="{00000000-0005-0000-0000-00006B280000}"/>
    <cellStyle name="40% - Accent1 60 2" xfId="4103" xr:uid="{00000000-0005-0000-0000-00006C280000}"/>
    <cellStyle name="40% - Accent1 60 2 2" xfId="12082" xr:uid="{00000000-0005-0000-0000-00006D280000}"/>
    <cellStyle name="40% - Accent1 60 2 2 2" xfId="23370" xr:uid="{00000000-0005-0000-0000-00006E280000}"/>
    <cellStyle name="40% - Accent1 60 2 3" xfId="10088" xr:uid="{00000000-0005-0000-0000-00006F280000}"/>
    <cellStyle name="40% - Accent1 60 2 3 2" xfId="21376" xr:uid="{00000000-0005-0000-0000-000070280000}"/>
    <cellStyle name="40% - Accent1 60 2 4" xfId="8094" xr:uid="{00000000-0005-0000-0000-000071280000}"/>
    <cellStyle name="40% - Accent1 60 2 4 2" xfId="19382" xr:uid="{00000000-0005-0000-0000-000072280000}"/>
    <cellStyle name="40% - Accent1 60 2 5" xfId="6100" xr:uid="{00000000-0005-0000-0000-000073280000}"/>
    <cellStyle name="40% - Accent1 60 2 5 2" xfId="17388" xr:uid="{00000000-0005-0000-0000-000074280000}"/>
    <cellStyle name="40% - Accent1 60 2 6" xfId="15394" xr:uid="{00000000-0005-0000-0000-000075280000}"/>
    <cellStyle name="40% - Accent1 60 3" xfId="11085" xr:uid="{00000000-0005-0000-0000-000076280000}"/>
    <cellStyle name="40% - Accent1 60 3 2" xfId="22373" xr:uid="{00000000-0005-0000-0000-000077280000}"/>
    <cellStyle name="40% - Accent1 60 4" xfId="9091" xr:uid="{00000000-0005-0000-0000-000078280000}"/>
    <cellStyle name="40% - Accent1 60 4 2" xfId="20379" xr:uid="{00000000-0005-0000-0000-000079280000}"/>
    <cellStyle name="40% - Accent1 60 5" xfId="7097" xr:uid="{00000000-0005-0000-0000-00007A280000}"/>
    <cellStyle name="40% - Accent1 60 5 2" xfId="18385" xr:uid="{00000000-0005-0000-0000-00007B280000}"/>
    <cellStyle name="40% - Accent1 60 6" xfId="5103" xr:uid="{00000000-0005-0000-0000-00007C280000}"/>
    <cellStyle name="40% - Accent1 60 6 2" xfId="16391" xr:uid="{00000000-0005-0000-0000-00007D280000}"/>
    <cellStyle name="40% - Accent1 60 7" xfId="14397" xr:uid="{00000000-0005-0000-0000-00007E280000}"/>
    <cellStyle name="40% - Accent1 60 8" xfId="13083" xr:uid="{00000000-0005-0000-0000-00007F280000}"/>
    <cellStyle name="40% - Accent1 61" xfId="1148" xr:uid="{00000000-0005-0000-0000-000080280000}"/>
    <cellStyle name="40% - Accent1 61 2" xfId="4104" xr:uid="{00000000-0005-0000-0000-000081280000}"/>
    <cellStyle name="40% - Accent1 61 2 2" xfId="12083" xr:uid="{00000000-0005-0000-0000-000082280000}"/>
    <cellStyle name="40% - Accent1 61 2 2 2" xfId="23371" xr:uid="{00000000-0005-0000-0000-000083280000}"/>
    <cellStyle name="40% - Accent1 61 2 3" xfId="10089" xr:uid="{00000000-0005-0000-0000-000084280000}"/>
    <cellStyle name="40% - Accent1 61 2 3 2" xfId="21377" xr:uid="{00000000-0005-0000-0000-000085280000}"/>
    <cellStyle name="40% - Accent1 61 2 4" xfId="8095" xr:uid="{00000000-0005-0000-0000-000086280000}"/>
    <cellStyle name="40% - Accent1 61 2 4 2" xfId="19383" xr:uid="{00000000-0005-0000-0000-000087280000}"/>
    <cellStyle name="40% - Accent1 61 2 5" xfId="6101" xr:uid="{00000000-0005-0000-0000-000088280000}"/>
    <cellStyle name="40% - Accent1 61 2 5 2" xfId="17389" xr:uid="{00000000-0005-0000-0000-000089280000}"/>
    <cellStyle name="40% - Accent1 61 2 6" xfId="15395" xr:uid="{00000000-0005-0000-0000-00008A280000}"/>
    <cellStyle name="40% - Accent1 61 3" xfId="11086" xr:uid="{00000000-0005-0000-0000-00008B280000}"/>
    <cellStyle name="40% - Accent1 61 3 2" xfId="22374" xr:uid="{00000000-0005-0000-0000-00008C280000}"/>
    <cellStyle name="40% - Accent1 61 4" xfId="9092" xr:uid="{00000000-0005-0000-0000-00008D280000}"/>
    <cellStyle name="40% - Accent1 61 4 2" xfId="20380" xr:uid="{00000000-0005-0000-0000-00008E280000}"/>
    <cellStyle name="40% - Accent1 61 5" xfId="7098" xr:uid="{00000000-0005-0000-0000-00008F280000}"/>
    <cellStyle name="40% - Accent1 61 5 2" xfId="18386" xr:uid="{00000000-0005-0000-0000-000090280000}"/>
    <cellStyle name="40% - Accent1 61 6" xfId="5104" xr:uid="{00000000-0005-0000-0000-000091280000}"/>
    <cellStyle name="40% - Accent1 61 6 2" xfId="16392" xr:uid="{00000000-0005-0000-0000-000092280000}"/>
    <cellStyle name="40% - Accent1 61 7" xfId="14398" xr:uid="{00000000-0005-0000-0000-000093280000}"/>
    <cellStyle name="40% - Accent1 61 8" xfId="13084" xr:uid="{00000000-0005-0000-0000-000094280000}"/>
    <cellStyle name="40% - Accent1 62" xfId="1149" xr:uid="{00000000-0005-0000-0000-000095280000}"/>
    <cellStyle name="40% - Accent1 62 2" xfId="4105" xr:uid="{00000000-0005-0000-0000-000096280000}"/>
    <cellStyle name="40% - Accent1 62 2 2" xfId="12084" xr:uid="{00000000-0005-0000-0000-000097280000}"/>
    <cellStyle name="40% - Accent1 62 2 2 2" xfId="23372" xr:uid="{00000000-0005-0000-0000-000098280000}"/>
    <cellStyle name="40% - Accent1 62 2 3" xfId="10090" xr:uid="{00000000-0005-0000-0000-000099280000}"/>
    <cellStyle name="40% - Accent1 62 2 3 2" xfId="21378" xr:uid="{00000000-0005-0000-0000-00009A280000}"/>
    <cellStyle name="40% - Accent1 62 2 4" xfId="8096" xr:uid="{00000000-0005-0000-0000-00009B280000}"/>
    <cellStyle name="40% - Accent1 62 2 4 2" xfId="19384" xr:uid="{00000000-0005-0000-0000-00009C280000}"/>
    <cellStyle name="40% - Accent1 62 2 5" xfId="6102" xr:uid="{00000000-0005-0000-0000-00009D280000}"/>
    <cellStyle name="40% - Accent1 62 2 5 2" xfId="17390" xr:uid="{00000000-0005-0000-0000-00009E280000}"/>
    <cellStyle name="40% - Accent1 62 2 6" xfId="15396" xr:uid="{00000000-0005-0000-0000-00009F280000}"/>
    <cellStyle name="40% - Accent1 62 3" xfId="11087" xr:uid="{00000000-0005-0000-0000-0000A0280000}"/>
    <cellStyle name="40% - Accent1 62 3 2" xfId="22375" xr:uid="{00000000-0005-0000-0000-0000A1280000}"/>
    <cellStyle name="40% - Accent1 62 4" xfId="9093" xr:uid="{00000000-0005-0000-0000-0000A2280000}"/>
    <cellStyle name="40% - Accent1 62 4 2" xfId="20381" xr:uid="{00000000-0005-0000-0000-0000A3280000}"/>
    <cellStyle name="40% - Accent1 62 5" xfId="7099" xr:uid="{00000000-0005-0000-0000-0000A4280000}"/>
    <cellStyle name="40% - Accent1 62 5 2" xfId="18387" xr:uid="{00000000-0005-0000-0000-0000A5280000}"/>
    <cellStyle name="40% - Accent1 62 6" xfId="5105" xr:uid="{00000000-0005-0000-0000-0000A6280000}"/>
    <cellStyle name="40% - Accent1 62 6 2" xfId="16393" xr:uid="{00000000-0005-0000-0000-0000A7280000}"/>
    <cellStyle name="40% - Accent1 62 7" xfId="14399" xr:uid="{00000000-0005-0000-0000-0000A8280000}"/>
    <cellStyle name="40% - Accent1 62 8" xfId="13085" xr:uid="{00000000-0005-0000-0000-0000A9280000}"/>
    <cellStyle name="40% - Accent1 63" xfId="1150" xr:uid="{00000000-0005-0000-0000-0000AA280000}"/>
    <cellStyle name="40% - Accent1 63 2" xfId="4106" xr:uid="{00000000-0005-0000-0000-0000AB280000}"/>
    <cellStyle name="40% - Accent1 63 2 2" xfId="12085" xr:uid="{00000000-0005-0000-0000-0000AC280000}"/>
    <cellStyle name="40% - Accent1 63 2 2 2" xfId="23373" xr:uid="{00000000-0005-0000-0000-0000AD280000}"/>
    <cellStyle name="40% - Accent1 63 2 3" xfId="10091" xr:uid="{00000000-0005-0000-0000-0000AE280000}"/>
    <cellStyle name="40% - Accent1 63 2 3 2" xfId="21379" xr:uid="{00000000-0005-0000-0000-0000AF280000}"/>
    <cellStyle name="40% - Accent1 63 2 4" xfId="8097" xr:uid="{00000000-0005-0000-0000-0000B0280000}"/>
    <cellStyle name="40% - Accent1 63 2 4 2" xfId="19385" xr:uid="{00000000-0005-0000-0000-0000B1280000}"/>
    <cellStyle name="40% - Accent1 63 2 5" xfId="6103" xr:uid="{00000000-0005-0000-0000-0000B2280000}"/>
    <cellStyle name="40% - Accent1 63 2 5 2" xfId="17391" xr:uid="{00000000-0005-0000-0000-0000B3280000}"/>
    <cellStyle name="40% - Accent1 63 2 6" xfId="15397" xr:uid="{00000000-0005-0000-0000-0000B4280000}"/>
    <cellStyle name="40% - Accent1 63 3" xfId="11088" xr:uid="{00000000-0005-0000-0000-0000B5280000}"/>
    <cellStyle name="40% - Accent1 63 3 2" xfId="22376" xr:uid="{00000000-0005-0000-0000-0000B6280000}"/>
    <cellStyle name="40% - Accent1 63 4" xfId="9094" xr:uid="{00000000-0005-0000-0000-0000B7280000}"/>
    <cellStyle name="40% - Accent1 63 4 2" xfId="20382" xr:uid="{00000000-0005-0000-0000-0000B8280000}"/>
    <cellStyle name="40% - Accent1 63 5" xfId="7100" xr:uid="{00000000-0005-0000-0000-0000B9280000}"/>
    <cellStyle name="40% - Accent1 63 5 2" xfId="18388" xr:uid="{00000000-0005-0000-0000-0000BA280000}"/>
    <cellStyle name="40% - Accent1 63 6" xfId="5106" xr:uid="{00000000-0005-0000-0000-0000BB280000}"/>
    <cellStyle name="40% - Accent1 63 6 2" xfId="16394" xr:uid="{00000000-0005-0000-0000-0000BC280000}"/>
    <cellStyle name="40% - Accent1 63 7" xfId="14400" xr:uid="{00000000-0005-0000-0000-0000BD280000}"/>
    <cellStyle name="40% - Accent1 63 8" xfId="13086" xr:uid="{00000000-0005-0000-0000-0000BE280000}"/>
    <cellStyle name="40% - Accent1 64" xfId="1151" xr:uid="{00000000-0005-0000-0000-0000BF280000}"/>
    <cellStyle name="40% - Accent1 64 2" xfId="4107" xr:uid="{00000000-0005-0000-0000-0000C0280000}"/>
    <cellStyle name="40% - Accent1 64 2 2" xfId="12086" xr:uid="{00000000-0005-0000-0000-0000C1280000}"/>
    <cellStyle name="40% - Accent1 64 2 2 2" xfId="23374" xr:uid="{00000000-0005-0000-0000-0000C2280000}"/>
    <cellStyle name="40% - Accent1 64 2 3" xfId="10092" xr:uid="{00000000-0005-0000-0000-0000C3280000}"/>
    <cellStyle name="40% - Accent1 64 2 3 2" xfId="21380" xr:uid="{00000000-0005-0000-0000-0000C4280000}"/>
    <cellStyle name="40% - Accent1 64 2 4" xfId="8098" xr:uid="{00000000-0005-0000-0000-0000C5280000}"/>
    <cellStyle name="40% - Accent1 64 2 4 2" xfId="19386" xr:uid="{00000000-0005-0000-0000-0000C6280000}"/>
    <cellStyle name="40% - Accent1 64 2 5" xfId="6104" xr:uid="{00000000-0005-0000-0000-0000C7280000}"/>
    <cellStyle name="40% - Accent1 64 2 5 2" xfId="17392" xr:uid="{00000000-0005-0000-0000-0000C8280000}"/>
    <cellStyle name="40% - Accent1 64 2 6" xfId="15398" xr:uid="{00000000-0005-0000-0000-0000C9280000}"/>
    <cellStyle name="40% - Accent1 64 3" xfId="11089" xr:uid="{00000000-0005-0000-0000-0000CA280000}"/>
    <cellStyle name="40% - Accent1 64 3 2" xfId="22377" xr:uid="{00000000-0005-0000-0000-0000CB280000}"/>
    <cellStyle name="40% - Accent1 64 4" xfId="9095" xr:uid="{00000000-0005-0000-0000-0000CC280000}"/>
    <cellStyle name="40% - Accent1 64 4 2" xfId="20383" xr:uid="{00000000-0005-0000-0000-0000CD280000}"/>
    <cellStyle name="40% - Accent1 64 5" xfId="7101" xr:uid="{00000000-0005-0000-0000-0000CE280000}"/>
    <cellStyle name="40% - Accent1 64 5 2" xfId="18389" xr:uid="{00000000-0005-0000-0000-0000CF280000}"/>
    <cellStyle name="40% - Accent1 64 6" xfId="5107" xr:uid="{00000000-0005-0000-0000-0000D0280000}"/>
    <cellStyle name="40% - Accent1 64 6 2" xfId="16395" xr:uid="{00000000-0005-0000-0000-0000D1280000}"/>
    <cellStyle name="40% - Accent1 64 7" xfId="14401" xr:uid="{00000000-0005-0000-0000-0000D2280000}"/>
    <cellStyle name="40% - Accent1 64 8" xfId="13087" xr:uid="{00000000-0005-0000-0000-0000D3280000}"/>
    <cellStyle name="40% - Accent1 65" xfId="1152" xr:uid="{00000000-0005-0000-0000-0000D4280000}"/>
    <cellStyle name="40% - Accent1 65 2" xfId="4108" xr:uid="{00000000-0005-0000-0000-0000D5280000}"/>
    <cellStyle name="40% - Accent1 65 2 2" xfId="12087" xr:uid="{00000000-0005-0000-0000-0000D6280000}"/>
    <cellStyle name="40% - Accent1 65 2 2 2" xfId="23375" xr:uid="{00000000-0005-0000-0000-0000D7280000}"/>
    <cellStyle name="40% - Accent1 65 2 3" xfId="10093" xr:uid="{00000000-0005-0000-0000-0000D8280000}"/>
    <cellStyle name="40% - Accent1 65 2 3 2" xfId="21381" xr:uid="{00000000-0005-0000-0000-0000D9280000}"/>
    <cellStyle name="40% - Accent1 65 2 4" xfId="8099" xr:uid="{00000000-0005-0000-0000-0000DA280000}"/>
    <cellStyle name="40% - Accent1 65 2 4 2" xfId="19387" xr:uid="{00000000-0005-0000-0000-0000DB280000}"/>
    <cellStyle name="40% - Accent1 65 2 5" xfId="6105" xr:uid="{00000000-0005-0000-0000-0000DC280000}"/>
    <cellStyle name="40% - Accent1 65 2 5 2" xfId="17393" xr:uid="{00000000-0005-0000-0000-0000DD280000}"/>
    <cellStyle name="40% - Accent1 65 2 6" xfId="15399" xr:uid="{00000000-0005-0000-0000-0000DE280000}"/>
    <cellStyle name="40% - Accent1 65 3" xfId="11090" xr:uid="{00000000-0005-0000-0000-0000DF280000}"/>
    <cellStyle name="40% - Accent1 65 3 2" xfId="22378" xr:uid="{00000000-0005-0000-0000-0000E0280000}"/>
    <cellStyle name="40% - Accent1 65 4" xfId="9096" xr:uid="{00000000-0005-0000-0000-0000E1280000}"/>
    <cellStyle name="40% - Accent1 65 4 2" xfId="20384" xr:uid="{00000000-0005-0000-0000-0000E2280000}"/>
    <cellStyle name="40% - Accent1 65 5" xfId="7102" xr:uid="{00000000-0005-0000-0000-0000E3280000}"/>
    <cellStyle name="40% - Accent1 65 5 2" xfId="18390" xr:uid="{00000000-0005-0000-0000-0000E4280000}"/>
    <cellStyle name="40% - Accent1 65 6" xfId="5108" xr:uid="{00000000-0005-0000-0000-0000E5280000}"/>
    <cellStyle name="40% - Accent1 65 6 2" xfId="16396" xr:uid="{00000000-0005-0000-0000-0000E6280000}"/>
    <cellStyle name="40% - Accent1 65 7" xfId="14402" xr:uid="{00000000-0005-0000-0000-0000E7280000}"/>
    <cellStyle name="40% - Accent1 65 8" xfId="13088" xr:uid="{00000000-0005-0000-0000-0000E8280000}"/>
    <cellStyle name="40% - Accent1 66" xfId="1153" xr:uid="{00000000-0005-0000-0000-0000E9280000}"/>
    <cellStyle name="40% - Accent1 66 2" xfId="4109" xr:uid="{00000000-0005-0000-0000-0000EA280000}"/>
    <cellStyle name="40% - Accent1 66 2 2" xfId="12088" xr:uid="{00000000-0005-0000-0000-0000EB280000}"/>
    <cellStyle name="40% - Accent1 66 2 2 2" xfId="23376" xr:uid="{00000000-0005-0000-0000-0000EC280000}"/>
    <cellStyle name="40% - Accent1 66 2 3" xfId="10094" xr:uid="{00000000-0005-0000-0000-0000ED280000}"/>
    <cellStyle name="40% - Accent1 66 2 3 2" xfId="21382" xr:uid="{00000000-0005-0000-0000-0000EE280000}"/>
    <cellStyle name="40% - Accent1 66 2 4" xfId="8100" xr:uid="{00000000-0005-0000-0000-0000EF280000}"/>
    <cellStyle name="40% - Accent1 66 2 4 2" xfId="19388" xr:uid="{00000000-0005-0000-0000-0000F0280000}"/>
    <cellStyle name="40% - Accent1 66 2 5" xfId="6106" xr:uid="{00000000-0005-0000-0000-0000F1280000}"/>
    <cellStyle name="40% - Accent1 66 2 5 2" xfId="17394" xr:uid="{00000000-0005-0000-0000-0000F2280000}"/>
    <cellStyle name="40% - Accent1 66 2 6" xfId="15400" xr:uid="{00000000-0005-0000-0000-0000F3280000}"/>
    <cellStyle name="40% - Accent1 66 3" xfId="11091" xr:uid="{00000000-0005-0000-0000-0000F4280000}"/>
    <cellStyle name="40% - Accent1 66 3 2" xfId="22379" xr:uid="{00000000-0005-0000-0000-0000F5280000}"/>
    <cellStyle name="40% - Accent1 66 4" xfId="9097" xr:uid="{00000000-0005-0000-0000-0000F6280000}"/>
    <cellStyle name="40% - Accent1 66 4 2" xfId="20385" xr:uid="{00000000-0005-0000-0000-0000F7280000}"/>
    <cellStyle name="40% - Accent1 66 5" xfId="7103" xr:uid="{00000000-0005-0000-0000-0000F8280000}"/>
    <cellStyle name="40% - Accent1 66 5 2" xfId="18391" xr:uid="{00000000-0005-0000-0000-0000F9280000}"/>
    <cellStyle name="40% - Accent1 66 6" xfId="5109" xr:uid="{00000000-0005-0000-0000-0000FA280000}"/>
    <cellStyle name="40% - Accent1 66 6 2" xfId="16397" xr:uid="{00000000-0005-0000-0000-0000FB280000}"/>
    <cellStyle name="40% - Accent1 66 7" xfId="14403" xr:uid="{00000000-0005-0000-0000-0000FC280000}"/>
    <cellStyle name="40% - Accent1 66 8" xfId="13089" xr:uid="{00000000-0005-0000-0000-0000FD280000}"/>
    <cellStyle name="40% - Accent1 67" xfId="1154" xr:uid="{00000000-0005-0000-0000-0000FE280000}"/>
    <cellStyle name="40% - Accent1 67 2" xfId="4110" xr:uid="{00000000-0005-0000-0000-0000FF280000}"/>
    <cellStyle name="40% - Accent1 67 2 2" xfId="12089" xr:uid="{00000000-0005-0000-0000-000000290000}"/>
    <cellStyle name="40% - Accent1 67 2 2 2" xfId="23377" xr:uid="{00000000-0005-0000-0000-000001290000}"/>
    <cellStyle name="40% - Accent1 67 2 3" xfId="10095" xr:uid="{00000000-0005-0000-0000-000002290000}"/>
    <cellStyle name="40% - Accent1 67 2 3 2" xfId="21383" xr:uid="{00000000-0005-0000-0000-000003290000}"/>
    <cellStyle name="40% - Accent1 67 2 4" xfId="8101" xr:uid="{00000000-0005-0000-0000-000004290000}"/>
    <cellStyle name="40% - Accent1 67 2 4 2" xfId="19389" xr:uid="{00000000-0005-0000-0000-000005290000}"/>
    <cellStyle name="40% - Accent1 67 2 5" xfId="6107" xr:uid="{00000000-0005-0000-0000-000006290000}"/>
    <cellStyle name="40% - Accent1 67 2 5 2" xfId="17395" xr:uid="{00000000-0005-0000-0000-000007290000}"/>
    <cellStyle name="40% - Accent1 67 2 6" xfId="15401" xr:uid="{00000000-0005-0000-0000-000008290000}"/>
    <cellStyle name="40% - Accent1 67 3" xfId="11092" xr:uid="{00000000-0005-0000-0000-000009290000}"/>
    <cellStyle name="40% - Accent1 67 3 2" xfId="22380" xr:uid="{00000000-0005-0000-0000-00000A290000}"/>
    <cellStyle name="40% - Accent1 67 4" xfId="9098" xr:uid="{00000000-0005-0000-0000-00000B290000}"/>
    <cellStyle name="40% - Accent1 67 4 2" xfId="20386" xr:uid="{00000000-0005-0000-0000-00000C290000}"/>
    <cellStyle name="40% - Accent1 67 5" xfId="7104" xr:uid="{00000000-0005-0000-0000-00000D290000}"/>
    <cellStyle name="40% - Accent1 67 5 2" xfId="18392" xr:uid="{00000000-0005-0000-0000-00000E290000}"/>
    <cellStyle name="40% - Accent1 67 6" xfId="5110" xr:uid="{00000000-0005-0000-0000-00000F290000}"/>
    <cellStyle name="40% - Accent1 67 6 2" xfId="16398" xr:uid="{00000000-0005-0000-0000-000010290000}"/>
    <cellStyle name="40% - Accent1 67 7" xfId="14404" xr:uid="{00000000-0005-0000-0000-000011290000}"/>
    <cellStyle name="40% - Accent1 67 8" xfId="13090" xr:uid="{00000000-0005-0000-0000-000012290000}"/>
    <cellStyle name="40% - Accent1 68" xfId="1155" xr:uid="{00000000-0005-0000-0000-000013290000}"/>
    <cellStyle name="40% - Accent1 68 2" xfId="4111" xr:uid="{00000000-0005-0000-0000-000014290000}"/>
    <cellStyle name="40% - Accent1 68 2 2" xfId="12090" xr:uid="{00000000-0005-0000-0000-000015290000}"/>
    <cellStyle name="40% - Accent1 68 2 2 2" xfId="23378" xr:uid="{00000000-0005-0000-0000-000016290000}"/>
    <cellStyle name="40% - Accent1 68 2 3" xfId="10096" xr:uid="{00000000-0005-0000-0000-000017290000}"/>
    <cellStyle name="40% - Accent1 68 2 3 2" xfId="21384" xr:uid="{00000000-0005-0000-0000-000018290000}"/>
    <cellStyle name="40% - Accent1 68 2 4" xfId="8102" xr:uid="{00000000-0005-0000-0000-000019290000}"/>
    <cellStyle name="40% - Accent1 68 2 4 2" xfId="19390" xr:uid="{00000000-0005-0000-0000-00001A290000}"/>
    <cellStyle name="40% - Accent1 68 2 5" xfId="6108" xr:uid="{00000000-0005-0000-0000-00001B290000}"/>
    <cellStyle name="40% - Accent1 68 2 5 2" xfId="17396" xr:uid="{00000000-0005-0000-0000-00001C290000}"/>
    <cellStyle name="40% - Accent1 68 2 6" xfId="15402" xr:uid="{00000000-0005-0000-0000-00001D290000}"/>
    <cellStyle name="40% - Accent1 68 3" xfId="11093" xr:uid="{00000000-0005-0000-0000-00001E290000}"/>
    <cellStyle name="40% - Accent1 68 3 2" xfId="22381" xr:uid="{00000000-0005-0000-0000-00001F290000}"/>
    <cellStyle name="40% - Accent1 68 4" xfId="9099" xr:uid="{00000000-0005-0000-0000-000020290000}"/>
    <cellStyle name="40% - Accent1 68 4 2" xfId="20387" xr:uid="{00000000-0005-0000-0000-000021290000}"/>
    <cellStyle name="40% - Accent1 68 5" xfId="7105" xr:uid="{00000000-0005-0000-0000-000022290000}"/>
    <cellStyle name="40% - Accent1 68 5 2" xfId="18393" xr:uid="{00000000-0005-0000-0000-000023290000}"/>
    <cellStyle name="40% - Accent1 68 6" xfId="5111" xr:uid="{00000000-0005-0000-0000-000024290000}"/>
    <cellStyle name="40% - Accent1 68 6 2" xfId="16399" xr:uid="{00000000-0005-0000-0000-000025290000}"/>
    <cellStyle name="40% - Accent1 68 7" xfId="14405" xr:uid="{00000000-0005-0000-0000-000026290000}"/>
    <cellStyle name="40% - Accent1 68 8" xfId="13091" xr:uid="{00000000-0005-0000-0000-000027290000}"/>
    <cellStyle name="40% - Accent1 69" xfId="1156" xr:uid="{00000000-0005-0000-0000-000028290000}"/>
    <cellStyle name="40% - Accent1 69 2" xfId="4112" xr:uid="{00000000-0005-0000-0000-000029290000}"/>
    <cellStyle name="40% - Accent1 69 2 2" xfId="12091" xr:uid="{00000000-0005-0000-0000-00002A290000}"/>
    <cellStyle name="40% - Accent1 69 2 2 2" xfId="23379" xr:uid="{00000000-0005-0000-0000-00002B290000}"/>
    <cellStyle name="40% - Accent1 69 2 3" xfId="10097" xr:uid="{00000000-0005-0000-0000-00002C290000}"/>
    <cellStyle name="40% - Accent1 69 2 3 2" xfId="21385" xr:uid="{00000000-0005-0000-0000-00002D290000}"/>
    <cellStyle name="40% - Accent1 69 2 4" xfId="8103" xr:uid="{00000000-0005-0000-0000-00002E290000}"/>
    <cellStyle name="40% - Accent1 69 2 4 2" xfId="19391" xr:uid="{00000000-0005-0000-0000-00002F290000}"/>
    <cellStyle name="40% - Accent1 69 2 5" xfId="6109" xr:uid="{00000000-0005-0000-0000-000030290000}"/>
    <cellStyle name="40% - Accent1 69 2 5 2" xfId="17397" xr:uid="{00000000-0005-0000-0000-000031290000}"/>
    <cellStyle name="40% - Accent1 69 2 6" xfId="15403" xr:uid="{00000000-0005-0000-0000-000032290000}"/>
    <cellStyle name="40% - Accent1 69 3" xfId="11094" xr:uid="{00000000-0005-0000-0000-000033290000}"/>
    <cellStyle name="40% - Accent1 69 3 2" xfId="22382" xr:uid="{00000000-0005-0000-0000-000034290000}"/>
    <cellStyle name="40% - Accent1 69 4" xfId="9100" xr:uid="{00000000-0005-0000-0000-000035290000}"/>
    <cellStyle name="40% - Accent1 69 4 2" xfId="20388" xr:uid="{00000000-0005-0000-0000-000036290000}"/>
    <cellStyle name="40% - Accent1 69 5" xfId="7106" xr:uid="{00000000-0005-0000-0000-000037290000}"/>
    <cellStyle name="40% - Accent1 69 5 2" xfId="18394" xr:uid="{00000000-0005-0000-0000-000038290000}"/>
    <cellStyle name="40% - Accent1 69 6" xfId="5112" xr:uid="{00000000-0005-0000-0000-000039290000}"/>
    <cellStyle name="40% - Accent1 69 6 2" xfId="16400" xr:uid="{00000000-0005-0000-0000-00003A290000}"/>
    <cellStyle name="40% - Accent1 69 7" xfId="14406" xr:uid="{00000000-0005-0000-0000-00003B290000}"/>
    <cellStyle name="40% - Accent1 69 8" xfId="13092" xr:uid="{00000000-0005-0000-0000-00003C290000}"/>
    <cellStyle name="40% - Accent1 7" xfId="1157" xr:uid="{00000000-0005-0000-0000-00003D290000}"/>
    <cellStyle name="40% - Accent1 7 10" xfId="24600" xr:uid="{00000000-0005-0000-0000-00003E290000}"/>
    <cellStyle name="40% - Accent1 7 11" xfId="24990" xr:uid="{00000000-0005-0000-0000-00003F290000}"/>
    <cellStyle name="40% - Accent1 7 2" xfId="4113" xr:uid="{00000000-0005-0000-0000-000040290000}"/>
    <cellStyle name="40% - Accent1 7 2 2" xfId="12092" xr:uid="{00000000-0005-0000-0000-000041290000}"/>
    <cellStyle name="40% - Accent1 7 2 2 2" xfId="23380" xr:uid="{00000000-0005-0000-0000-000042290000}"/>
    <cellStyle name="40% - Accent1 7 2 3" xfId="10098" xr:uid="{00000000-0005-0000-0000-000043290000}"/>
    <cellStyle name="40% - Accent1 7 2 3 2" xfId="21386" xr:uid="{00000000-0005-0000-0000-000044290000}"/>
    <cellStyle name="40% - Accent1 7 2 4" xfId="8104" xr:uid="{00000000-0005-0000-0000-000045290000}"/>
    <cellStyle name="40% - Accent1 7 2 4 2" xfId="19392" xr:uid="{00000000-0005-0000-0000-000046290000}"/>
    <cellStyle name="40% - Accent1 7 2 5" xfId="6110" xr:uid="{00000000-0005-0000-0000-000047290000}"/>
    <cellStyle name="40% - Accent1 7 2 5 2" xfId="17398" xr:uid="{00000000-0005-0000-0000-000048290000}"/>
    <cellStyle name="40% - Accent1 7 2 6" xfId="15404" xr:uid="{00000000-0005-0000-0000-000049290000}"/>
    <cellStyle name="40% - Accent1 7 2 7" xfId="24361" xr:uid="{00000000-0005-0000-0000-00004A290000}"/>
    <cellStyle name="40% - Accent1 7 2 8" xfId="24825" xr:uid="{00000000-0005-0000-0000-00004B290000}"/>
    <cellStyle name="40% - Accent1 7 2 9" xfId="25192" xr:uid="{00000000-0005-0000-0000-00004C290000}"/>
    <cellStyle name="40% - Accent1 7 3" xfId="11095" xr:uid="{00000000-0005-0000-0000-00004D290000}"/>
    <cellStyle name="40% - Accent1 7 3 2" xfId="22383" xr:uid="{00000000-0005-0000-0000-00004E290000}"/>
    <cellStyle name="40% - Accent1 7 4" xfId="9101" xr:uid="{00000000-0005-0000-0000-00004F290000}"/>
    <cellStyle name="40% - Accent1 7 4 2" xfId="20389" xr:uid="{00000000-0005-0000-0000-000050290000}"/>
    <cellStyle name="40% - Accent1 7 5" xfId="7107" xr:uid="{00000000-0005-0000-0000-000051290000}"/>
    <cellStyle name="40% - Accent1 7 5 2" xfId="18395" xr:uid="{00000000-0005-0000-0000-000052290000}"/>
    <cellStyle name="40% - Accent1 7 6" xfId="5113" xr:uid="{00000000-0005-0000-0000-000053290000}"/>
    <cellStyle name="40% - Accent1 7 6 2" xfId="16401" xr:uid="{00000000-0005-0000-0000-000054290000}"/>
    <cellStyle name="40% - Accent1 7 7" xfId="14407" xr:uid="{00000000-0005-0000-0000-000055290000}"/>
    <cellStyle name="40% - Accent1 7 8" xfId="13093" xr:uid="{00000000-0005-0000-0000-000056290000}"/>
    <cellStyle name="40% - Accent1 7 9" xfId="23973" xr:uid="{00000000-0005-0000-0000-000057290000}"/>
    <cellStyle name="40% - Accent1 70" xfId="1158" xr:uid="{00000000-0005-0000-0000-000058290000}"/>
    <cellStyle name="40% - Accent1 70 2" xfId="4114" xr:uid="{00000000-0005-0000-0000-000059290000}"/>
    <cellStyle name="40% - Accent1 70 2 2" xfId="12093" xr:uid="{00000000-0005-0000-0000-00005A290000}"/>
    <cellStyle name="40% - Accent1 70 2 2 2" xfId="23381" xr:uid="{00000000-0005-0000-0000-00005B290000}"/>
    <cellStyle name="40% - Accent1 70 2 3" xfId="10099" xr:uid="{00000000-0005-0000-0000-00005C290000}"/>
    <cellStyle name="40% - Accent1 70 2 3 2" xfId="21387" xr:uid="{00000000-0005-0000-0000-00005D290000}"/>
    <cellStyle name="40% - Accent1 70 2 4" xfId="8105" xr:uid="{00000000-0005-0000-0000-00005E290000}"/>
    <cellStyle name="40% - Accent1 70 2 4 2" xfId="19393" xr:uid="{00000000-0005-0000-0000-00005F290000}"/>
    <cellStyle name="40% - Accent1 70 2 5" xfId="6111" xr:uid="{00000000-0005-0000-0000-000060290000}"/>
    <cellStyle name="40% - Accent1 70 2 5 2" xfId="17399" xr:uid="{00000000-0005-0000-0000-000061290000}"/>
    <cellStyle name="40% - Accent1 70 2 6" xfId="15405" xr:uid="{00000000-0005-0000-0000-000062290000}"/>
    <cellStyle name="40% - Accent1 70 3" xfId="11096" xr:uid="{00000000-0005-0000-0000-000063290000}"/>
    <cellStyle name="40% - Accent1 70 3 2" xfId="22384" xr:uid="{00000000-0005-0000-0000-000064290000}"/>
    <cellStyle name="40% - Accent1 70 4" xfId="9102" xr:uid="{00000000-0005-0000-0000-000065290000}"/>
    <cellStyle name="40% - Accent1 70 4 2" xfId="20390" xr:uid="{00000000-0005-0000-0000-000066290000}"/>
    <cellStyle name="40% - Accent1 70 5" xfId="7108" xr:uid="{00000000-0005-0000-0000-000067290000}"/>
    <cellStyle name="40% - Accent1 70 5 2" xfId="18396" xr:uid="{00000000-0005-0000-0000-000068290000}"/>
    <cellStyle name="40% - Accent1 70 6" xfId="5114" xr:uid="{00000000-0005-0000-0000-000069290000}"/>
    <cellStyle name="40% - Accent1 70 6 2" xfId="16402" xr:uid="{00000000-0005-0000-0000-00006A290000}"/>
    <cellStyle name="40% - Accent1 70 7" xfId="14408" xr:uid="{00000000-0005-0000-0000-00006B290000}"/>
    <cellStyle name="40% - Accent1 70 8" xfId="13094" xr:uid="{00000000-0005-0000-0000-00006C290000}"/>
    <cellStyle name="40% - Accent1 71" xfId="1159" xr:uid="{00000000-0005-0000-0000-00006D290000}"/>
    <cellStyle name="40% - Accent1 71 2" xfId="4115" xr:uid="{00000000-0005-0000-0000-00006E290000}"/>
    <cellStyle name="40% - Accent1 71 2 2" xfId="12094" xr:uid="{00000000-0005-0000-0000-00006F290000}"/>
    <cellStyle name="40% - Accent1 71 2 2 2" xfId="23382" xr:uid="{00000000-0005-0000-0000-000070290000}"/>
    <cellStyle name="40% - Accent1 71 2 3" xfId="10100" xr:uid="{00000000-0005-0000-0000-000071290000}"/>
    <cellStyle name="40% - Accent1 71 2 3 2" xfId="21388" xr:uid="{00000000-0005-0000-0000-000072290000}"/>
    <cellStyle name="40% - Accent1 71 2 4" xfId="8106" xr:uid="{00000000-0005-0000-0000-000073290000}"/>
    <cellStyle name="40% - Accent1 71 2 4 2" xfId="19394" xr:uid="{00000000-0005-0000-0000-000074290000}"/>
    <cellStyle name="40% - Accent1 71 2 5" xfId="6112" xr:uid="{00000000-0005-0000-0000-000075290000}"/>
    <cellStyle name="40% - Accent1 71 2 5 2" xfId="17400" xr:uid="{00000000-0005-0000-0000-000076290000}"/>
    <cellStyle name="40% - Accent1 71 2 6" xfId="15406" xr:uid="{00000000-0005-0000-0000-000077290000}"/>
    <cellStyle name="40% - Accent1 71 3" xfId="11097" xr:uid="{00000000-0005-0000-0000-000078290000}"/>
    <cellStyle name="40% - Accent1 71 3 2" xfId="22385" xr:uid="{00000000-0005-0000-0000-000079290000}"/>
    <cellStyle name="40% - Accent1 71 4" xfId="9103" xr:uid="{00000000-0005-0000-0000-00007A290000}"/>
    <cellStyle name="40% - Accent1 71 4 2" xfId="20391" xr:uid="{00000000-0005-0000-0000-00007B290000}"/>
    <cellStyle name="40% - Accent1 71 5" xfId="7109" xr:uid="{00000000-0005-0000-0000-00007C290000}"/>
    <cellStyle name="40% - Accent1 71 5 2" xfId="18397" xr:uid="{00000000-0005-0000-0000-00007D290000}"/>
    <cellStyle name="40% - Accent1 71 6" xfId="5115" xr:uid="{00000000-0005-0000-0000-00007E290000}"/>
    <cellStyle name="40% - Accent1 71 6 2" xfId="16403" xr:uid="{00000000-0005-0000-0000-00007F290000}"/>
    <cellStyle name="40% - Accent1 71 7" xfId="14409" xr:uid="{00000000-0005-0000-0000-000080290000}"/>
    <cellStyle name="40% - Accent1 71 8" xfId="13095" xr:uid="{00000000-0005-0000-0000-000081290000}"/>
    <cellStyle name="40% - Accent1 72" xfId="1160" xr:uid="{00000000-0005-0000-0000-000082290000}"/>
    <cellStyle name="40% - Accent1 72 2" xfId="4116" xr:uid="{00000000-0005-0000-0000-000083290000}"/>
    <cellStyle name="40% - Accent1 72 2 2" xfId="12095" xr:uid="{00000000-0005-0000-0000-000084290000}"/>
    <cellStyle name="40% - Accent1 72 2 2 2" xfId="23383" xr:uid="{00000000-0005-0000-0000-000085290000}"/>
    <cellStyle name="40% - Accent1 72 2 3" xfId="10101" xr:uid="{00000000-0005-0000-0000-000086290000}"/>
    <cellStyle name="40% - Accent1 72 2 3 2" xfId="21389" xr:uid="{00000000-0005-0000-0000-000087290000}"/>
    <cellStyle name="40% - Accent1 72 2 4" xfId="8107" xr:uid="{00000000-0005-0000-0000-000088290000}"/>
    <cellStyle name="40% - Accent1 72 2 4 2" xfId="19395" xr:uid="{00000000-0005-0000-0000-000089290000}"/>
    <cellStyle name="40% - Accent1 72 2 5" xfId="6113" xr:uid="{00000000-0005-0000-0000-00008A290000}"/>
    <cellStyle name="40% - Accent1 72 2 5 2" xfId="17401" xr:uid="{00000000-0005-0000-0000-00008B290000}"/>
    <cellStyle name="40% - Accent1 72 2 6" xfId="15407" xr:uid="{00000000-0005-0000-0000-00008C290000}"/>
    <cellStyle name="40% - Accent1 72 3" xfId="11098" xr:uid="{00000000-0005-0000-0000-00008D290000}"/>
    <cellStyle name="40% - Accent1 72 3 2" xfId="22386" xr:uid="{00000000-0005-0000-0000-00008E290000}"/>
    <cellStyle name="40% - Accent1 72 4" xfId="9104" xr:uid="{00000000-0005-0000-0000-00008F290000}"/>
    <cellStyle name="40% - Accent1 72 4 2" xfId="20392" xr:uid="{00000000-0005-0000-0000-000090290000}"/>
    <cellStyle name="40% - Accent1 72 5" xfId="7110" xr:uid="{00000000-0005-0000-0000-000091290000}"/>
    <cellStyle name="40% - Accent1 72 5 2" xfId="18398" xr:uid="{00000000-0005-0000-0000-000092290000}"/>
    <cellStyle name="40% - Accent1 72 6" xfId="5116" xr:uid="{00000000-0005-0000-0000-000093290000}"/>
    <cellStyle name="40% - Accent1 72 6 2" xfId="16404" xr:uid="{00000000-0005-0000-0000-000094290000}"/>
    <cellStyle name="40% - Accent1 72 7" xfId="14410" xr:uid="{00000000-0005-0000-0000-000095290000}"/>
    <cellStyle name="40% - Accent1 72 8" xfId="13096" xr:uid="{00000000-0005-0000-0000-000096290000}"/>
    <cellStyle name="40% - Accent1 8" xfId="1161" xr:uid="{00000000-0005-0000-0000-000097290000}"/>
    <cellStyle name="40% - Accent1 8 2" xfId="4117" xr:uid="{00000000-0005-0000-0000-000098290000}"/>
    <cellStyle name="40% - Accent1 8 2 2" xfId="12096" xr:uid="{00000000-0005-0000-0000-000099290000}"/>
    <cellStyle name="40% - Accent1 8 2 2 2" xfId="23384" xr:uid="{00000000-0005-0000-0000-00009A290000}"/>
    <cellStyle name="40% - Accent1 8 2 3" xfId="10102" xr:uid="{00000000-0005-0000-0000-00009B290000}"/>
    <cellStyle name="40% - Accent1 8 2 3 2" xfId="21390" xr:uid="{00000000-0005-0000-0000-00009C290000}"/>
    <cellStyle name="40% - Accent1 8 2 4" xfId="8108" xr:uid="{00000000-0005-0000-0000-00009D290000}"/>
    <cellStyle name="40% - Accent1 8 2 4 2" xfId="19396" xr:uid="{00000000-0005-0000-0000-00009E290000}"/>
    <cellStyle name="40% - Accent1 8 2 5" xfId="6114" xr:uid="{00000000-0005-0000-0000-00009F290000}"/>
    <cellStyle name="40% - Accent1 8 2 5 2" xfId="17402" xr:uid="{00000000-0005-0000-0000-0000A0290000}"/>
    <cellStyle name="40% - Accent1 8 2 6" xfId="15408" xr:uid="{00000000-0005-0000-0000-0000A1290000}"/>
    <cellStyle name="40% - Accent1 8 3" xfId="11099" xr:uid="{00000000-0005-0000-0000-0000A2290000}"/>
    <cellStyle name="40% - Accent1 8 3 2" xfId="22387" xr:uid="{00000000-0005-0000-0000-0000A3290000}"/>
    <cellStyle name="40% - Accent1 8 4" xfId="9105" xr:uid="{00000000-0005-0000-0000-0000A4290000}"/>
    <cellStyle name="40% - Accent1 8 4 2" xfId="20393" xr:uid="{00000000-0005-0000-0000-0000A5290000}"/>
    <cellStyle name="40% - Accent1 8 5" xfId="7111" xr:uid="{00000000-0005-0000-0000-0000A6290000}"/>
    <cellStyle name="40% - Accent1 8 5 2" xfId="18399" xr:uid="{00000000-0005-0000-0000-0000A7290000}"/>
    <cellStyle name="40% - Accent1 8 6" xfId="5117" xr:uid="{00000000-0005-0000-0000-0000A8290000}"/>
    <cellStyle name="40% - Accent1 8 6 2" xfId="16405" xr:uid="{00000000-0005-0000-0000-0000A9290000}"/>
    <cellStyle name="40% - Accent1 8 7" xfId="14411" xr:uid="{00000000-0005-0000-0000-0000AA290000}"/>
    <cellStyle name="40% - Accent1 8 8" xfId="13097" xr:uid="{00000000-0005-0000-0000-0000AB290000}"/>
    <cellStyle name="40% - Accent1 9" xfId="1162" xr:uid="{00000000-0005-0000-0000-0000AC290000}"/>
    <cellStyle name="40% - Accent1 9 2" xfId="4118" xr:uid="{00000000-0005-0000-0000-0000AD290000}"/>
    <cellStyle name="40% - Accent1 9 2 2" xfId="12097" xr:uid="{00000000-0005-0000-0000-0000AE290000}"/>
    <cellStyle name="40% - Accent1 9 2 2 2" xfId="23385" xr:uid="{00000000-0005-0000-0000-0000AF290000}"/>
    <cellStyle name="40% - Accent1 9 2 3" xfId="10103" xr:uid="{00000000-0005-0000-0000-0000B0290000}"/>
    <cellStyle name="40% - Accent1 9 2 3 2" xfId="21391" xr:uid="{00000000-0005-0000-0000-0000B1290000}"/>
    <cellStyle name="40% - Accent1 9 2 4" xfId="8109" xr:uid="{00000000-0005-0000-0000-0000B2290000}"/>
    <cellStyle name="40% - Accent1 9 2 4 2" xfId="19397" xr:uid="{00000000-0005-0000-0000-0000B3290000}"/>
    <cellStyle name="40% - Accent1 9 2 5" xfId="6115" xr:uid="{00000000-0005-0000-0000-0000B4290000}"/>
    <cellStyle name="40% - Accent1 9 2 5 2" xfId="17403" xr:uid="{00000000-0005-0000-0000-0000B5290000}"/>
    <cellStyle name="40% - Accent1 9 2 6" xfId="15409" xr:uid="{00000000-0005-0000-0000-0000B6290000}"/>
    <cellStyle name="40% - Accent1 9 3" xfId="11100" xr:uid="{00000000-0005-0000-0000-0000B7290000}"/>
    <cellStyle name="40% - Accent1 9 3 2" xfId="22388" xr:uid="{00000000-0005-0000-0000-0000B8290000}"/>
    <cellStyle name="40% - Accent1 9 4" xfId="9106" xr:uid="{00000000-0005-0000-0000-0000B9290000}"/>
    <cellStyle name="40% - Accent1 9 4 2" xfId="20394" xr:uid="{00000000-0005-0000-0000-0000BA290000}"/>
    <cellStyle name="40% - Accent1 9 5" xfId="7112" xr:uid="{00000000-0005-0000-0000-0000BB290000}"/>
    <cellStyle name="40% - Accent1 9 5 2" xfId="18400" xr:uid="{00000000-0005-0000-0000-0000BC290000}"/>
    <cellStyle name="40% - Accent1 9 6" xfId="5118" xr:uid="{00000000-0005-0000-0000-0000BD290000}"/>
    <cellStyle name="40% - Accent1 9 6 2" xfId="16406" xr:uid="{00000000-0005-0000-0000-0000BE290000}"/>
    <cellStyle name="40% - Accent1 9 7" xfId="14412" xr:uid="{00000000-0005-0000-0000-0000BF290000}"/>
    <cellStyle name="40% - Accent1 9 8" xfId="13098" xr:uid="{00000000-0005-0000-0000-0000C0290000}"/>
    <cellStyle name="40% - Accent2 10" xfId="1163" xr:uid="{00000000-0005-0000-0000-0000C1290000}"/>
    <cellStyle name="40% - Accent2 10 2" xfId="4119" xr:uid="{00000000-0005-0000-0000-0000C2290000}"/>
    <cellStyle name="40% - Accent2 10 2 2" xfId="12098" xr:uid="{00000000-0005-0000-0000-0000C3290000}"/>
    <cellStyle name="40% - Accent2 10 2 2 2" xfId="23386" xr:uid="{00000000-0005-0000-0000-0000C4290000}"/>
    <cellStyle name="40% - Accent2 10 2 3" xfId="10104" xr:uid="{00000000-0005-0000-0000-0000C5290000}"/>
    <cellStyle name="40% - Accent2 10 2 3 2" xfId="21392" xr:uid="{00000000-0005-0000-0000-0000C6290000}"/>
    <cellStyle name="40% - Accent2 10 2 4" xfId="8110" xr:uid="{00000000-0005-0000-0000-0000C7290000}"/>
    <cellStyle name="40% - Accent2 10 2 4 2" xfId="19398" xr:uid="{00000000-0005-0000-0000-0000C8290000}"/>
    <cellStyle name="40% - Accent2 10 2 5" xfId="6116" xr:uid="{00000000-0005-0000-0000-0000C9290000}"/>
    <cellStyle name="40% - Accent2 10 2 5 2" xfId="17404" xr:uid="{00000000-0005-0000-0000-0000CA290000}"/>
    <cellStyle name="40% - Accent2 10 2 6" xfId="15410" xr:uid="{00000000-0005-0000-0000-0000CB290000}"/>
    <cellStyle name="40% - Accent2 10 3" xfId="11101" xr:uid="{00000000-0005-0000-0000-0000CC290000}"/>
    <cellStyle name="40% - Accent2 10 3 2" xfId="22389" xr:uid="{00000000-0005-0000-0000-0000CD290000}"/>
    <cellStyle name="40% - Accent2 10 4" xfId="9107" xr:uid="{00000000-0005-0000-0000-0000CE290000}"/>
    <cellStyle name="40% - Accent2 10 4 2" xfId="20395" xr:uid="{00000000-0005-0000-0000-0000CF290000}"/>
    <cellStyle name="40% - Accent2 10 5" xfId="7113" xr:uid="{00000000-0005-0000-0000-0000D0290000}"/>
    <cellStyle name="40% - Accent2 10 5 2" xfId="18401" xr:uid="{00000000-0005-0000-0000-0000D1290000}"/>
    <cellStyle name="40% - Accent2 10 6" xfId="5119" xr:uid="{00000000-0005-0000-0000-0000D2290000}"/>
    <cellStyle name="40% - Accent2 10 6 2" xfId="16407" xr:uid="{00000000-0005-0000-0000-0000D3290000}"/>
    <cellStyle name="40% - Accent2 10 7" xfId="14413" xr:uid="{00000000-0005-0000-0000-0000D4290000}"/>
    <cellStyle name="40% - Accent2 10 8" xfId="13099" xr:uid="{00000000-0005-0000-0000-0000D5290000}"/>
    <cellStyle name="40% - Accent2 11" xfId="1164" xr:uid="{00000000-0005-0000-0000-0000D6290000}"/>
    <cellStyle name="40% - Accent2 11 2" xfId="4120" xr:uid="{00000000-0005-0000-0000-0000D7290000}"/>
    <cellStyle name="40% - Accent2 11 2 2" xfId="12099" xr:uid="{00000000-0005-0000-0000-0000D8290000}"/>
    <cellStyle name="40% - Accent2 11 2 2 2" xfId="23387" xr:uid="{00000000-0005-0000-0000-0000D9290000}"/>
    <cellStyle name="40% - Accent2 11 2 3" xfId="10105" xr:uid="{00000000-0005-0000-0000-0000DA290000}"/>
    <cellStyle name="40% - Accent2 11 2 3 2" xfId="21393" xr:uid="{00000000-0005-0000-0000-0000DB290000}"/>
    <cellStyle name="40% - Accent2 11 2 4" xfId="8111" xr:uid="{00000000-0005-0000-0000-0000DC290000}"/>
    <cellStyle name="40% - Accent2 11 2 4 2" xfId="19399" xr:uid="{00000000-0005-0000-0000-0000DD290000}"/>
    <cellStyle name="40% - Accent2 11 2 5" xfId="6117" xr:uid="{00000000-0005-0000-0000-0000DE290000}"/>
    <cellStyle name="40% - Accent2 11 2 5 2" xfId="17405" xr:uid="{00000000-0005-0000-0000-0000DF290000}"/>
    <cellStyle name="40% - Accent2 11 2 6" xfId="15411" xr:uid="{00000000-0005-0000-0000-0000E0290000}"/>
    <cellStyle name="40% - Accent2 11 3" xfId="11102" xr:uid="{00000000-0005-0000-0000-0000E1290000}"/>
    <cellStyle name="40% - Accent2 11 3 2" xfId="22390" xr:uid="{00000000-0005-0000-0000-0000E2290000}"/>
    <cellStyle name="40% - Accent2 11 4" xfId="9108" xr:uid="{00000000-0005-0000-0000-0000E3290000}"/>
    <cellStyle name="40% - Accent2 11 4 2" xfId="20396" xr:uid="{00000000-0005-0000-0000-0000E4290000}"/>
    <cellStyle name="40% - Accent2 11 5" xfId="7114" xr:uid="{00000000-0005-0000-0000-0000E5290000}"/>
    <cellStyle name="40% - Accent2 11 5 2" xfId="18402" xr:uid="{00000000-0005-0000-0000-0000E6290000}"/>
    <cellStyle name="40% - Accent2 11 6" xfId="5120" xr:uid="{00000000-0005-0000-0000-0000E7290000}"/>
    <cellStyle name="40% - Accent2 11 6 2" xfId="16408" xr:uid="{00000000-0005-0000-0000-0000E8290000}"/>
    <cellStyle name="40% - Accent2 11 7" xfId="14414" xr:uid="{00000000-0005-0000-0000-0000E9290000}"/>
    <cellStyle name="40% - Accent2 11 8" xfId="13100" xr:uid="{00000000-0005-0000-0000-0000EA290000}"/>
    <cellStyle name="40% - Accent2 12" xfId="1165" xr:uid="{00000000-0005-0000-0000-0000EB290000}"/>
    <cellStyle name="40% - Accent2 12 2" xfId="4121" xr:uid="{00000000-0005-0000-0000-0000EC290000}"/>
    <cellStyle name="40% - Accent2 12 2 2" xfId="12100" xr:uid="{00000000-0005-0000-0000-0000ED290000}"/>
    <cellStyle name="40% - Accent2 12 2 2 2" xfId="23388" xr:uid="{00000000-0005-0000-0000-0000EE290000}"/>
    <cellStyle name="40% - Accent2 12 2 3" xfId="10106" xr:uid="{00000000-0005-0000-0000-0000EF290000}"/>
    <cellStyle name="40% - Accent2 12 2 3 2" xfId="21394" xr:uid="{00000000-0005-0000-0000-0000F0290000}"/>
    <cellStyle name="40% - Accent2 12 2 4" xfId="8112" xr:uid="{00000000-0005-0000-0000-0000F1290000}"/>
    <cellStyle name="40% - Accent2 12 2 4 2" xfId="19400" xr:uid="{00000000-0005-0000-0000-0000F2290000}"/>
    <cellStyle name="40% - Accent2 12 2 5" xfId="6118" xr:uid="{00000000-0005-0000-0000-0000F3290000}"/>
    <cellStyle name="40% - Accent2 12 2 5 2" xfId="17406" xr:uid="{00000000-0005-0000-0000-0000F4290000}"/>
    <cellStyle name="40% - Accent2 12 2 6" xfId="15412" xr:uid="{00000000-0005-0000-0000-0000F5290000}"/>
    <cellStyle name="40% - Accent2 12 3" xfId="11103" xr:uid="{00000000-0005-0000-0000-0000F6290000}"/>
    <cellStyle name="40% - Accent2 12 3 2" xfId="22391" xr:uid="{00000000-0005-0000-0000-0000F7290000}"/>
    <cellStyle name="40% - Accent2 12 4" xfId="9109" xr:uid="{00000000-0005-0000-0000-0000F8290000}"/>
    <cellStyle name="40% - Accent2 12 4 2" xfId="20397" xr:uid="{00000000-0005-0000-0000-0000F9290000}"/>
    <cellStyle name="40% - Accent2 12 5" xfId="7115" xr:uid="{00000000-0005-0000-0000-0000FA290000}"/>
    <cellStyle name="40% - Accent2 12 5 2" xfId="18403" xr:uid="{00000000-0005-0000-0000-0000FB290000}"/>
    <cellStyle name="40% - Accent2 12 6" xfId="5121" xr:uid="{00000000-0005-0000-0000-0000FC290000}"/>
    <cellStyle name="40% - Accent2 12 6 2" xfId="16409" xr:uid="{00000000-0005-0000-0000-0000FD290000}"/>
    <cellStyle name="40% - Accent2 12 7" xfId="14415" xr:uid="{00000000-0005-0000-0000-0000FE290000}"/>
    <cellStyle name="40% - Accent2 12 8" xfId="13101" xr:uid="{00000000-0005-0000-0000-0000FF290000}"/>
    <cellStyle name="40% - Accent2 13" xfId="1166" xr:uid="{00000000-0005-0000-0000-0000002A0000}"/>
    <cellStyle name="40% - Accent2 13 2" xfId="4122" xr:uid="{00000000-0005-0000-0000-0000012A0000}"/>
    <cellStyle name="40% - Accent2 13 2 2" xfId="12101" xr:uid="{00000000-0005-0000-0000-0000022A0000}"/>
    <cellStyle name="40% - Accent2 13 2 2 2" xfId="23389" xr:uid="{00000000-0005-0000-0000-0000032A0000}"/>
    <cellStyle name="40% - Accent2 13 2 3" xfId="10107" xr:uid="{00000000-0005-0000-0000-0000042A0000}"/>
    <cellStyle name="40% - Accent2 13 2 3 2" xfId="21395" xr:uid="{00000000-0005-0000-0000-0000052A0000}"/>
    <cellStyle name="40% - Accent2 13 2 4" xfId="8113" xr:uid="{00000000-0005-0000-0000-0000062A0000}"/>
    <cellStyle name="40% - Accent2 13 2 4 2" xfId="19401" xr:uid="{00000000-0005-0000-0000-0000072A0000}"/>
    <cellStyle name="40% - Accent2 13 2 5" xfId="6119" xr:uid="{00000000-0005-0000-0000-0000082A0000}"/>
    <cellStyle name="40% - Accent2 13 2 5 2" xfId="17407" xr:uid="{00000000-0005-0000-0000-0000092A0000}"/>
    <cellStyle name="40% - Accent2 13 2 6" xfId="15413" xr:uid="{00000000-0005-0000-0000-00000A2A0000}"/>
    <cellStyle name="40% - Accent2 13 3" xfId="11104" xr:uid="{00000000-0005-0000-0000-00000B2A0000}"/>
    <cellStyle name="40% - Accent2 13 3 2" xfId="22392" xr:uid="{00000000-0005-0000-0000-00000C2A0000}"/>
    <cellStyle name="40% - Accent2 13 4" xfId="9110" xr:uid="{00000000-0005-0000-0000-00000D2A0000}"/>
    <cellStyle name="40% - Accent2 13 4 2" xfId="20398" xr:uid="{00000000-0005-0000-0000-00000E2A0000}"/>
    <cellStyle name="40% - Accent2 13 5" xfId="7116" xr:uid="{00000000-0005-0000-0000-00000F2A0000}"/>
    <cellStyle name="40% - Accent2 13 5 2" xfId="18404" xr:uid="{00000000-0005-0000-0000-0000102A0000}"/>
    <cellStyle name="40% - Accent2 13 6" xfId="5122" xr:uid="{00000000-0005-0000-0000-0000112A0000}"/>
    <cellStyle name="40% - Accent2 13 6 2" xfId="16410" xr:uid="{00000000-0005-0000-0000-0000122A0000}"/>
    <cellStyle name="40% - Accent2 13 7" xfId="14416" xr:uid="{00000000-0005-0000-0000-0000132A0000}"/>
    <cellStyle name="40% - Accent2 13 8" xfId="13102" xr:uid="{00000000-0005-0000-0000-0000142A0000}"/>
    <cellStyle name="40% - Accent2 14" xfId="1167" xr:uid="{00000000-0005-0000-0000-0000152A0000}"/>
    <cellStyle name="40% - Accent2 14 2" xfId="4123" xr:uid="{00000000-0005-0000-0000-0000162A0000}"/>
    <cellStyle name="40% - Accent2 14 2 2" xfId="12102" xr:uid="{00000000-0005-0000-0000-0000172A0000}"/>
    <cellStyle name="40% - Accent2 14 2 2 2" xfId="23390" xr:uid="{00000000-0005-0000-0000-0000182A0000}"/>
    <cellStyle name="40% - Accent2 14 2 3" xfId="10108" xr:uid="{00000000-0005-0000-0000-0000192A0000}"/>
    <cellStyle name="40% - Accent2 14 2 3 2" xfId="21396" xr:uid="{00000000-0005-0000-0000-00001A2A0000}"/>
    <cellStyle name="40% - Accent2 14 2 4" xfId="8114" xr:uid="{00000000-0005-0000-0000-00001B2A0000}"/>
    <cellStyle name="40% - Accent2 14 2 4 2" xfId="19402" xr:uid="{00000000-0005-0000-0000-00001C2A0000}"/>
    <cellStyle name="40% - Accent2 14 2 5" xfId="6120" xr:uid="{00000000-0005-0000-0000-00001D2A0000}"/>
    <cellStyle name="40% - Accent2 14 2 5 2" xfId="17408" xr:uid="{00000000-0005-0000-0000-00001E2A0000}"/>
    <cellStyle name="40% - Accent2 14 2 6" xfId="15414" xr:uid="{00000000-0005-0000-0000-00001F2A0000}"/>
    <cellStyle name="40% - Accent2 14 3" xfId="11105" xr:uid="{00000000-0005-0000-0000-0000202A0000}"/>
    <cellStyle name="40% - Accent2 14 3 2" xfId="22393" xr:uid="{00000000-0005-0000-0000-0000212A0000}"/>
    <cellStyle name="40% - Accent2 14 4" xfId="9111" xr:uid="{00000000-0005-0000-0000-0000222A0000}"/>
    <cellStyle name="40% - Accent2 14 4 2" xfId="20399" xr:uid="{00000000-0005-0000-0000-0000232A0000}"/>
    <cellStyle name="40% - Accent2 14 5" xfId="7117" xr:uid="{00000000-0005-0000-0000-0000242A0000}"/>
    <cellStyle name="40% - Accent2 14 5 2" xfId="18405" xr:uid="{00000000-0005-0000-0000-0000252A0000}"/>
    <cellStyle name="40% - Accent2 14 6" xfId="5123" xr:uid="{00000000-0005-0000-0000-0000262A0000}"/>
    <cellStyle name="40% - Accent2 14 6 2" xfId="16411" xr:uid="{00000000-0005-0000-0000-0000272A0000}"/>
    <cellStyle name="40% - Accent2 14 7" xfId="14417" xr:uid="{00000000-0005-0000-0000-0000282A0000}"/>
    <cellStyle name="40% - Accent2 14 8" xfId="13103" xr:uid="{00000000-0005-0000-0000-0000292A0000}"/>
    <cellStyle name="40% - Accent2 15" xfId="1168" xr:uid="{00000000-0005-0000-0000-00002A2A0000}"/>
    <cellStyle name="40% - Accent2 15 2" xfId="4124" xr:uid="{00000000-0005-0000-0000-00002B2A0000}"/>
    <cellStyle name="40% - Accent2 15 2 2" xfId="12103" xr:uid="{00000000-0005-0000-0000-00002C2A0000}"/>
    <cellStyle name="40% - Accent2 15 2 2 2" xfId="23391" xr:uid="{00000000-0005-0000-0000-00002D2A0000}"/>
    <cellStyle name="40% - Accent2 15 2 3" xfId="10109" xr:uid="{00000000-0005-0000-0000-00002E2A0000}"/>
    <cellStyle name="40% - Accent2 15 2 3 2" xfId="21397" xr:uid="{00000000-0005-0000-0000-00002F2A0000}"/>
    <cellStyle name="40% - Accent2 15 2 4" xfId="8115" xr:uid="{00000000-0005-0000-0000-0000302A0000}"/>
    <cellStyle name="40% - Accent2 15 2 4 2" xfId="19403" xr:uid="{00000000-0005-0000-0000-0000312A0000}"/>
    <cellStyle name="40% - Accent2 15 2 5" xfId="6121" xr:uid="{00000000-0005-0000-0000-0000322A0000}"/>
    <cellStyle name="40% - Accent2 15 2 5 2" xfId="17409" xr:uid="{00000000-0005-0000-0000-0000332A0000}"/>
    <cellStyle name="40% - Accent2 15 2 6" xfId="15415" xr:uid="{00000000-0005-0000-0000-0000342A0000}"/>
    <cellStyle name="40% - Accent2 15 3" xfId="11106" xr:uid="{00000000-0005-0000-0000-0000352A0000}"/>
    <cellStyle name="40% - Accent2 15 3 2" xfId="22394" xr:uid="{00000000-0005-0000-0000-0000362A0000}"/>
    <cellStyle name="40% - Accent2 15 4" xfId="9112" xr:uid="{00000000-0005-0000-0000-0000372A0000}"/>
    <cellStyle name="40% - Accent2 15 4 2" xfId="20400" xr:uid="{00000000-0005-0000-0000-0000382A0000}"/>
    <cellStyle name="40% - Accent2 15 5" xfId="7118" xr:uid="{00000000-0005-0000-0000-0000392A0000}"/>
    <cellStyle name="40% - Accent2 15 5 2" xfId="18406" xr:uid="{00000000-0005-0000-0000-00003A2A0000}"/>
    <cellStyle name="40% - Accent2 15 6" xfId="5124" xr:uid="{00000000-0005-0000-0000-00003B2A0000}"/>
    <cellStyle name="40% - Accent2 15 6 2" xfId="16412" xr:uid="{00000000-0005-0000-0000-00003C2A0000}"/>
    <cellStyle name="40% - Accent2 15 7" xfId="14418" xr:uid="{00000000-0005-0000-0000-00003D2A0000}"/>
    <cellStyle name="40% - Accent2 15 8" xfId="13104" xr:uid="{00000000-0005-0000-0000-00003E2A0000}"/>
    <cellStyle name="40% - Accent2 16" xfId="1169" xr:uid="{00000000-0005-0000-0000-00003F2A0000}"/>
    <cellStyle name="40% - Accent2 16 2" xfId="4125" xr:uid="{00000000-0005-0000-0000-0000402A0000}"/>
    <cellStyle name="40% - Accent2 16 2 2" xfId="12104" xr:uid="{00000000-0005-0000-0000-0000412A0000}"/>
    <cellStyle name="40% - Accent2 16 2 2 2" xfId="23392" xr:uid="{00000000-0005-0000-0000-0000422A0000}"/>
    <cellStyle name="40% - Accent2 16 2 3" xfId="10110" xr:uid="{00000000-0005-0000-0000-0000432A0000}"/>
    <cellStyle name="40% - Accent2 16 2 3 2" xfId="21398" xr:uid="{00000000-0005-0000-0000-0000442A0000}"/>
    <cellStyle name="40% - Accent2 16 2 4" xfId="8116" xr:uid="{00000000-0005-0000-0000-0000452A0000}"/>
    <cellStyle name="40% - Accent2 16 2 4 2" xfId="19404" xr:uid="{00000000-0005-0000-0000-0000462A0000}"/>
    <cellStyle name="40% - Accent2 16 2 5" xfId="6122" xr:uid="{00000000-0005-0000-0000-0000472A0000}"/>
    <cellStyle name="40% - Accent2 16 2 5 2" xfId="17410" xr:uid="{00000000-0005-0000-0000-0000482A0000}"/>
    <cellStyle name="40% - Accent2 16 2 6" xfId="15416" xr:uid="{00000000-0005-0000-0000-0000492A0000}"/>
    <cellStyle name="40% - Accent2 16 3" xfId="11107" xr:uid="{00000000-0005-0000-0000-00004A2A0000}"/>
    <cellStyle name="40% - Accent2 16 3 2" xfId="22395" xr:uid="{00000000-0005-0000-0000-00004B2A0000}"/>
    <cellStyle name="40% - Accent2 16 4" xfId="9113" xr:uid="{00000000-0005-0000-0000-00004C2A0000}"/>
    <cellStyle name="40% - Accent2 16 4 2" xfId="20401" xr:uid="{00000000-0005-0000-0000-00004D2A0000}"/>
    <cellStyle name="40% - Accent2 16 5" xfId="7119" xr:uid="{00000000-0005-0000-0000-00004E2A0000}"/>
    <cellStyle name="40% - Accent2 16 5 2" xfId="18407" xr:uid="{00000000-0005-0000-0000-00004F2A0000}"/>
    <cellStyle name="40% - Accent2 16 6" xfId="5125" xr:uid="{00000000-0005-0000-0000-0000502A0000}"/>
    <cellStyle name="40% - Accent2 16 6 2" xfId="16413" xr:uid="{00000000-0005-0000-0000-0000512A0000}"/>
    <cellStyle name="40% - Accent2 16 7" xfId="14419" xr:uid="{00000000-0005-0000-0000-0000522A0000}"/>
    <cellStyle name="40% - Accent2 16 8" xfId="13105" xr:uid="{00000000-0005-0000-0000-0000532A0000}"/>
    <cellStyle name="40% - Accent2 17" xfId="1170" xr:uid="{00000000-0005-0000-0000-0000542A0000}"/>
    <cellStyle name="40% - Accent2 17 2" xfId="4126" xr:uid="{00000000-0005-0000-0000-0000552A0000}"/>
    <cellStyle name="40% - Accent2 17 2 2" xfId="12105" xr:uid="{00000000-0005-0000-0000-0000562A0000}"/>
    <cellStyle name="40% - Accent2 17 2 2 2" xfId="23393" xr:uid="{00000000-0005-0000-0000-0000572A0000}"/>
    <cellStyle name="40% - Accent2 17 2 3" xfId="10111" xr:uid="{00000000-0005-0000-0000-0000582A0000}"/>
    <cellStyle name="40% - Accent2 17 2 3 2" xfId="21399" xr:uid="{00000000-0005-0000-0000-0000592A0000}"/>
    <cellStyle name="40% - Accent2 17 2 4" xfId="8117" xr:uid="{00000000-0005-0000-0000-00005A2A0000}"/>
    <cellStyle name="40% - Accent2 17 2 4 2" xfId="19405" xr:uid="{00000000-0005-0000-0000-00005B2A0000}"/>
    <cellStyle name="40% - Accent2 17 2 5" xfId="6123" xr:uid="{00000000-0005-0000-0000-00005C2A0000}"/>
    <cellStyle name="40% - Accent2 17 2 5 2" xfId="17411" xr:uid="{00000000-0005-0000-0000-00005D2A0000}"/>
    <cellStyle name="40% - Accent2 17 2 6" xfId="15417" xr:uid="{00000000-0005-0000-0000-00005E2A0000}"/>
    <cellStyle name="40% - Accent2 17 3" xfId="11108" xr:uid="{00000000-0005-0000-0000-00005F2A0000}"/>
    <cellStyle name="40% - Accent2 17 3 2" xfId="22396" xr:uid="{00000000-0005-0000-0000-0000602A0000}"/>
    <cellStyle name="40% - Accent2 17 4" xfId="9114" xr:uid="{00000000-0005-0000-0000-0000612A0000}"/>
    <cellStyle name="40% - Accent2 17 4 2" xfId="20402" xr:uid="{00000000-0005-0000-0000-0000622A0000}"/>
    <cellStyle name="40% - Accent2 17 5" xfId="7120" xr:uid="{00000000-0005-0000-0000-0000632A0000}"/>
    <cellStyle name="40% - Accent2 17 5 2" xfId="18408" xr:uid="{00000000-0005-0000-0000-0000642A0000}"/>
    <cellStyle name="40% - Accent2 17 6" xfId="5126" xr:uid="{00000000-0005-0000-0000-0000652A0000}"/>
    <cellStyle name="40% - Accent2 17 6 2" xfId="16414" xr:uid="{00000000-0005-0000-0000-0000662A0000}"/>
    <cellStyle name="40% - Accent2 17 7" xfId="14420" xr:uid="{00000000-0005-0000-0000-0000672A0000}"/>
    <cellStyle name="40% - Accent2 17 8" xfId="13106" xr:uid="{00000000-0005-0000-0000-0000682A0000}"/>
    <cellStyle name="40% - Accent2 18" xfId="1171" xr:uid="{00000000-0005-0000-0000-0000692A0000}"/>
    <cellStyle name="40% - Accent2 18 2" xfId="4127" xr:uid="{00000000-0005-0000-0000-00006A2A0000}"/>
    <cellStyle name="40% - Accent2 18 2 2" xfId="12106" xr:uid="{00000000-0005-0000-0000-00006B2A0000}"/>
    <cellStyle name="40% - Accent2 18 2 2 2" xfId="23394" xr:uid="{00000000-0005-0000-0000-00006C2A0000}"/>
    <cellStyle name="40% - Accent2 18 2 3" xfId="10112" xr:uid="{00000000-0005-0000-0000-00006D2A0000}"/>
    <cellStyle name="40% - Accent2 18 2 3 2" xfId="21400" xr:uid="{00000000-0005-0000-0000-00006E2A0000}"/>
    <cellStyle name="40% - Accent2 18 2 4" xfId="8118" xr:uid="{00000000-0005-0000-0000-00006F2A0000}"/>
    <cellStyle name="40% - Accent2 18 2 4 2" xfId="19406" xr:uid="{00000000-0005-0000-0000-0000702A0000}"/>
    <cellStyle name="40% - Accent2 18 2 5" xfId="6124" xr:uid="{00000000-0005-0000-0000-0000712A0000}"/>
    <cellStyle name="40% - Accent2 18 2 5 2" xfId="17412" xr:uid="{00000000-0005-0000-0000-0000722A0000}"/>
    <cellStyle name="40% - Accent2 18 2 6" xfId="15418" xr:uid="{00000000-0005-0000-0000-0000732A0000}"/>
    <cellStyle name="40% - Accent2 18 3" xfId="11109" xr:uid="{00000000-0005-0000-0000-0000742A0000}"/>
    <cellStyle name="40% - Accent2 18 3 2" xfId="22397" xr:uid="{00000000-0005-0000-0000-0000752A0000}"/>
    <cellStyle name="40% - Accent2 18 4" xfId="9115" xr:uid="{00000000-0005-0000-0000-0000762A0000}"/>
    <cellStyle name="40% - Accent2 18 4 2" xfId="20403" xr:uid="{00000000-0005-0000-0000-0000772A0000}"/>
    <cellStyle name="40% - Accent2 18 5" xfId="7121" xr:uid="{00000000-0005-0000-0000-0000782A0000}"/>
    <cellStyle name="40% - Accent2 18 5 2" xfId="18409" xr:uid="{00000000-0005-0000-0000-0000792A0000}"/>
    <cellStyle name="40% - Accent2 18 6" xfId="5127" xr:uid="{00000000-0005-0000-0000-00007A2A0000}"/>
    <cellStyle name="40% - Accent2 18 6 2" xfId="16415" xr:uid="{00000000-0005-0000-0000-00007B2A0000}"/>
    <cellStyle name="40% - Accent2 18 7" xfId="14421" xr:uid="{00000000-0005-0000-0000-00007C2A0000}"/>
    <cellStyle name="40% - Accent2 18 8" xfId="13107" xr:uid="{00000000-0005-0000-0000-00007D2A0000}"/>
    <cellStyle name="40% - Accent2 19" xfId="1172" xr:uid="{00000000-0005-0000-0000-00007E2A0000}"/>
    <cellStyle name="40% - Accent2 19 2" xfId="4128" xr:uid="{00000000-0005-0000-0000-00007F2A0000}"/>
    <cellStyle name="40% - Accent2 19 2 2" xfId="12107" xr:uid="{00000000-0005-0000-0000-0000802A0000}"/>
    <cellStyle name="40% - Accent2 19 2 2 2" xfId="23395" xr:uid="{00000000-0005-0000-0000-0000812A0000}"/>
    <cellStyle name="40% - Accent2 19 2 3" xfId="10113" xr:uid="{00000000-0005-0000-0000-0000822A0000}"/>
    <cellStyle name="40% - Accent2 19 2 3 2" xfId="21401" xr:uid="{00000000-0005-0000-0000-0000832A0000}"/>
    <cellStyle name="40% - Accent2 19 2 4" xfId="8119" xr:uid="{00000000-0005-0000-0000-0000842A0000}"/>
    <cellStyle name="40% - Accent2 19 2 4 2" xfId="19407" xr:uid="{00000000-0005-0000-0000-0000852A0000}"/>
    <cellStyle name="40% - Accent2 19 2 5" xfId="6125" xr:uid="{00000000-0005-0000-0000-0000862A0000}"/>
    <cellStyle name="40% - Accent2 19 2 5 2" xfId="17413" xr:uid="{00000000-0005-0000-0000-0000872A0000}"/>
    <cellStyle name="40% - Accent2 19 2 6" xfId="15419" xr:uid="{00000000-0005-0000-0000-0000882A0000}"/>
    <cellStyle name="40% - Accent2 19 3" xfId="11110" xr:uid="{00000000-0005-0000-0000-0000892A0000}"/>
    <cellStyle name="40% - Accent2 19 3 2" xfId="22398" xr:uid="{00000000-0005-0000-0000-00008A2A0000}"/>
    <cellStyle name="40% - Accent2 19 4" xfId="9116" xr:uid="{00000000-0005-0000-0000-00008B2A0000}"/>
    <cellStyle name="40% - Accent2 19 4 2" xfId="20404" xr:uid="{00000000-0005-0000-0000-00008C2A0000}"/>
    <cellStyle name="40% - Accent2 19 5" xfId="7122" xr:uid="{00000000-0005-0000-0000-00008D2A0000}"/>
    <cellStyle name="40% - Accent2 19 5 2" xfId="18410" xr:uid="{00000000-0005-0000-0000-00008E2A0000}"/>
    <cellStyle name="40% - Accent2 19 6" xfId="5128" xr:uid="{00000000-0005-0000-0000-00008F2A0000}"/>
    <cellStyle name="40% - Accent2 19 6 2" xfId="16416" xr:uid="{00000000-0005-0000-0000-0000902A0000}"/>
    <cellStyle name="40% - Accent2 19 7" xfId="14422" xr:uid="{00000000-0005-0000-0000-0000912A0000}"/>
    <cellStyle name="40% - Accent2 19 8" xfId="13108" xr:uid="{00000000-0005-0000-0000-0000922A0000}"/>
    <cellStyle name="40% - Accent2 2" xfId="1173" xr:uid="{00000000-0005-0000-0000-0000932A0000}"/>
    <cellStyle name="40% - Accent2 2 10" xfId="24601" xr:uid="{00000000-0005-0000-0000-0000942A0000}"/>
    <cellStyle name="40% - Accent2 2 11" xfId="24991" xr:uid="{00000000-0005-0000-0000-0000952A0000}"/>
    <cellStyle name="40% - Accent2 2 2" xfId="4129" xr:uid="{00000000-0005-0000-0000-0000962A0000}"/>
    <cellStyle name="40% - Accent2 2 2 2" xfId="12108" xr:uid="{00000000-0005-0000-0000-0000972A0000}"/>
    <cellStyle name="40% - Accent2 2 2 2 2" xfId="23396" xr:uid="{00000000-0005-0000-0000-0000982A0000}"/>
    <cellStyle name="40% - Accent2 2 2 3" xfId="10114" xr:uid="{00000000-0005-0000-0000-0000992A0000}"/>
    <cellStyle name="40% - Accent2 2 2 3 2" xfId="21402" xr:uid="{00000000-0005-0000-0000-00009A2A0000}"/>
    <cellStyle name="40% - Accent2 2 2 4" xfId="8120" xr:uid="{00000000-0005-0000-0000-00009B2A0000}"/>
    <cellStyle name="40% - Accent2 2 2 4 2" xfId="19408" xr:uid="{00000000-0005-0000-0000-00009C2A0000}"/>
    <cellStyle name="40% - Accent2 2 2 5" xfId="6126" xr:uid="{00000000-0005-0000-0000-00009D2A0000}"/>
    <cellStyle name="40% - Accent2 2 2 5 2" xfId="17414" xr:uid="{00000000-0005-0000-0000-00009E2A0000}"/>
    <cellStyle name="40% - Accent2 2 2 6" xfId="15420" xr:uid="{00000000-0005-0000-0000-00009F2A0000}"/>
    <cellStyle name="40% - Accent2 2 2 7" xfId="24362" xr:uid="{00000000-0005-0000-0000-0000A02A0000}"/>
    <cellStyle name="40% - Accent2 2 2 8" xfId="24826" xr:uid="{00000000-0005-0000-0000-0000A12A0000}"/>
    <cellStyle name="40% - Accent2 2 2 9" xfId="25193" xr:uid="{00000000-0005-0000-0000-0000A22A0000}"/>
    <cellStyle name="40% - Accent2 2 3" xfId="11111" xr:uid="{00000000-0005-0000-0000-0000A32A0000}"/>
    <cellStyle name="40% - Accent2 2 3 2" xfId="22399" xr:uid="{00000000-0005-0000-0000-0000A42A0000}"/>
    <cellStyle name="40% - Accent2 2 4" xfId="9117" xr:uid="{00000000-0005-0000-0000-0000A52A0000}"/>
    <cellStyle name="40% - Accent2 2 4 2" xfId="20405" xr:uid="{00000000-0005-0000-0000-0000A62A0000}"/>
    <cellStyle name="40% - Accent2 2 5" xfId="7123" xr:uid="{00000000-0005-0000-0000-0000A72A0000}"/>
    <cellStyle name="40% - Accent2 2 5 2" xfId="18411" xr:uid="{00000000-0005-0000-0000-0000A82A0000}"/>
    <cellStyle name="40% - Accent2 2 6" xfId="5129" xr:uid="{00000000-0005-0000-0000-0000A92A0000}"/>
    <cellStyle name="40% - Accent2 2 6 2" xfId="16417" xr:uid="{00000000-0005-0000-0000-0000AA2A0000}"/>
    <cellStyle name="40% - Accent2 2 7" xfId="14423" xr:uid="{00000000-0005-0000-0000-0000AB2A0000}"/>
    <cellStyle name="40% - Accent2 2 8" xfId="13109" xr:uid="{00000000-0005-0000-0000-0000AC2A0000}"/>
    <cellStyle name="40% - Accent2 2 9" xfId="23974" xr:uid="{00000000-0005-0000-0000-0000AD2A0000}"/>
    <cellStyle name="40% - Accent2 20" xfId="1174" xr:uid="{00000000-0005-0000-0000-0000AE2A0000}"/>
    <cellStyle name="40% - Accent2 20 2" xfId="4130" xr:uid="{00000000-0005-0000-0000-0000AF2A0000}"/>
    <cellStyle name="40% - Accent2 20 2 2" xfId="12109" xr:uid="{00000000-0005-0000-0000-0000B02A0000}"/>
    <cellStyle name="40% - Accent2 20 2 2 2" xfId="23397" xr:uid="{00000000-0005-0000-0000-0000B12A0000}"/>
    <cellStyle name="40% - Accent2 20 2 3" xfId="10115" xr:uid="{00000000-0005-0000-0000-0000B22A0000}"/>
    <cellStyle name="40% - Accent2 20 2 3 2" xfId="21403" xr:uid="{00000000-0005-0000-0000-0000B32A0000}"/>
    <cellStyle name="40% - Accent2 20 2 4" xfId="8121" xr:uid="{00000000-0005-0000-0000-0000B42A0000}"/>
    <cellStyle name="40% - Accent2 20 2 4 2" xfId="19409" xr:uid="{00000000-0005-0000-0000-0000B52A0000}"/>
    <cellStyle name="40% - Accent2 20 2 5" xfId="6127" xr:uid="{00000000-0005-0000-0000-0000B62A0000}"/>
    <cellStyle name="40% - Accent2 20 2 5 2" xfId="17415" xr:uid="{00000000-0005-0000-0000-0000B72A0000}"/>
    <cellStyle name="40% - Accent2 20 2 6" xfId="15421" xr:uid="{00000000-0005-0000-0000-0000B82A0000}"/>
    <cellStyle name="40% - Accent2 20 3" xfId="11112" xr:uid="{00000000-0005-0000-0000-0000B92A0000}"/>
    <cellStyle name="40% - Accent2 20 3 2" xfId="22400" xr:uid="{00000000-0005-0000-0000-0000BA2A0000}"/>
    <cellStyle name="40% - Accent2 20 4" xfId="9118" xr:uid="{00000000-0005-0000-0000-0000BB2A0000}"/>
    <cellStyle name="40% - Accent2 20 4 2" xfId="20406" xr:uid="{00000000-0005-0000-0000-0000BC2A0000}"/>
    <cellStyle name="40% - Accent2 20 5" xfId="7124" xr:uid="{00000000-0005-0000-0000-0000BD2A0000}"/>
    <cellStyle name="40% - Accent2 20 5 2" xfId="18412" xr:uid="{00000000-0005-0000-0000-0000BE2A0000}"/>
    <cellStyle name="40% - Accent2 20 6" xfId="5130" xr:uid="{00000000-0005-0000-0000-0000BF2A0000}"/>
    <cellStyle name="40% - Accent2 20 6 2" xfId="16418" xr:uid="{00000000-0005-0000-0000-0000C02A0000}"/>
    <cellStyle name="40% - Accent2 20 7" xfId="14424" xr:uid="{00000000-0005-0000-0000-0000C12A0000}"/>
    <cellStyle name="40% - Accent2 20 8" xfId="13110" xr:uid="{00000000-0005-0000-0000-0000C22A0000}"/>
    <cellStyle name="40% - Accent2 21" xfId="1175" xr:uid="{00000000-0005-0000-0000-0000C32A0000}"/>
    <cellStyle name="40% - Accent2 21 2" xfId="4131" xr:uid="{00000000-0005-0000-0000-0000C42A0000}"/>
    <cellStyle name="40% - Accent2 21 2 2" xfId="12110" xr:uid="{00000000-0005-0000-0000-0000C52A0000}"/>
    <cellStyle name="40% - Accent2 21 2 2 2" xfId="23398" xr:uid="{00000000-0005-0000-0000-0000C62A0000}"/>
    <cellStyle name="40% - Accent2 21 2 3" xfId="10116" xr:uid="{00000000-0005-0000-0000-0000C72A0000}"/>
    <cellStyle name="40% - Accent2 21 2 3 2" xfId="21404" xr:uid="{00000000-0005-0000-0000-0000C82A0000}"/>
    <cellStyle name="40% - Accent2 21 2 4" xfId="8122" xr:uid="{00000000-0005-0000-0000-0000C92A0000}"/>
    <cellStyle name="40% - Accent2 21 2 4 2" xfId="19410" xr:uid="{00000000-0005-0000-0000-0000CA2A0000}"/>
    <cellStyle name="40% - Accent2 21 2 5" xfId="6128" xr:uid="{00000000-0005-0000-0000-0000CB2A0000}"/>
    <cellStyle name="40% - Accent2 21 2 5 2" xfId="17416" xr:uid="{00000000-0005-0000-0000-0000CC2A0000}"/>
    <cellStyle name="40% - Accent2 21 2 6" xfId="15422" xr:uid="{00000000-0005-0000-0000-0000CD2A0000}"/>
    <cellStyle name="40% - Accent2 21 3" xfId="11113" xr:uid="{00000000-0005-0000-0000-0000CE2A0000}"/>
    <cellStyle name="40% - Accent2 21 3 2" xfId="22401" xr:uid="{00000000-0005-0000-0000-0000CF2A0000}"/>
    <cellStyle name="40% - Accent2 21 4" xfId="9119" xr:uid="{00000000-0005-0000-0000-0000D02A0000}"/>
    <cellStyle name="40% - Accent2 21 4 2" xfId="20407" xr:uid="{00000000-0005-0000-0000-0000D12A0000}"/>
    <cellStyle name="40% - Accent2 21 5" xfId="7125" xr:uid="{00000000-0005-0000-0000-0000D22A0000}"/>
    <cellStyle name="40% - Accent2 21 5 2" xfId="18413" xr:uid="{00000000-0005-0000-0000-0000D32A0000}"/>
    <cellStyle name="40% - Accent2 21 6" xfId="5131" xr:uid="{00000000-0005-0000-0000-0000D42A0000}"/>
    <cellStyle name="40% - Accent2 21 6 2" xfId="16419" xr:uid="{00000000-0005-0000-0000-0000D52A0000}"/>
    <cellStyle name="40% - Accent2 21 7" xfId="14425" xr:uid="{00000000-0005-0000-0000-0000D62A0000}"/>
    <cellStyle name="40% - Accent2 21 8" xfId="13111" xr:uid="{00000000-0005-0000-0000-0000D72A0000}"/>
    <cellStyle name="40% - Accent2 22" xfId="1176" xr:uid="{00000000-0005-0000-0000-0000D82A0000}"/>
    <cellStyle name="40% - Accent2 22 2" xfId="4132" xr:uid="{00000000-0005-0000-0000-0000D92A0000}"/>
    <cellStyle name="40% - Accent2 22 2 2" xfId="12111" xr:uid="{00000000-0005-0000-0000-0000DA2A0000}"/>
    <cellStyle name="40% - Accent2 22 2 2 2" xfId="23399" xr:uid="{00000000-0005-0000-0000-0000DB2A0000}"/>
    <cellStyle name="40% - Accent2 22 2 3" xfId="10117" xr:uid="{00000000-0005-0000-0000-0000DC2A0000}"/>
    <cellStyle name="40% - Accent2 22 2 3 2" xfId="21405" xr:uid="{00000000-0005-0000-0000-0000DD2A0000}"/>
    <cellStyle name="40% - Accent2 22 2 4" xfId="8123" xr:uid="{00000000-0005-0000-0000-0000DE2A0000}"/>
    <cellStyle name="40% - Accent2 22 2 4 2" xfId="19411" xr:uid="{00000000-0005-0000-0000-0000DF2A0000}"/>
    <cellStyle name="40% - Accent2 22 2 5" xfId="6129" xr:uid="{00000000-0005-0000-0000-0000E02A0000}"/>
    <cellStyle name="40% - Accent2 22 2 5 2" xfId="17417" xr:uid="{00000000-0005-0000-0000-0000E12A0000}"/>
    <cellStyle name="40% - Accent2 22 2 6" xfId="15423" xr:uid="{00000000-0005-0000-0000-0000E22A0000}"/>
    <cellStyle name="40% - Accent2 22 3" xfId="11114" xr:uid="{00000000-0005-0000-0000-0000E32A0000}"/>
    <cellStyle name="40% - Accent2 22 3 2" xfId="22402" xr:uid="{00000000-0005-0000-0000-0000E42A0000}"/>
    <cellStyle name="40% - Accent2 22 4" xfId="9120" xr:uid="{00000000-0005-0000-0000-0000E52A0000}"/>
    <cellStyle name="40% - Accent2 22 4 2" xfId="20408" xr:uid="{00000000-0005-0000-0000-0000E62A0000}"/>
    <cellStyle name="40% - Accent2 22 5" xfId="7126" xr:uid="{00000000-0005-0000-0000-0000E72A0000}"/>
    <cellStyle name="40% - Accent2 22 5 2" xfId="18414" xr:uid="{00000000-0005-0000-0000-0000E82A0000}"/>
    <cellStyle name="40% - Accent2 22 6" xfId="5132" xr:uid="{00000000-0005-0000-0000-0000E92A0000}"/>
    <cellStyle name="40% - Accent2 22 6 2" xfId="16420" xr:uid="{00000000-0005-0000-0000-0000EA2A0000}"/>
    <cellStyle name="40% - Accent2 22 7" xfId="14426" xr:uid="{00000000-0005-0000-0000-0000EB2A0000}"/>
    <cellStyle name="40% - Accent2 22 8" xfId="13112" xr:uid="{00000000-0005-0000-0000-0000EC2A0000}"/>
    <cellStyle name="40% - Accent2 23" xfId="1177" xr:uid="{00000000-0005-0000-0000-0000ED2A0000}"/>
    <cellStyle name="40% - Accent2 23 2" xfId="4133" xr:uid="{00000000-0005-0000-0000-0000EE2A0000}"/>
    <cellStyle name="40% - Accent2 23 2 2" xfId="12112" xr:uid="{00000000-0005-0000-0000-0000EF2A0000}"/>
    <cellStyle name="40% - Accent2 23 2 2 2" xfId="23400" xr:uid="{00000000-0005-0000-0000-0000F02A0000}"/>
    <cellStyle name="40% - Accent2 23 2 3" xfId="10118" xr:uid="{00000000-0005-0000-0000-0000F12A0000}"/>
    <cellStyle name="40% - Accent2 23 2 3 2" xfId="21406" xr:uid="{00000000-0005-0000-0000-0000F22A0000}"/>
    <cellStyle name="40% - Accent2 23 2 4" xfId="8124" xr:uid="{00000000-0005-0000-0000-0000F32A0000}"/>
    <cellStyle name="40% - Accent2 23 2 4 2" xfId="19412" xr:uid="{00000000-0005-0000-0000-0000F42A0000}"/>
    <cellStyle name="40% - Accent2 23 2 5" xfId="6130" xr:uid="{00000000-0005-0000-0000-0000F52A0000}"/>
    <cellStyle name="40% - Accent2 23 2 5 2" xfId="17418" xr:uid="{00000000-0005-0000-0000-0000F62A0000}"/>
    <cellStyle name="40% - Accent2 23 2 6" xfId="15424" xr:uid="{00000000-0005-0000-0000-0000F72A0000}"/>
    <cellStyle name="40% - Accent2 23 3" xfId="11115" xr:uid="{00000000-0005-0000-0000-0000F82A0000}"/>
    <cellStyle name="40% - Accent2 23 3 2" xfId="22403" xr:uid="{00000000-0005-0000-0000-0000F92A0000}"/>
    <cellStyle name="40% - Accent2 23 4" xfId="9121" xr:uid="{00000000-0005-0000-0000-0000FA2A0000}"/>
    <cellStyle name="40% - Accent2 23 4 2" xfId="20409" xr:uid="{00000000-0005-0000-0000-0000FB2A0000}"/>
    <cellStyle name="40% - Accent2 23 5" xfId="7127" xr:uid="{00000000-0005-0000-0000-0000FC2A0000}"/>
    <cellStyle name="40% - Accent2 23 5 2" xfId="18415" xr:uid="{00000000-0005-0000-0000-0000FD2A0000}"/>
    <cellStyle name="40% - Accent2 23 6" xfId="5133" xr:uid="{00000000-0005-0000-0000-0000FE2A0000}"/>
    <cellStyle name="40% - Accent2 23 6 2" xfId="16421" xr:uid="{00000000-0005-0000-0000-0000FF2A0000}"/>
    <cellStyle name="40% - Accent2 23 7" xfId="14427" xr:uid="{00000000-0005-0000-0000-0000002B0000}"/>
    <cellStyle name="40% - Accent2 23 8" xfId="13113" xr:uid="{00000000-0005-0000-0000-0000012B0000}"/>
    <cellStyle name="40% - Accent2 24" xfId="1178" xr:uid="{00000000-0005-0000-0000-0000022B0000}"/>
    <cellStyle name="40% - Accent2 24 2" xfId="4134" xr:uid="{00000000-0005-0000-0000-0000032B0000}"/>
    <cellStyle name="40% - Accent2 24 2 2" xfId="12113" xr:uid="{00000000-0005-0000-0000-0000042B0000}"/>
    <cellStyle name="40% - Accent2 24 2 2 2" xfId="23401" xr:uid="{00000000-0005-0000-0000-0000052B0000}"/>
    <cellStyle name="40% - Accent2 24 2 3" xfId="10119" xr:uid="{00000000-0005-0000-0000-0000062B0000}"/>
    <cellStyle name="40% - Accent2 24 2 3 2" xfId="21407" xr:uid="{00000000-0005-0000-0000-0000072B0000}"/>
    <cellStyle name="40% - Accent2 24 2 4" xfId="8125" xr:uid="{00000000-0005-0000-0000-0000082B0000}"/>
    <cellStyle name="40% - Accent2 24 2 4 2" xfId="19413" xr:uid="{00000000-0005-0000-0000-0000092B0000}"/>
    <cellStyle name="40% - Accent2 24 2 5" xfId="6131" xr:uid="{00000000-0005-0000-0000-00000A2B0000}"/>
    <cellStyle name="40% - Accent2 24 2 5 2" xfId="17419" xr:uid="{00000000-0005-0000-0000-00000B2B0000}"/>
    <cellStyle name="40% - Accent2 24 2 6" xfId="15425" xr:uid="{00000000-0005-0000-0000-00000C2B0000}"/>
    <cellStyle name="40% - Accent2 24 3" xfId="11116" xr:uid="{00000000-0005-0000-0000-00000D2B0000}"/>
    <cellStyle name="40% - Accent2 24 3 2" xfId="22404" xr:uid="{00000000-0005-0000-0000-00000E2B0000}"/>
    <cellStyle name="40% - Accent2 24 4" xfId="9122" xr:uid="{00000000-0005-0000-0000-00000F2B0000}"/>
    <cellStyle name="40% - Accent2 24 4 2" xfId="20410" xr:uid="{00000000-0005-0000-0000-0000102B0000}"/>
    <cellStyle name="40% - Accent2 24 5" xfId="7128" xr:uid="{00000000-0005-0000-0000-0000112B0000}"/>
    <cellStyle name="40% - Accent2 24 5 2" xfId="18416" xr:uid="{00000000-0005-0000-0000-0000122B0000}"/>
    <cellStyle name="40% - Accent2 24 6" xfId="5134" xr:uid="{00000000-0005-0000-0000-0000132B0000}"/>
    <cellStyle name="40% - Accent2 24 6 2" xfId="16422" xr:uid="{00000000-0005-0000-0000-0000142B0000}"/>
    <cellStyle name="40% - Accent2 24 7" xfId="14428" xr:uid="{00000000-0005-0000-0000-0000152B0000}"/>
    <cellStyle name="40% - Accent2 24 8" xfId="13114" xr:uid="{00000000-0005-0000-0000-0000162B0000}"/>
    <cellStyle name="40% - Accent2 25" xfId="1179" xr:uid="{00000000-0005-0000-0000-0000172B0000}"/>
    <cellStyle name="40% - Accent2 25 2" xfId="4135" xr:uid="{00000000-0005-0000-0000-0000182B0000}"/>
    <cellStyle name="40% - Accent2 25 2 2" xfId="12114" xr:uid="{00000000-0005-0000-0000-0000192B0000}"/>
    <cellStyle name="40% - Accent2 25 2 2 2" xfId="23402" xr:uid="{00000000-0005-0000-0000-00001A2B0000}"/>
    <cellStyle name="40% - Accent2 25 2 3" xfId="10120" xr:uid="{00000000-0005-0000-0000-00001B2B0000}"/>
    <cellStyle name="40% - Accent2 25 2 3 2" xfId="21408" xr:uid="{00000000-0005-0000-0000-00001C2B0000}"/>
    <cellStyle name="40% - Accent2 25 2 4" xfId="8126" xr:uid="{00000000-0005-0000-0000-00001D2B0000}"/>
    <cellStyle name="40% - Accent2 25 2 4 2" xfId="19414" xr:uid="{00000000-0005-0000-0000-00001E2B0000}"/>
    <cellStyle name="40% - Accent2 25 2 5" xfId="6132" xr:uid="{00000000-0005-0000-0000-00001F2B0000}"/>
    <cellStyle name="40% - Accent2 25 2 5 2" xfId="17420" xr:uid="{00000000-0005-0000-0000-0000202B0000}"/>
    <cellStyle name="40% - Accent2 25 2 6" xfId="15426" xr:uid="{00000000-0005-0000-0000-0000212B0000}"/>
    <cellStyle name="40% - Accent2 25 3" xfId="11117" xr:uid="{00000000-0005-0000-0000-0000222B0000}"/>
    <cellStyle name="40% - Accent2 25 3 2" xfId="22405" xr:uid="{00000000-0005-0000-0000-0000232B0000}"/>
    <cellStyle name="40% - Accent2 25 4" xfId="9123" xr:uid="{00000000-0005-0000-0000-0000242B0000}"/>
    <cellStyle name="40% - Accent2 25 4 2" xfId="20411" xr:uid="{00000000-0005-0000-0000-0000252B0000}"/>
    <cellStyle name="40% - Accent2 25 5" xfId="7129" xr:uid="{00000000-0005-0000-0000-0000262B0000}"/>
    <cellStyle name="40% - Accent2 25 5 2" xfId="18417" xr:uid="{00000000-0005-0000-0000-0000272B0000}"/>
    <cellStyle name="40% - Accent2 25 6" xfId="5135" xr:uid="{00000000-0005-0000-0000-0000282B0000}"/>
    <cellStyle name="40% - Accent2 25 6 2" xfId="16423" xr:uid="{00000000-0005-0000-0000-0000292B0000}"/>
    <cellStyle name="40% - Accent2 25 7" xfId="14429" xr:uid="{00000000-0005-0000-0000-00002A2B0000}"/>
    <cellStyle name="40% - Accent2 25 8" xfId="13115" xr:uid="{00000000-0005-0000-0000-00002B2B0000}"/>
    <cellStyle name="40% - Accent2 26" xfId="1180" xr:uid="{00000000-0005-0000-0000-00002C2B0000}"/>
    <cellStyle name="40% - Accent2 26 2" xfId="4136" xr:uid="{00000000-0005-0000-0000-00002D2B0000}"/>
    <cellStyle name="40% - Accent2 26 2 2" xfId="12115" xr:uid="{00000000-0005-0000-0000-00002E2B0000}"/>
    <cellStyle name="40% - Accent2 26 2 2 2" xfId="23403" xr:uid="{00000000-0005-0000-0000-00002F2B0000}"/>
    <cellStyle name="40% - Accent2 26 2 3" xfId="10121" xr:uid="{00000000-0005-0000-0000-0000302B0000}"/>
    <cellStyle name="40% - Accent2 26 2 3 2" xfId="21409" xr:uid="{00000000-0005-0000-0000-0000312B0000}"/>
    <cellStyle name="40% - Accent2 26 2 4" xfId="8127" xr:uid="{00000000-0005-0000-0000-0000322B0000}"/>
    <cellStyle name="40% - Accent2 26 2 4 2" xfId="19415" xr:uid="{00000000-0005-0000-0000-0000332B0000}"/>
    <cellStyle name="40% - Accent2 26 2 5" xfId="6133" xr:uid="{00000000-0005-0000-0000-0000342B0000}"/>
    <cellStyle name="40% - Accent2 26 2 5 2" xfId="17421" xr:uid="{00000000-0005-0000-0000-0000352B0000}"/>
    <cellStyle name="40% - Accent2 26 2 6" xfId="15427" xr:uid="{00000000-0005-0000-0000-0000362B0000}"/>
    <cellStyle name="40% - Accent2 26 3" xfId="11118" xr:uid="{00000000-0005-0000-0000-0000372B0000}"/>
    <cellStyle name="40% - Accent2 26 3 2" xfId="22406" xr:uid="{00000000-0005-0000-0000-0000382B0000}"/>
    <cellStyle name="40% - Accent2 26 4" xfId="9124" xr:uid="{00000000-0005-0000-0000-0000392B0000}"/>
    <cellStyle name="40% - Accent2 26 4 2" xfId="20412" xr:uid="{00000000-0005-0000-0000-00003A2B0000}"/>
    <cellStyle name="40% - Accent2 26 5" xfId="7130" xr:uid="{00000000-0005-0000-0000-00003B2B0000}"/>
    <cellStyle name="40% - Accent2 26 5 2" xfId="18418" xr:uid="{00000000-0005-0000-0000-00003C2B0000}"/>
    <cellStyle name="40% - Accent2 26 6" xfId="5136" xr:uid="{00000000-0005-0000-0000-00003D2B0000}"/>
    <cellStyle name="40% - Accent2 26 6 2" xfId="16424" xr:uid="{00000000-0005-0000-0000-00003E2B0000}"/>
    <cellStyle name="40% - Accent2 26 7" xfId="14430" xr:uid="{00000000-0005-0000-0000-00003F2B0000}"/>
    <cellStyle name="40% - Accent2 26 8" xfId="13116" xr:uid="{00000000-0005-0000-0000-0000402B0000}"/>
    <cellStyle name="40% - Accent2 27" xfId="1181" xr:uid="{00000000-0005-0000-0000-0000412B0000}"/>
    <cellStyle name="40% - Accent2 27 2" xfId="4137" xr:uid="{00000000-0005-0000-0000-0000422B0000}"/>
    <cellStyle name="40% - Accent2 27 2 2" xfId="12116" xr:uid="{00000000-0005-0000-0000-0000432B0000}"/>
    <cellStyle name="40% - Accent2 27 2 2 2" xfId="23404" xr:uid="{00000000-0005-0000-0000-0000442B0000}"/>
    <cellStyle name="40% - Accent2 27 2 3" xfId="10122" xr:uid="{00000000-0005-0000-0000-0000452B0000}"/>
    <cellStyle name="40% - Accent2 27 2 3 2" xfId="21410" xr:uid="{00000000-0005-0000-0000-0000462B0000}"/>
    <cellStyle name="40% - Accent2 27 2 4" xfId="8128" xr:uid="{00000000-0005-0000-0000-0000472B0000}"/>
    <cellStyle name="40% - Accent2 27 2 4 2" xfId="19416" xr:uid="{00000000-0005-0000-0000-0000482B0000}"/>
    <cellStyle name="40% - Accent2 27 2 5" xfId="6134" xr:uid="{00000000-0005-0000-0000-0000492B0000}"/>
    <cellStyle name="40% - Accent2 27 2 5 2" xfId="17422" xr:uid="{00000000-0005-0000-0000-00004A2B0000}"/>
    <cellStyle name="40% - Accent2 27 2 6" xfId="15428" xr:uid="{00000000-0005-0000-0000-00004B2B0000}"/>
    <cellStyle name="40% - Accent2 27 3" xfId="11119" xr:uid="{00000000-0005-0000-0000-00004C2B0000}"/>
    <cellStyle name="40% - Accent2 27 3 2" xfId="22407" xr:uid="{00000000-0005-0000-0000-00004D2B0000}"/>
    <cellStyle name="40% - Accent2 27 4" xfId="9125" xr:uid="{00000000-0005-0000-0000-00004E2B0000}"/>
    <cellStyle name="40% - Accent2 27 4 2" xfId="20413" xr:uid="{00000000-0005-0000-0000-00004F2B0000}"/>
    <cellStyle name="40% - Accent2 27 5" xfId="7131" xr:uid="{00000000-0005-0000-0000-0000502B0000}"/>
    <cellStyle name="40% - Accent2 27 5 2" xfId="18419" xr:uid="{00000000-0005-0000-0000-0000512B0000}"/>
    <cellStyle name="40% - Accent2 27 6" xfId="5137" xr:uid="{00000000-0005-0000-0000-0000522B0000}"/>
    <cellStyle name="40% - Accent2 27 6 2" xfId="16425" xr:uid="{00000000-0005-0000-0000-0000532B0000}"/>
    <cellStyle name="40% - Accent2 27 7" xfId="14431" xr:uid="{00000000-0005-0000-0000-0000542B0000}"/>
    <cellStyle name="40% - Accent2 27 8" xfId="13117" xr:uid="{00000000-0005-0000-0000-0000552B0000}"/>
    <cellStyle name="40% - Accent2 28" xfId="1182" xr:uid="{00000000-0005-0000-0000-0000562B0000}"/>
    <cellStyle name="40% - Accent2 28 2" xfId="4138" xr:uid="{00000000-0005-0000-0000-0000572B0000}"/>
    <cellStyle name="40% - Accent2 28 2 2" xfId="12117" xr:uid="{00000000-0005-0000-0000-0000582B0000}"/>
    <cellStyle name="40% - Accent2 28 2 2 2" xfId="23405" xr:uid="{00000000-0005-0000-0000-0000592B0000}"/>
    <cellStyle name="40% - Accent2 28 2 3" xfId="10123" xr:uid="{00000000-0005-0000-0000-00005A2B0000}"/>
    <cellStyle name="40% - Accent2 28 2 3 2" xfId="21411" xr:uid="{00000000-0005-0000-0000-00005B2B0000}"/>
    <cellStyle name="40% - Accent2 28 2 4" xfId="8129" xr:uid="{00000000-0005-0000-0000-00005C2B0000}"/>
    <cellStyle name="40% - Accent2 28 2 4 2" xfId="19417" xr:uid="{00000000-0005-0000-0000-00005D2B0000}"/>
    <cellStyle name="40% - Accent2 28 2 5" xfId="6135" xr:uid="{00000000-0005-0000-0000-00005E2B0000}"/>
    <cellStyle name="40% - Accent2 28 2 5 2" xfId="17423" xr:uid="{00000000-0005-0000-0000-00005F2B0000}"/>
    <cellStyle name="40% - Accent2 28 2 6" xfId="15429" xr:uid="{00000000-0005-0000-0000-0000602B0000}"/>
    <cellStyle name="40% - Accent2 28 3" xfId="11120" xr:uid="{00000000-0005-0000-0000-0000612B0000}"/>
    <cellStyle name="40% - Accent2 28 3 2" xfId="22408" xr:uid="{00000000-0005-0000-0000-0000622B0000}"/>
    <cellStyle name="40% - Accent2 28 4" xfId="9126" xr:uid="{00000000-0005-0000-0000-0000632B0000}"/>
    <cellStyle name="40% - Accent2 28 4 2" xfId="20414" xr:uid="{00000000-0005-0000-0000-0000642B0000}"/>
    <cellStyle name="40% - Accent2 28 5" xfId="7132" xr:uid="{00000000-0005-0000-0000-0000652B0000}"/>
    <cellStyle name="40% - Accent2 28 5 2" xfId="18420" xr:uid="{00000000-0005-0000-0000-0000662B0000}"/>
    <cellStyle name="40% - Accent2 28 6" xfId="5138" xr:uid="{00000000-0005-0000-0000-0000672B0000}"/>
    <cellStyle name="40% - Accent2 28 6 2" xfId="16426" xr:uid="{00000000-0005-0000-0000-0000682B0000}"/>
    <cellStyle name="40% - Accent2 28 7" xfId="14432" xr:uid="{00000000-0005-0000-0000-0000692B0000}"/>
    <cellStyle name="40% - Accent2 28 8" xfId="13118" xr:uid="{00000000-0005-0000-0000-00006A2B0000}"/>
    <cellStyle name="40% - Accent2 29" xfId="1183" xr:uid="{00000000-0005-0000-0000-00006B2B0000}"/>
    <cellStyle name="40% - Accent2 29 2" xfId="4139" xr:uid="{00000000-0005-0000-0000-00006C2B0000}"/>
    <cellStyle name="40% - Accent2 29 2 2" xfId="12118" xr:uid="{00000000-0005-0000-0000-00006D2B0000}"/>
    <cellStyle name="40% - Accent2 29 2 2 2" xfId="23406" xr:uid="{00000000-0005-0000-0000-00006E2B0000}"/>
    <cellStyle name="40% - Accent2 29 2 3" xfId="10124" xr:uid="{00000000-0005-0000-0000-00006F2B0000}"/>
    <cellStyle name="40% - Accent2 29 2 3 2" xfId="21412" xr:uid="{00000000-0005-0000-0000-0000702B0000}"/>
    <cellStyle name="40% - Accent2 29 2 4" xfId="8130" xr:uid="{00000000-0005-0000-0000-0000712B0000}"/>
    <cellStyle name="40% - Accent2 29 2 4 2" xfId="19418" xr:uid="{00000000-0005-0000-0000-0000722B0000}"/>
    <cellStyle name="40% - Accent2 29 2 5" xfId="6136" xr:uid="{00000000-0005-0000-0000-0000732B0000}"/>
    <cellStyle name="40% - Accent2 29 2 5 2" xfId="17424" xr:uid="{00000000-0005-0000-0000-0000742B0000}"/>
    <cellStyle name="40% - Accent2 29 2 6" xfId="15430" xr:uid="{00000000-0005-0000-0000-0000752B0000}"/>
    <cellStyle name="40% - Accent2 29 3" xfId="11121" xr:uid="{00000000-0005-0000-0000-0000762B0000}"/>
    <cellStyle name="40% - Accent2 29 3 2" xfId="22409" xr:uid="{00000000-0005-0000-0000-0000772B0000}"/>
    <cellStyle name="40% - Accent2 29 4" xfId="9127" xr:uid="{00000000-0005-0000-0000-0000782B0000}"/>
    <cellStyle name="40% - Accent2 29 4 2" xfId="20415" xr:uid="{00000000-0005-0000-0000-0000792B0000}"/>
    <cellStyle name="40% - Accent2 29 5" xfId="7133" xr:uid="{00000000-0005-0000-0000-00007A2B0000}"/>
    <cellStyle name="40% - Accent2 29 5 2" xfId="18421" xr:uid="{00000000-0005-0000-0000-00007B2B0000}"/>
    <cellStyle name="40% - Accent2 29 6" xfId="5139" xr:uid="{00000000-0005-0000-0000-00007C2B0000}"/>
    <cellStyle name="40% - Accent2 29 6 2" xfId="16427" xr:uid="{00000000-0005-0000-0000-00007D2B0000}"/>
    <cellStyle name="40% - Accent2 29 7" xfId="14433" xr:uid="{00000000-0005-0000-0000-00007E2B0000}"/>
    <cellStyle name="40% - Accent2 29 8" xfId="13119" xr:uid="{00000000-0005-0000-0000-00007F2B0000}"/>
    <cellStyle name="40% - Accent2 3" xfId="1184" xr:uid="{00000000-0005-0000-0000-0000802B0000}"/>
    <cellStyle name="40% - Accent2 3 10" xfId="24602" xr:uid="{00000000-0005-0000-0000-0000812B0000}"/>
    <cellStyle name="40% - Accent2 3 11" xfId="24992" xr:uid="{00000000-0005-0000-0000-0000822B0000}"/>
    <cellStyle name="40% - Accent2 3 2" xfId="4140" xr:uid="{00000000-0005-0000-0000-0000832B0000}"/>
    <cellStyle name="40% - Accent2 3 2 2" xfId="12119" xr:uid="{00000000-0005-0000-0000-0000842B0000}"/>
    <cellStyle name="40% - Accent2 3 2 2 2" xfId="23407" xr:uid="{00000000-0005-0000-0000-0000852B0000}"/>
    <cellStyle name="40% - Accent2 3 2 3" xfId="10125" xr:uid="{00000000-0005-0000-0000-0000862B0000}"/>
    <cellStyle name="40% - Accent2 3 2 3 2" xfId="21413" xr:uid="{00000000-0005-0000-0000-0000872B0000}"/>
    <cellStyle name="40% - Accent2 3 2 4" xfId="8131" xr:uid="{00000000-0005-0000-0000-0000882B0000}"/>
    <cellStyle name="40% - Accent2 3 2 4 2" xfId="19419" xr:uid="{00000000-0005-0000-0000-0000892B0000}"/>
    <cellStyle name="40% - Accent2 3 2 5" xfId="6137" xr:uid="{00000000-0005-0000-0000-00008A2B0000}"/>
    <cellStyle name="40% - Accent2 3 2 5 2" xfId="17425" xr:uid="{00000000-0005-0000-0000-00008B2B0000}"/>
    <cellStyle name="40% - Accent2 3 2 6" xfId="15431" xr:uid="{00000000-0005-0000-0000-00008C2B0000}"/>
    <cellStyle name="40% - Accent2 3 2 7" xfId="24363" xr:uid="{00000000-0005-0000-0000-00008D2B0000}"/>
    <cellStyle name="40% - Accent2 3 2 8" xfId="24827" xr:uid="{00000000-0005-0000-0000-00008E2B0000}"/>
    <cellStyle name="40% - Accent2 3 2 9" xfId="25194" xr:uid="{00000000-0005-0000-0000-00008F2B0000}"/>
    <cellStyle name="40% - Accent2 3 3" xfId="11122" xr:uid="{00000000-0005-0000-0000-0000902B0000}"/>
    <cellStyle name="40% - Accent2 3 3 2" xfId="22410" xr:uid="{00000000-0005-0000-0000-0000912B0000}"/>
    <cellStyle name="40% - Accent2 3 4" xfId="9128" xr:uid="{00000000-0005-0000-0000-0000922B0000}"/>
    <cellStyle name="40% - Accent2 3 4 2" xfId="20416" xr:uid="{00000000-0005-0000-0000-0000932B0000}"/>
    <cellStyle name="40% - Accent2 3 5" xfId="7134" xr:uid="{00000000-0005-0000-0000-0000942B0000}"/>
    <cellStyle name="40% - Accent2 3 5 2" xfId="18422" xr:uid="{00000000-0005-0000-0000-0000952B0000}"/>
    <cellStyle name="40% - Accent2 3 6" xfId="5140" xr:uid="{00000000-0005-0000-0000-0000962B0000}"/>
    <cellStyle name="40% - Accent2 3 6 2" xfId="16428" xr:uid="{00000000-0005-0000-0000-0000972B0000}"/>
    <cellStyle name="40% - Accent2 3 7" xfId="14434" xr:uid="{00000000-0005-0000-0000-0000982B0000}"/>
    <cellStyle name="40% - Accent2 3 8" xfId="13120" xr:uid="{00000000-0005-0000-0000-0000992B0000}"/>
    <cellStyle name="40% - Accent2 3 9" xfId="23975" xr:uid="{00000000-0005-0000-0000-00009A2B0000}"/>
    <cellStyle name="40% - Accent2 30" xfId="1185" xr:uid="{00000000-0005-0000-0000-00009B2B0000}"/>
    <cellStyle name="40% - Accent2 30 2" xfId="4141" xr:uid="{00000000-0005-0000-0000-00009C2B0000}"/>
    <cellStyle name="40% - Accent2 30 2 2" xfId="12120" xr:uid="{00000000-0005-0000-0000-00009D2B0000}"/>
    <cellStyle name="40% - Accent2 30 2 2 2" xfId="23408" xr:uid="{00000000-0005-0000-0000-00009E2B0000}"/>
    <cellStyle name="40% - Accent2 30 2 3" xfId="10126" xr:uid="{00000000-0005-0000-0000-00009F2B0000}"/>
    <cellStyle name="40% - Accent2 30 2 3 2" xfId="21414" xr:uid="{00000000-0005-0000-0000-0000A02B0000}"/>
    <cellStyle name="40% - Accent2 30 2 4" xfId="8132" xr:uid="{00000000-0005-0000-0000-0000A12B0000}"/>
    <cellStyle name="40% - Accent2 30 2 4 2" xfId="19420" xr:uid="{00000000-0005-0000-0000-0000A22B0000}"/>
    <cellStyle name="40% - Accent2 30 2 5" xfId="6138" xr:uid="{00000000-0005-0000-0000-0000A32B0000}"/>
    <cellStyle name="40% - Accent2 30 2 5 2" xfId="17426" xr:uid="{00000000-0005-0000-0000-0000A42B0000}"/>
    <cellStyle name="40% - Accent2 30 2 6" xfId="15432" xr:uid="{00000000-0005-0000-0000-0000A52B0000}"/>
    <cellStyle name="40% - Accent2 30 3" xfId="11123" xr:uid="{00000000-0005-0000-0000-0000A62B0000}"/>
    <cellStyle name="40% - Accent2 30 3 2" xfId="22411" xr:uid="{00000000-0005-0000-0000-0000A72B0000}"/>
    <cellStyle name="40% - Accent2 30 4" xfId="9129" xr:uid="{00000000-0005-0000-0000-0000A82B0000}"/>
    <cellStyle name="40% - Accent2 30 4 2" xfId="20417" xr:uid="{00000000-0005-0000-0000-0000A92B0000}"/>
    <cellStyle name="40% - Accent2 30 5" xfId="7135" xr:uid="{00000000-0005-0000-0000-0000AA2B0000}"/>
    <cellStyle name="40% - Accent2 30 5 2" xfId="18423" xr:uid="{00000000-0005-0000-0000-0000AB2B0000}"/>
    <cellStyle name="40% - Accent2 30 6" xfId="5141" xr:uid="{00000000-0005-0000-0000-0000AC2B0000}"/>
    <cellStyle name="40% - Accent2 30 6 2" xfId="16429" xr:uid="{00000000-0005-0000-0000-0000AD2B0000}"/>
    <cellStyle name="40% - Accent2 30 7" xfId="14435" xr:uid="{00000000-0005-0000-0000-0000AE2B0000}"/>
    <cellStyle name="40% - Accent2 30 8" xfId="13121" xr:uid="{00000000-0005-0000-0000-0000AF2B0000}"/>
    <cellStyle name="40% - Accent2 31" xfId="1186" xr:uid="{00000000-0005-0000-0000-0000B02B0000}"/>
    <cellStyle name="40% - Accent2 31 2" xfId="4142" xr:uid="{00000000-0005-0000-0000-0000B12B0000}"/>
    <cellStyle name="40% - Accent2 31 2 2" xfId="12121" xr:uid="{00000000-0005-0000-0000-0000B22B0000}"/>
    <cellStyle name="40% - Accent2 31 2 2 2" xfId="23409" xr:uid="{00000000-0005-0000-0000-0000B32B0000}"/>
    <cellStyle name="40% - Accent2 31 2 3" xfId="10127" xr:uid="{00000000-0005-0000-0000-0000B42B0000}"/>
    <cellStyle name="40% - Accent2 31 2 3 2" xfId="21415" xr:uid="{00000000-0005-0000-0000-0000B52B0000}"/>
    <cellStyle name="40% - Accent2 31 2 4" xfId="8133" xr:uid="{00000000-0005-0000-0000-0000B62B0000}"/>
    <cellStyle name="40% - Accent2 31 2 4 2" xfId="19421" xr:uid="{00000000-0005-0000-0000-0000B72B0000}"/>
    <cellStyle name="40% - Accent2 31 2 5" xfId="6139" xr:uid="{00000000-0005-0000-0000-0000B82B0000}"/>
    <cellStyle name="40% - Accent2 31 2 5 2" xfId="17427" xr:uid="{00000000-0005-0000-0000-0000B92B0000}"/>
    <cellStyle name="40% - Accent2 31 2 6" xfId="15433" xr:uid="{00000000-0005-0000-0000-0000BA2B0000}"/>
    <cellStyle name="40% - Accent2 31 3" xfId="11124" xr:uid="{00000000-0005-0000-0000-0000BB2B0000}"/>
    <cellStyle name="40% - Accent2 31 3 2" xfId="22412" xr:uid="{00000000-0005-0000-0000-0000BC2B0000}"/>
    <cellStyle name="40% - Accent2 31 4" xfId="9130" xr:uid="{00000000-0005-0000-0000-0000BD2B0000}"/>
    <cellStyle name="40% - Accent2 31 4 2" xfId="20418" xr:uid="{00000000-0005-0000-0000-0000BE2B0000}"/>
    <cellStyle name="40% - Accent2 31 5" xfId="7136" xr:uid="{00000000-0005-0000-0000-0000BF2B0000}"/>
    <cellStyle name="40% - Accent2 31 5 2" xfId="18424" xr:uid="{00000000-0005-0000-0000-0000C02B0000}"/>
    <cellStyle name="40% - Accent2 31 6" xfId="5142" xr:uid="{00000000-0005-0000-0000-0000C12B0000}"/>
    <cellStyle name="40% - Accent2 31 6 2" xfId="16430" xr:uid="{00000000-0005-0000-0000-0000C22B0000}"/>
    <cellStyle name="40% - Accent2 31 7" xfId="14436" xr:uid="{00000000-0005-0000-0000-0000C32B0000}"/>
    <cellStyle name="40% - Accent2 31 8" xfId="13122" xr:uid="{00000000-0005-0000-0000-0000C42B0000}"/>
    <cellStyle name="40% - Accent2 32" xfId="1187" xr:uid="{00000000-0005-0000-0000-0000C52B0000}"/>
    <cellStyle name="40% - Accent2 32 2" xfId="4143" xr:uid="{00000000-0005-0000-0000-0000C62B0000}"/>
    <cellStyle name="40% - Accent2 32 2 2" xfId="12122" xr:uid="{00000000-0005-0000-0000-0000C72B0000}"/>
    <cellStyle name="40% - Accent2 32 2 2 2" xfId="23410" xr:uid="{00000000-0005-0000-0000-0000C82B0000}"/>
    <cellStyle name="40% - Accent2 32 2 3" xfId="10128" xr:uid="{00000000-0005-0000-0000-0000C92B0000}"/>
    <cellStyle name="40% - Accent2 32 2 3 2" xfId="21416" xr:uid="{00000000-0005-0000-0000-0000CA2B0000}"/>
    <cellStyle name="40% - Accent2 32 2 4" xfId="8134" xr:uid="{00000000-0005-0000-0000-0000CB2B0000}"/>
    <cellStyle name="40% - Accent2 32 2 4 2" xfId="19422" xr:uid="{00000000-0005-0000-0000-0000CC2B0000}"/>
    <cellStyle name="40% - Accent2 32 2 5" xfId="6140" xr:uid="{00000000-0005-0000-0000-0000CD2B0000}"/>
    <cellStyle name="40% - Accent2 32 2 5 2" xfId="17428" xr:uid="{00000000-0005-0000-0000-0000CE2B0000}"/>
    <cellStyle name="40% - Accent2 32 2 6" xfId="15434" xr:uid="{00000000-0005-0000-0000-0000CF2B0000}"/>
    <cellStyle name="40% - Accent2 32 3" xfId="11125" xr:uid="{00000000-0005-0000-0000-0000D02B0000}"/>
    <cellStyle name="40% - Accent2 32 3 2" xfId="22413" xr:uid="{00000000-0005-0000-0000-0000D12B0000}"/>
    <cellStyle name="40% - Accent2 32 4" xfId="9131" xr:uid="{00000000-0005-0000-0000-0000D22B0000}"/>
    <cellStyle name="40% - Accent2 32 4 2" xfId="20419" xr:uid="{00000000-0005-0000-0000-0000D32B0000}"/>
    <cellStyle name="40% - Accent2 32 5" xfId="7137" xr:uid="{00000000-0005-0000-0000-0000D42B0000}"/>
    <cellStyle name="40% - Accent2 32 5 2" xfId="18425" xr:uid="{00000000-0005-0000-0000-0000D52B0000}"/>
    <cellStyle name="40% - Accent2 32 6" xfId="5143" xr:uid="{00000000-0005-0000-0000-0000D62B0000}"/>
    <cellStyle name="40% - Accent2 32 6 2" xfId="16431" xr:uid="{00000000-0005-0000-0000-0000D72B0000}"/>
    <cellStyle name="40% - Accent2 32 7" xfId="14437" xr:uid="{00000000-0005-0000-0000-0000D82B0000}"/>
    <cellStyle name="40% - Accent2 32 8" xfId="13123" xr:uid="{00000000-0005-0000-0000-0000D92B0000}"/>
    <cellStyle name="40% - Accent2 33" xfId="1188" xr:uid="{00000000-0005-0000-0000-0000DA2B0000}"/>
    <cellStyle name="40% - Accent2 33 2" xfId="4144" xr:uid="{00000000-0005-0000-0000-0000DB2B0000}"/>
    <cellStyle name="40% - Accent2 33 2 2" xfId="12123" xr:uid="{00000000-0005-0000-0000-0000DC2B0000}"/>
    <cellStyle name="40% - Accent2 33 2 2 2" xfId="23411" xr:uid="{00000000-0005-0000-0000-0000DD2B0000}"/>
    <cellStyle name="40% - Accent2 33 2 3" xfId="10129" xr:uid="{00000000-0005-0000-0000-0000DE2B0000}"/>
    <cellStyle name="40% - Accent2 33 2 3 2" xfId="21417" xr:uid="{00000000-0005-0000-0000-0000DF2B0000}"/>
    <cellStyle name="40% - Accent2 33 2 4" xfId="8135" xr:uid="{00000000-0005-0000-0000-0000E02B0000}"/>
    <cellStyle name="40% - Accent2 33 2 4 2" xfId="19423" xr:uid="{00000000-0005-0000-0000-0000E12B0000}"/>
    <cellStyle name="40% - Accent2 33 2 5" xfId="6141" xr:uid="{00000000-0005-0000-0000-0000E22B0000}"/>
    <cellStyle name="40% - Accent2 33 2 5 2" xfId="17429" xr:uid="{00000000-0005-0000-0000-0000E32B0000}"/>
    <cellStyle name="40% - Accent2 33 2 6" xfId="15435" xr:uid="{00000000-0005-0000-0000-0000E42B0000}"/>
    <cellStyle name="40% - Accent2 33 3" xfId="11126" xr:uid="{00000000-0005-0000-0000-0000E52B0000}"/>
    <cellStyle name="40% - Accent2 33 3 2" xfId="22414" xr:uid="{00000000-0005-0000-0000-0000E62B0000}"/>
    <cellStyle name="40% - Accent2 33 4" xfId="9132" xr:uid="{00000000-0005-0000-0000-0000E72B0000}"/>
    <cellStyle name="40% - Accent2 33 4 2" xfId="20420" xr:uid="{00000000-0005-0000-0000-0000E82B0000}"/>
    <cellStyle name="40% - Accent2 33 5" xfId="7138" xr:uid="{00000000-0005-0000-0000-0000E92B0000}"/>
    <cellStyle name="40% - Accent2 33 5 2" xfId="18426" xr:uid="{00000000-0005-0000-0000-0000EA2B0000}"/>
    <cellStyle name="40% - Accent2 33 6" xfId="5144" xr:uid="{00000000-0005-0000-0000-0000EB2B0000}"/>
    <cellStyle name="40% - Accent2 33 6 2" xfId="16432" xr:uid="{00000000-0005-0000-0000-0000EC2B0000}"/>
    <cellStyle name="40% - Accent2 33 7" xfId="14438" xr:uid="{00000000-0005-0000-0000-0000ED2B0000}"/>
    <cellStyle name="40% - Accent2 33 8" xfId="13124" xr:uid="{00000000-0005-0000-0000-0000EE2B0000}"/>
    <cellStyle name="40% - Accent2 34" xfId="1189" xr:uid="{00000000-0005-0000-0000-0000EF2B0000}"/>
    <cellStyle name="40% - Accent2 34 2" xfId="4145" xr:uid="{00000000-0005-0000-0000-0000F02B0000}"/>
    <cellStyle name="40% - Accent2 34 2 2" xfId="12124" xr:uid="{00000000-0005-0000-0000-0000F12B0000}"/>
    <cellStyle name="40% - Accent2 34 2 2 2" xfId="23412" xr:uid="{00000000-0005-0000-0000-0000F22B0000}"/>
    <cellStyle name="40% - Accent2 34 2 3" xfId="10130" xr:uid="{00000000-0005-0000-0000-0000F32B0000}"/>
    <cellStyle name="40% - Accent2 34 2 3 2" xfId="21418" xr:uid="{00000000-0005-0000-0000-0000F42B0000}"/>
    <cellStyle name="40% - Accent2 34 2 4" xfId="8136" xr:uid="{00000000-0005-0000-0000-0000F52B0000}"/>
    <cellStyle name="40% - Accent2 34 2 4 2" xfId="19424" xr:uid="{00000000-0005-0000-0000-0000F62B0000}"/>
    <cellStyle name="40% - Accent2 34 2 5" xfId="6142" xr:uid="{00000000-0005-0000-0000-0000F72B0000}"/>
    <cellStyle name="40% - Accent2 34 2 5 2" xfId="17430" xr:uid="{00000000-0005-0000-0000-0000F82B0000}"/>
    <cellStyle name="40% - Accent2 34 2 6" xfId="15436" xr:uid="{00000000-0005-0000-0000-0000F92B0000}"/>
    <cellStyle name="40% - Accent2 34 3" xfId="11127" xr:uid="{00000000-0005-0000-0000-0000FA2B0000}"/>
    <cellStyle name="40% - Accent2 34 3 2" xfId="22415" xr:uid="{00000000-0005-0000-0000-0000FB2B0000}"/>
    <cellStyle name="40% - Accent2 34 4" xfId="9133" xr:uid="{00000000-0005-0000-0000-0000FC2B0000}"/>
    <cellStyle name="40% - Accent2 34 4 2" xfId="20421" xr:uid="{00000000-0005-0000-0000-0000FD2B0000}"/>
    <cellStyle name="40% - Accent2 34 5" xfId="7139" xr:uid="{00000000-0005-0000-0000-0000FE2B0000}"/>
    <cellStyle name="40% - Accent2 34 5 2" xfId="18427" xr:uid="{00000000-0005-0000-0000-0000FF2B0000}"/>
    <cellStyle name="40% - Accent2 34 6" xfId="5145" xr:uid="{00000000-0005-0000-0000-0000002C0000}"/>
    <cellStyle name="40% - Accent2 34 6 2" xfId="16433" xr:uid="{00000000-0005-0000-0000-0000012C0000}"/>
    <cellStyle name="40% - Accent2 34 7" xfId="14439" xr:uid="{00000000-0005-0000-0000-0000022C0000}"/>
    <cellStyle name="40% - Accent2 34 8" xfId="13125" xr:uid="{00000000-0005-0000-0000-0000032C0000}"/>
    <cellStyle name="40% - Accent2 35" xfId="1190" xr:uid="{00000000-0005-0000-0000-0000042C0000}"/>
    <cellStyle name="40% - Accent2 35 2" xfId="4146" xr:uid="{00000000-0005-0000-0000-0000052C0000}"/>
    <cellStyle name="40% - Accent2 35 2 2" xfId="12125" xr:uid="{00000000-0005-0000-0000-0000062C0000}"/>
    <cellStyle name="40% - Accent2 35 2 2 2" xfId="23413" xr:uid="{00000000-0005-0000-0000-0000072C0000}"/>
    <cellStyle name="40% - Accent2 35 2 3" xfId="10131" xr:uid="{00000000-0005-0000-0000-0000082C0000}"/>
    <cellStyle name="40% - Accent2 35 2 3 2" xfId="21419" xr:uid="{00000000-0005-0000-0000-0000092C0000}"/>
    <cellStyle name="40% - Accent2 35 2 4" xfId="8137" xr:uid="{00000000-0005-0000-0000-00000A2C0000}"/>
    <cellStyle name="40% - Accent2 35 2 4 2" xfId="19425" xr:uid="{00000000-0005-0000-0000-00000B2C0000}"/>
    <cellStyle name="40% - Accent2 35 2 5" xfId="6143" xr:uid="{00000000-0005-0000-0000-00000C2C0000}"/>
    <cellStyle name="40% - Accent2 35 2 5 2" xfId="17431" xr:uid="{00000000-0005-0000-0000-00000D2C0000}"/>
    <cellStyle name="40% - Accent2 35 2 6" xfId="15437" xr:uid="{00000000-0005-0000-0000-00000E2C0000}"/>
    <cellStyle name="40% - Accent2 35 3" xfId="11128" xr:uid="{00000000-0005-0000-0000-00000F2C0000}"/>
    <cellStyle name="40% - Accent2 35 3 2" xfId="22416" xr:uid="{00000000-0005-0000-0000-0000102C0000}"/>
    <cellStyle name="40% - Accent2 35 4" xfId="9134" xr:uid="{00000000-0005-0000-0000-0000112C0000}"/>
    <cellStyle name="40% - Accent2 35 4 2" xfId="20422" xr:uid="{00000000-0005-0000-0000-0000122C0000}"/>
    <cellStyle name="40% - Accent2 35 5" xfId="7140" xr:uid="{00000000-0005-0000-0000-0000132C0000}"/>
    <cellStyle name="40% - Accent2 35 5 2" xfId="18428" xr:uid="{00000000-0005-0000-0000-0000142C0000}"/>
    <cellStyle name="40% - Accent2 35 6" xfId="5146" xr:uid="{00000000-0005-0000-0000-0000152C0000}"/>
    <cellStyle name="40% - Accent2 35 6 2" xfId="16434" xr:uid="{00000000-0005-0000-0000-0000162C0000}"/>
    <cellStyle name="40% - Accent2 35 7" xfId="14440" xr:uid="{00000000-0005-0000-0000-0000172C0000}"/>
    <cellStyle name="40% - Accent2 35 8" xfId="13126" xr:uid="{00000000-0005-0000-0000-0000182C0000}"/>
    <cellStyle name="40% - Accent2 36" xfId="1191" xr:uid="{00000000-0005-0000-0000-0000192C0000}"/>
    <cellStyle name="40% - Accent2 36 2" xfId="4147" xr:uid="{00000000-0005-0000-0000-00001A2C0000}"/>
    <cellStyle name="40% - Accent2 36 2 2" xfId="12126" xr:uid="{00000000-0005-0000-0000-00001B2C0000}"/>
    <cellStyle name="40% - Accent2 36 2 2 2" xfId="23414" xr:uid="{00000000-0005-0000-0000-00001C2C0000}"/>
    <cellStyle name="40% - Accent2 36 2 3" xfId="10132" xr:uid="{00000000-0005-0000-0000-00001D2C0000}"/>
    <cellStyle name="40% - Accent2 36 2 3 2" xfId="21420" xr:uid="{00000000-0005-0000-0000-00001E2C0000}"/>
    <cellStyle name="40% - Accent2 36 2 4" xfId="8138" xr:uid="{00000000-0005-0000-0000-00001F2C0000}"/>
    <cellStyle name="40% - Accent2 36 2 4 2" xfId="19426" xr:uid="{00000000-0005-0000-0000-0000202C0000}"/>
    <cellStyle name="40% - Accent2 36 2 5" xfId="6144" xr:uid="{00000000-0005-0000-0000-0000212C0000}"/>
    <cellStyle name="40% - Accent2 36 2 5 2" xfId="17432" xr:uid="{00000000-0005-0000-0000-0000222C0000}"/>
    <cellStyle name="40% - Accent2 36 2 6" xfId="15438" xr:uid="{00000000-0005-0000-0000-0000232C0000}"/>
    <cellStyle name="40% - Accent2 36 3" xfId="11129" xr:uid="{00000000-0005-0000-0000-0000242C0000}"/>
    <cellStyle name="40% - Accent2 36 3 2" xfId="22417" xr:uid="{00000000-0005-0000-0000-0000252C0000}"/>
    <cellStyle name="40% - Accent2 36 4" xfId="9135" xr:uid="{00000000-0005-0000-0000-0000262C0000}"/>
    <cellStyle name="40% - Accent2 36 4 2" xfId="20423" xr:uid="{00000000-0005-0000-0000-0000272C0000}"/>
    <cellStyle name="40% - Accent2 36 5" xfId="7141" xr:uid="{00000000-0005-0000-0000-0000282C0000}"/>
    <cellStyle name="40% - Accent2 36 5 2" xfId="18429" xr:uid="{00000000-0005-0000-0000-0000292C0000}"/>
    <cellStyle name="40% - Accent2 36 6" xfId="5147" xr:uid="{00000000-0005-0000-0000-00002A2C0000}"/>
    <cellStyle name="40% - Accent2 36 6 2" xfId="16435" xr:uid="{00000000-0005-0000-0000-00002B2C0000}"/>
    <cellStyle name="40% - Accent2 36 7" xfId="14441" xr:uid="{00000000-0005-0000-0000-00002C2C0000}"/>
    <cellStyle name="40% - Accent2 36 8" xfId="13127" xr:uid="{00000000-0005-0000-0000-00002D2C0000}"/>
    <cellStyle name="40% - Accent2 37" xfId="1192" xr:uid="{00000000-0005-0000-0000-00002E2C0000}"/>
    <cellStyle name="40% - Accent2 37 2" xfId="4148" xr:uid="{00000000-0005-0000-0000-00002F2C0000}"/>
    <cellStyle name="40% - Accent2 37 2 2" xfId="12127" xr:uid="{00000000-0005-0000-0000-0000302C0000}"/>
    <cellStyle name="40% - Accent2 37 2 2 2" xfId="23415" xr:uid="{00000000-0005-0000-0000-0000312C0000}"/>
    <cellStyle name="40% - Accent2 37 2 3" xfId="10133" xr:uid="{00000000-0005-0000-0000-0000322C0000}"/>
    <cellStyle name="40% - Accent2 37 2 3 2" xfId="21421" xr:uid="{00000000-0005-0000-0000-0000332C0000}"/>
    <cellStyle name="40% - Accent2 37 2 4" xfId="8139" xr:uid="{00000000-0005-0000-0000-0000342C0000}"/>
    <cellStyle name="40% - Accent2 37 2 4 2" xfId="19427" xr:uid="{00000000-0005-0000-0000-0000352C0000}"/>
    <cellStyle name="40% - Accent2 37 2 5" xfId="6145" xr:uid="{00000000-0005-0000-0000-0000362C0000}"/>
    <cellStyle name="40% - Accent2 37 2 5 2" xfId="17433" xr:uid="{00000000-0005-0000-0000-0000372C0000}"/>
    <cellStyle name="40% - Accent2 37 2 6" xfId="15439" xr:uid="{00000000-0005-0000-0000-0000382C0000}"/>
    <cellStyle name="40% - Accent2 37 3" xfId="11130" xr:uid="{00000000-0005-0000-0000-0000392C0000}"/>
    <cellStyle name="40% - Accent2 37 3 2" xfId="22418" xr:uid="{00000000-0005-0000-0000-00003A2C0000}"/>
    <cellStyle name="40% - Accent2 37 4" xfId="9136" xr:uid="{00000000-0005-0000-0000-00003B2C0000}"/>
    <cellStyle name="40% - Accent2 37 4 2" xfId="20424" xr:uid="{00000000-0005-0000-0000-00003C2C0000}"/>
    <cellStyle name="40% - Accent2 37 5" xfId="7142" xr:uid="{00000000-0005-0000-0000-00003D2C0000}"/>
    <cellStyle name="40% - Accent2 37 5 2" xfId="18430" xr:uid="{00000000-0005-0000-0000-00003E2C0000}"/>
    <cellStyle name="40% - Accent2 37 6" xfId="5148" xr:uid="{00000000-0005-0000-0000-00003F2C0000}"/>
    <cellStyle name="40% - Accent2 37 6 2" xfId="16436" xr:uid="{00000000-0005-0000-0000-0000402C0000}"/>
    <cellStyle name="40% - Accent2 37 7" xfId="14442" xr:uid="{00000000-0005-0000-0000-0000412C0000}"/>
    <cellStyle name="40% - Accent2 37 8" xfId="13128" xr:uid="{00000000-0005-0000-0000-0000422C0000}"/>
    <cellStyle name="40% - Accent2 38" xfId="1193" xr:uid="{00000000-0005-0000-0000-0000432C0000}"/>
    <cellStyle name="40% - Accent2 38 2" xfId="4149" xr:uid="{00000000-0005-0000-0000-0000442C0000}"/>
    <cellStyle name="40% - Accent2 38 2 2" xfId="12128" xr:uid="{00000000-0005-0000-0000-0000452C0000}"/>
    <cellStyle name="40% - Accent2 38 2 2 2" xfId="23416" xr:uid="{00000000-0005-0000-0000-0000462C0000}"/>
    <cellStyle name="40% - Accent2 38 2 3" xfId="10134" xr:uid="{00000000-0005-0000-0000-0000472C0000}"/>
    <cellStyle name="40% - Accent2 38 2 3 2" xfId="21422" xr:uid="{00000000-0005-0000-0000-0000482C0000}"/>
    <cellStyle name="40% - Accent2 38 2 4" xfId="8140" xr:uid="{00000000-0005-0000-0000-0000492C0000}"/>
    <cellStyle name="40% - Accent2 38 2 4 2" xfId="19428" xr:uid="{00000000-0005-0000-0000-00004A2C0000}"/>
    <cellStyle name="40% - Accent2 38 2 5" xfId="6146" xr:uid="{00000000-0005-0000-0000-00004B2C0000}"/>
    <cellStyle name="40% - Accent2 38 2 5 2" xfId="17434" xr:uid="{00000000-0005-0000-0000-00004C2C0000}"/>
    <cellStyle name="40% - Accent2 38 2 6" xfId="15440" xr:uid="{00000000-0005-0000-0000-00004D2C0000}"/>
    <cellStyle name="40% - Accent2 38 3" xfId="11131" xr:uid="{00000000-0005-0000-0000-00004E2C0000}"/>
    <cellStyle name="40% - Accent2 38 3 2" xfId="22419" xr:uid="{00000000-0005-0000-0000-00004F2C0000}"/>
    <cellStyle name="40% - Accent2 38 4" xfId="9137" xr:uid="{00000000-0005-0000-0000-0000502C0000}"/>
    <cellStyle name="40% - Accent2 38 4 2" xfId="20425" xr:uid="{00000000-0005-0000-0000-0000512C0000}"/>
    <cellStyle name="40% - Accent2 38 5" xfId="7143" xr:uid="{00000000-0005-0000-0000-0000522C0000}"/>
    <cellStyle name="40% - Accent2 38 5 2" xfId="18431" xr:uid="{00000000-0005-0000-0000-0000532C0000}"/>
    <cellStyle name="40% - Accent2 38 6" xfId="5149" xr:uid="{00000000-0005-0000-0000-0000542C0000}"/>
    <cellStyle name="40% - Accent2 38 6 2" xfId="16437" xr:uid="{00000000-0005-0000-0000-0000552C0000}"/>
    <cellStyle name="40% - Accent2 38 7" xfId="14443" xr:uid="{00000000-0005-0000-0000-0000562C0000}"/>
    <cellStyle name="40% - Accent2 38 8" xfId="13129" xr:uid="{00000000-0005-0000-0000-0000572C0000}"/>
    <cellStyle name="40% - Accent2 39" xfId="1194" xr:uid="{00000000-0005-0000-0000-0000582C0000}"/>
    <cellStyle name="40% - Accent2 39 2" xfId="4150" xr:uid="{00000000-0005-0000-0000-0000592C0000}"/>
    <cellStyle name="40% - Accent2 39 2 2" xfId="12129" xr:uid="{00000000-0005-0000-0000-00005A2C0000}"/>
    <cellStyle name="40% - Accent2 39 2 2 2" xfId="23417" xr:uid="{00000000-0005-0000-0000-00005B2C0000}"/>
    <cellStyle name="40% - Accent2 39 2 3" xfId="10135" xr:uid="{00000000-0005-0000-0000-00005C2C0000}"/>
    <cellStyle name="40% - Accent2 39 2 3 2" xfId="21423" xr:uid="{00000000-0005-0000-0000-00005D2C0000}"/>
    <cellStyle name="40% - Accent2 39 2 4" xfId="8141" xr:uid="{00000000-0005-0000-0000-00005E2C0000}"/>
    <cellStyle name="40% - Accent2 39 2 4 2" xfId="19429" xr:uid="{00000000-0005-0000-0000-00005F2C0000}"/>
    <cellStyle name="40% - Accent2 39 2 5" xfId="6147" xr:uid="{00000000-0005-0000-0000-0000602C0000}"/>
    <cellStyle name="40% - Accent2 39 2 5 2" xfId="17435" xr:uid="{00000000-0005-0000-0000-0000612C0000}"/>
    <cellStyle name="40% - Accent2 39 2 6" xfId="15441" xr:uid="{00000000-0005-0000-0000-0000622C0000}"/>
    <cellStyle name="40% - Accent2 39 3" xfId="11132" xr:uid="{00000000-0005-0000-0000-0000632C0000}"/>
    <cellStyle name="40% - Accent2 39 3 2" xfId="22420" xr:uid="{00000000-0005-0000-0000-0000642C0000}"/>
    <cellStyle name="40% - Accent2 39 4" xfId="9138" xr:uid="{00000000-0005-0000-0000-0000652C0000}"/>
    <cellStyle name="40% - Accent2 39 4 2" xfId="20426" xr:uid="{00000000-0005-0000-0000-0000662C0000}"/>
    <cellStyle name="40% - Accent2 39 5" xfId="7144" xr:uid="{00000000-0005-0000-0000-0000672C0000}"/>
    <cellStyle name="40% - Accent2 39 5 2" xfId="18432" xr:uid="{00000000-0005-0000-0000-0000682C0000}"/>
    <cellStyle name="40% - Accent2 39 6" xfId="5150" xr:uid="{00000000-0005-0000-0000-0000692C0000}"/>
    <cellStyle name="40% - Accent2 39 6 2" xfId="16438" xr:uid="{00000000-0005-0000-0000-00006A2C0000}"/>
    <cellStyle name="40% - Accent2 39 7" xfId="14444" xr:uid="{00000000-0005-0000-0000-00006B2C0000}"/>
    <cellStyle name="40% - Accent2 39 8" xfId="13130" xr:uid="{00000000-0005-0000-0000-00006C2C0000}"/>
    <cellStyle name="40% - Accent2 4" xfId="1195" xr:uid="{00000000-0005-0000-0000-00006D2C0000}"/>
    <cellStyle name="40% - Accent2 4 10" xfId="24603" xr:uid="{00000000-0005-0000-0000-00006E2C0000}"/>
    <cellStyle name="40% - Accent2 4 11" xfId="24993" xr:uid="{00000000-0005-0000-0000-00006F2C0000}"/>
    <cellStyle name="40% - Accent2 4 2" xfId="4151" xr:uid="{00000000-0005-0000-0000-0000702C0000}"/>
    <cellStyle name="40% - Accent2 4 2 2" xfId="12130" xr:uid="{00000000-0005-0000-0000-0000712C0000}"/>
    <cellStyle name="40% - Accent2 4 2 2 2" xfId="23418" xr:uid="{00000000-0005-0000-0000-0000722C0000}"/>
    <cellStyle name="40% - Accent2 4 2 3" xfId="10136" xr:uid="{00000000-0005-0000-0000-0000732C0000}"/>
    <cellStyle name="40% - Accent2 4 2 3 2" xfId="21424" xr:uid="{00000000-0005-0000-0000-0000742C0000}"/>
    <cellStyle name="40% - Accent2 4 2 4" xfId="8142" xr:uid="{00000000-0005-0000-0000-0000752C0000}"/>
    <cellStyle name="40% - Accent2 4 2 4 2" xfId="19430" xr:uid="{00000000-0005-0000-0000-0000762C0000}"/>
    <cellStyle name="40% - Accent2 4 2 5" xfId="6148" xr:uid="{00000000-0005-0000-0000-0000772C0000}"/>
    <cellStyle name="40% - Accent2 4 2 5 2" xfId="17436" xr:uid="{00000000-0005-0000-0000-0000782C0000}"/>
    <cellStyle name="40% - Accent2 4 2 6" xfId="15442" xr:uid="{00000000-0005-0000-0000-0000792C0000}"/>
    <cellStyle name="40% - Accent2 4 2 7" xfId="24364" xr:uid="{00000000-0005-0000-0000-00007A2C0000}"/>
    <cellStyle name="40% - Accent2 4 2 8" xfId="24828" xr:uid="{00000000-0005-0000-0000-00007B2C0000}"/>
    <cellStyle name="40% - Accent2 4 2 9" xfId="25195" xr:uid="{00000000-0005-0000-0000-00007C2C0000}"/>
    <cellStyle name="40% - Accent2 4 3" xfId="11133" xr:uid="{00000000-0005-0000-0000-00007D2C0000}"/>
    <cellStyle name="40% - Accent2 4 3 2" xfId="22421" xr:uid="{00000000-0005-0000-0000-00007E2C0000}"/>
    <cellStyle name="40% - Accent2 4 4" xfId="9139" xr:uid="{00000000-0005-0000-0000-00007F2C0000}"/>
    <cellStyle name="40% - Accent2 4 4 2" xfId="20427" xr:uid="{00000000-0005-0000-0000-0000802C0000}"/>
    <cellStyle name="40% - Accent2 4 5" xfId="7145" xr:uid="{00000000-0005-0000-0000-0000812C0000}"/>
    <cellStyle name="40% - Accent2 4 5 2" xfId="18433" xr:uid="{00000000-0005-0000-0000-0000822C0000}"/>
    <cellStyle name="40% - Accent2 4 6" xfId="5151" xr:uid="{00000000-0005-0000-0000-0000832C0000}"/>
    <cellStyle name="40% - Accent2 4 6 2" xfId="16439" xr:uid="{00000000-0005-0000-0000-0000842C0000}"/>
    <cellStyle name="40% - Accent2 4 7" xfId="14445" xr:uid="{00000000-0005-0000-0000-0000852C0000}"/>
    <cellStyle name="40% - Accent2 4 8" xfId="13131" xr:uid="{00000000-0005-0000-0000-0000862C0000}"/>
    <cellStyle name="40% - Accent2 4 9" xfId="23976" xr:uid="{00000000-0005-0000-0000-0000872C0000}"/>
    <cellStyle name="40% - Accent2 40" xfId="1196" xr:uid="{00000000-0005-0000-0000-0000882C0000}"/>
    <cellStyle name="40% - Accent2 40 2" xfId="4152" xr:uid="{00000000-0005-0000-0000-0000892C0000}"/>
    <cellStyle name="40% - Accent2 40 2 2" xfId="12131" xr:uid="{00000000-0005-0000-0000-00008A2C0000}"/>
    <cellStyle name="40% - Accent2 40 2 2 2" xfId="23419" xr:uid="{00000000-0005-0000-0000-00008B2C0000}"/>
    <cellStyle name="40% - Accent2 40 2 3" xfId="10137" xr:uid="{00000000-0005-0000-0000-00008C2C0000}"/>
    <cellStyle name="40% - Accent2 40 2 3 2" xfId="21425" xr:uid="{00000000-0005-0000-0000-00008D2C0000}"/>
    <cellStyle name="40% - Accent2 40 2 4" xfId="8143" xr:uid="{00000000-0005-0000-0000-00008E2C0000}"/>
    <cellStyle name="40% - Accent2 40 2 4 2" xfId="19431" xr:uid="{00000000-0005-0000-0000-00008F2C0000}"/>
    <cellStyle name="40% - Accent2 40 2 5" xfId="6149" xr:uid="{00000000-0005-0000-0000-0000902C0000}"/>
    <cellStyle name="40% - Accent2 40 2 5 2" xfId="17437" xr:uid="{00000000-0005-0000-0000-0000912C0000}"/>
    <cellStyle name="40% - Accent2 40 2 6" xfId="15443" xr:uid="{00000000-0005-0000-0000-0000922C0000}"/>
    <cellStyle name="40% - Accent2 40 3" xfId="11134" xr:uid="{00000000-0005-0000-0000-0000932C0000}"/>
    <cellStyle name="40% - Accent2 40 3 2" xfId="22422" xr:uid="{00000000-0005-0000-0000-0000942C0000}"/>
    <cellStyle name="40% - Accent2 40 4" xfId="9140" xr:uid="{00000000-0005-0000-0000-0000952C0000}"/>
    <cellStyle name="40% - Accent2 40 4 2" xfId="20428" xr:uid="{00000000-0005-0000-0000-0000962C0000}"/>
    <cellStyle name="40% - Accent2 40 5" xfId="7146" xr:uid="{00000000-0005-0000-0000-0000972C0000}"/>
    <cellStyle name="40% - Accent2 40 5 2" xfId="18434" xr:uid="{00000000-0005-0000-0000-0000982C0000}"/>
    <cellStyle name="40% - Accent2 40 6" xfId="5152" xr:uid="{00000000-0005-0000-0000-0000992C0000}"/>
    <cellStyle name="40% - Accent2 40 6 2" xfId="16440" xr:uid="{00000000-0005-0000-0000-00009A2C0000}"/>
    <cellStyle name="40% - Accent2 40 7" xfId="14446" xr:uid="{00000000-0005-0000-0000-00009B2C0000}"/>
    <cellStyle name="40% - Accent2 40 8" xfId="13132" xr:uid="{00000000-0005-0000-0000-00009C2C0000}"/>
    <cellStyle name="40% - Accent2 41" xfId="1197" xr:uid="{00000000-0005-0000-0000-00009D2C0000}"/>
    <cellStyle name="40% - Accent2 41 2" xfId="4153" xr:uid="{00000000-0005-0000-0000-00009E2C0000}"/>
    <cellStyle name="40% - Accent2 41 2 2" xfId="12132" xr:uid="{00000000-0005-0000-0000-00009F2C0000}"/>
    <cellStyle name="40% - Accent2 41 2 2 2" xfId="23420" xr:uid="{00000000-0005-0000-0000-0000A02C0000}"/>
    <cellStyle name="40% - Accent2 41 2 3" xfId="10138" xr:uid="{00000000-0005-0000-0000-0000A12C0000}"/>
    <cellStyle name="40% - Accent2 41 2 3 2" xfId="21426" xr:uid="{00000000-0005-0000-0000-0000A22C0000}"/>
    <cellStyle name="40% - Accent2 41 2 4" xfId="8144" xr:uid="{00000000-0005-0000-0000-0000A32C0000}"/>
    <cellStyle name="40% - Accent2 41 2 4 2" xfId="19432" xr:uid="{00000000-0005-0000-0000-0000A42C0000}"/>
    <cellStyle name="40% - Accent2 41 2 5" xfId="6150" xr:uid="{00000000-0005-0000-0000-0000A52C0000}"/>
    <cellStyle name="40% - Accent2 41 2 5 2" xfId="17438" xr:uid="{00000000-0005-0000-0000-0000A62C0000}"/>
    <cellStyle name="40% - Accent2 41 2 6" xfId="15444" xr:uid="{00000000-0005-0000-0000-0000A72C0000}"/>
    <cellStyle name="40% - Accent2 41 3" xfId="11135" xr:uid="{00000000-0005-0000-0000-0000A82C0000}"/>
    <cellStyle name="40% - Accent2 41 3 2" xfId="22423" xr:uid="{00000000-0005-0000-0000-0000A92C0000}"/>
    <cellStyle name="40% - Accent2 41 4" xfId="9141" xr:uid="{00000000-0005-0000-0000-0000AA2C0000}"/>
    <cellStyle name="40% - Accent2 41 4 2" xfId="20429" xr:uid="{00000000-0005-0000-0000-0000AB2C0000}"/>
    <cellStyle name="40% - Accent2 41 5" xfId="7147" xr:uid="{00000000-0005-0000-0000-0000AC2C0000}"/>
    <cellStyle name="40% - Accent2 41 5 2" xfId="18435" xr:uid="{00000000-0005-0000-0000-0000AD2C0000}"/>
    <cellStyle name="40% - Accent2 41 6" xfId="5153" xr:uid="{00000000-0005-0000-0000-0000AE2C0000}"/>
    <cellStyle name="40% - Accent2 41 6 2" xfId="16441" xr:uid="{00000000-0005-0000-0000-0000AF2C0000}"/>
    <cellStyle name="40% - Accent2 41 7" xfId="14447" xr:uid="{00000000-0005-0000-0000-0000B02C0000}"/>
    <cellStyle name="40% - Accent2 41 8" xfId="13133" xr:uid="{00000000-0005-0000-0000-0000B12C0000}"/>
    <cellStyle name="40% - Accent2 42" xfId="1198" xr:uid="{00000000-0005-0000-0000-0000B22C0000}"/>
    <cellStyle name="40% - Accent2 42 2" xfId="4154" xr:uid="{00000000-0005-0000-0000-0000B32C0000}"/>
    <cellStyle name="40% - Accent2 42 2 2" xfId="12133" xr:uid="{00000000-0005-0000-0000-0000B42C0000}"/>
    <cellStyle name="40% - Accent2 42 2 2 2" xfId="23421" xr:uid="{00000000-0005-0000-0000-0000B52C0000}"/>
    <cellStyle name="40% - Accent2 42 2 3" xfId="10139" xr:uid="{00000000-0005-0000-0000-0000B62C0000}"/>
    <cellStyle name="40% - Accent2 42 2 3 2" xfId="21427" xr:uid="{00000000-0005-0000-0000-0000B72C0000}"/>
    <cellStyle name="40% - Accent2 42 2 4" xfId="8145" xr:uid="{00000000-0005-0000-0000-0000B82C0000}"/>
    <cellStyle name="40% - Accent2 42 2 4 2" xfId="19433" xr:uid="{00000000-0005-0000-0000-0000B92C0000}"/>
    <cellStyle name="40% - Accent2 42 2 5" xfId="6151" xr:uid="{00000000-0005-0000-0000-0000BA2C0000}"/>
    <cellStyle name="40% - Accent2 42 2 5 2" xfId="17439" xr:uid="{00000000-0005-0000-0000-0000BB2C0000}"/>
    <cellStyle name="40% - Accent2 42 2 6" xfId="15445" xr:uid="{00000000-0005-0000-0000-0000BC2C0000}"/>
    <cellStyle name="40% - Accent2 42 3" xfId="11136" xr:uid="{00000000-0005-0000-0000-0000BD2C0000}"/>
    <cellStyle name="40% - Accent2 42 3 2" xfId="22424" xr:uid="{00000000-0005-0000-0000-0000BE2C0000}"/>
    <cellStyle name="40% - Accent2 42 4" xfId="9142" xr:uid="{00000000-0005-0000-0000-0000BF2C0000}"/>
    <cellStyle name="40% - Accent2 42 4 2" xfId="20430" xr:uid="{00000000-0005-0000-0000-0000C02C0000}"/>
    <cellStyle name="40% - Accent2 42 5" xfId="7148" xr:uid="{00000000-0005-0000-0000-0000C12C0000}"/>
    <cellStyle name="40% - Accent2 42 5 2" xfId="18436" xr:uid="{00000000-0005-0000-0000-0000C22C0000}"/>
    <cellStyle name="40% - Accent2 42 6" xfId="5154" xr:uid="{00000000-0005-0000-0000-0000C32C0000}"/>
    <cellStyle name="40% - Accent2 42 6 2" xfId="16442" xr:uid="{00000000-0005-0000-0000-0000C42C0000}"/>
    <cellStyle name="40% - Accent2 42 7" xfId="14448" xr:uid="{00000000-0005-0000-0000-0000C52C0000}"/>
    <cellStyle name="40% - Accent2 42 8" xfId="13134" xr:uid="{00000000-0005-0000-0000-0000C62C0000}"/>
    <cellStyle name="40% - Accent2 43" xfId="1199" xr:uid="{00000000-0005-0000-0000-0000C72C0000}"/>
    <cellStyle name="40% - Accent2 43 2" xfId="4155" xr:uid="{00000000-0005-0000-0000-0000C82C0000}"/>
    <cellStyle name="40% - Accent2 43 2 2" xfId="12134" xr:uid="{00000000-0005-0000-0000-0000C92C0000}"/>
    <cellStyle name="40% - Accent2 43 2 2 2" xfId="23422" xr:uid="{00000000-0005-0000-0000-0000CA2C0000}"/>
    <cellStyle name="40% - Accent2 43 2 3" xfId="10140" xr:uid="{00000000-0005-0000-0000-0000CB2C0000}"/>
    <cellStyle name="40% - Accent2 43 2 3 2" xfId="21428" xr:uid="{00000000-0005-0000-0000-0000CC2C0000}"/>
    <cellStyle name="40% - Accent2 43 2 4" xfId="8146" xr:uid="{00000000-0005-0000-0000-0000CD2C0000}"/>
    <cellStyle name="40% - Accent2 43 2 4 2" xfId="19434" xr:uid="{00000000-0005-0000-0000-0000CE2C0000}"/>
    <cellStyle name="40% - Accent2 43 2 5" xfId="6152" xr:uid="{00000000-0005-0000-0000-0000CF2C0000}"/>
    <cellStyle name="40% - Accent2 43 2 5 2" xfId="17440" xr:uid="{00000000-0005-0000-0000-0000D02C0000}"/>
    <cellStyle name="40% - Accent2 43 2 6" xfId="15446" xr:uid="{00000000-0005-0000-0000-0000D12C0000}"/>
    <cellStyle name="40% - Accent2 43 3" xfId="11137" xr:uid="{00000000-0005-0000-0000-0000D22C0000}"/>
    <cellStyle name="40% - Accent2 43 3 2" xfId="22425" xr:uid="{00000000-0005-0000-0000-0000D32C0000}"/>
    <cellStyle name="40% - Accent2 43 4" xfId="9143" xr:uid="{00000000-0005-0000-0000-0000D42C0000}"/>
    <cellStyle name="40% - Accent2 43 4 2" xfId="20431" xr:uid="{00000000-0005-0000-0000-0000D52C0000}"/>
    <cellStyle name="40% - Accent2 43 5" xfId="7149" xr:uid="{00000000-0005-0000-0000-0000D62C0000}"/>
    <cellStyle name="40% - Accent2 43 5 2" xfId="18437" xr:uid="{00000000-0005-0000-0000-0000D72C0000}"/>
    <cellStyle name="40% - Accent2 43 6" xfId="5155" xr:uid="{00000000-0005-0000-0000-0000D82C0000}"/>
    <cellStyle name="40% - Accent2 43 6 2" xfId="16443" xr:uid="{00000000-0005-0000-0000-0000D92C0000}"/>
    <cellStyle name="40% - Accent2 43 7" xfId="14449" xr:uid="{00000000-0005-0000-0000-0000DA2C0000}"/>
    <cellStyle name="40% - Accent2 43 8" xfId="13135" xr:uid="{00000000-0005-0000-0000-0000DB2C0000}"/>
    <cellStyle name="40% - Accent2 44" xfId="1200" xr:uid="{00000000-0005-0000-0000-0000DC2C0000}"/>
    <cellStyle name="40% - Accent2 44 2" xfId="4156" xr:uid="{00000000-0005-0000-0000-0000DD2C0000}"/>
    <cellStyle name="40% - Accent2 44 2 2" xfId="12135" xr:uid="{00000000-0005-0000-0000-0000DE2C0000}"/>
    <cellStyle name="40% - Accent2 44 2 2 2" xfId="23423" xr:uid="{00000000-0005-0000-0000-0000DF2C0000}"/>
    <cellStyle name="40% - Accent2 44 2 3" xfId="10141" xr:uid="{00000000-0005-0000-0000-0000E02C0000}"/>
    <cellStyle name="40% - Accent2 44 2 3 2" xfId="21429" xr:uid="{00000000-0005-0000-0000-0000E12C0000}"/>
    <cellStyle name="40% - Accent2 44 2 4" xfId="8147" xr:uid="{00000000-0005-0000-0000-0000E22C0000}"/>
    <cellStyle name="40% - Accent2 44 2 4 2" xfId="19435" xr:uid="{00000000-0005-0000-0000-0000E32C0000}"/>
    <cellStyle name="40% - Accent2 44 2 5" xfId="6153" xr:uid="{00000000-0005-0000-0000-0000E42C0000}"/>
    <cellStyle name="40% - Accent2 44 2 5 2" xfId="17441" xr:uid="{00000000-0005-0000-0000-0000E52C0000}"/>
    <cellStyle name="40% - Accent2 44 2 6" xfId="15447" xr:uid="{00000000-0005-0000-0000-0000E62C0000}"/>
    <cellStyle name="40% - Accent2 44 3" xfId="11138" xr:uid="{00000000-0005-0000-0000-0000E72C0000}"/>
    <cellStyle name="40% - Accent2 44 3 2" xfId="22426" xr:uid="{00000000-0005-0000-0000-0000E82C0000}"/>
    <cellStyle name="40% - Accent2 44 4" xfId="9144" xr:uid="{00000000-0005-0000-0000-0000E92C0000}"/>
    <cellStyle name="40% - Accent2 44 4 2" xfId="20432" xr:uid="{00000000-0005-0000-0000-0000EA2C0000}"/>
    <cellStyle name="40% - Accent2 44 5" xfId="7150" xr:uid="{00000000-0005-0000-0000-0000EB2C0000}"/>
    <cellStyle name="40% - Accent2 44 5 2" xfId="18438" xr:uid="{00000000-0005-0000-0000-0000EC2C0000}"/>
    <cellStyle name="40% - Accent2 44 6" xfId="5156" xr:uid="{00000000-0005-0000-0000-0000ED2C0000}"/>
    <cellStyle name="40% - Accent2 44 6 2" xfId="16444" xr:uid="{00000000-0005-0000-0000-0000EE2C0000}"/>
    <cellStyle name="40% - Accent2 44 7" xfId="14450" xr:uid="{00000000-0005-0000-0000-0000EF2C0000}"/>
    <cellStyle name="40% - Accent2 44 8" xfId="13136" xr:uid="{00000000-0005-0000-0000-0000F02C0000}"/>
    <cellStyle name="40% - Accent2 45" xfId="1201" xr:uid="{00000000-0005-0000-0000-0000F12C0000}"/>
    <cellStyle name="40% - Accent2 45 2" xfId="4157" xr:uid="{00000000-0005-0000-0000-0000F22C0000}"/>
    <cellStyle name="40% - Accent2 45 2 2" xfId="12136" xr:uid="{00000000-0005-0000-0000-0000F32C0000}"/>
    <cellStyle name="40% - Accent2 45 2 2 2" xfId="23424" xr:uid="{00000000-0005-0000-0000-0000F42C0000}"/>
    <cellStyle name="40% - Accent2 45 2 3" xfId="10142" xr:uid="{00000000-0005-0000-0000-0000F52C0000}"/>
    <cellStyle name="40% - Accent2 45 2 3 2" xfId="21430" xr:uid="{00000000-0005-0000-0000-0000F62C0000}"/>
    <cellStyle name="40% - Accent2 45 2 4" xfId="8148" xr:uid="{00000000-0005-0000-0000-0000F72C0000}"/>
    <cellStyle name="40% - Accent2 45 2 4 2" xfId="19436" xr:uid="{00000000-0005-0000-0000-0000F82C0000}"/>
    <cellStyle name="40% - Accent2 45 2 5" xfId="6154" xr:uid="{00000000-0005-0000-0000-0000F92C0000}"/>
    <cellStyle name="40% - Accent2 45 2 5 2" xfId="17442" xr:uid="{00000000-0005-0000-0000-0000FA2C0000}"/>
    <cellStyle name="40% - Accent2 45 2 6" xfId="15448" xr:uid="{00000000-0005-0000-0000-0000FB2C0000}"/>
    <cellStyle name="40% - Accent2 45 3" xfId="11139" xr:uid="{00000000-0005-0000-0000-0000FC2C0000}"/>
    <cellStyle name="40% - Accent2 45 3 2" xfId="22427" xr:uid="{00000000-0005-0000-0000-0000FD2C0000}"/>
    <cellStyle name="40% - Accent2 45 4" xfId="9145" xr:uid="{00000000-0005-0000-0000-0000FE2C0000}"/>
    <cellStyle name="40% - Accent2 45 4 2" xfId="20433" xr:uid="{00000000-0005-0000-0000-0000FF2C0000}"/>
    <cellStyle name="40% - Accent2 45 5" xfId="7151" xr:uid="{00000000-0005-0000-0000-0000002D0000}"/>
    <cellStyle name="40% - Accent2 45 5 2" xfId="18439" xr:uid="{00000000-0005-0000-0000-0000012D0000}"/>
    <cellStyle name="40% - Accent2 45 6" xfId="5157" xr:uid="{00000000-0005-0000-0000-0000022D0000}"/>
    <cellStyle name="40% - Accent2 45 6 2" xfId="16445" xr:uid="{00000000-0005-0000-0000-0000032D0000}"/>
    <cellStyle name="40% - Accent2 45 7" xfId="14451" xr:uid="{00000000-0005-0000-0000-0000042D0000}"/>
    <cellStyle name="40% - Accent2 45 8" xfId="13137" xr:uid="{00000000-0005-0000-0000-0000052D0000}"/>
    <cellStyle name="40% - Accent2 46" xfId="1202" xr:uid="{00000000-0005-0000-0000-0000062D0000}"/>
    <cellStyle name="40% - Accent2 46 2" xfId="4158" xr:uid="{00000000-0005-0000-0000-0000072D0000}"/>
    <cellStyle name="40% - Accent2 46 2 2" xfId="12137" xr:uid="{00000000-0005-0000-0000-0000082D0000}"/>
    <cellStyle name="40% - Accent2 46 2 2 2" xfId="23425" xr:uid="{00000000-0005-0000-0000-0000092D0000}"/>
    <cellStyle name="40% - Accent2 46 2 3" xfId="10143" xr:uid="{00000000-0005-0000-0000-00000A2D0000}"/>
    <cellStyle name="40% - Accent2 46 2 3 2" xfId="21431" xr:uid="{00000000-0005-0000-0000-00000B2D0000}"/>
    <cellStyle name="40% - Accent2 46 2 4" xfId="8149" xr:uid="{00000000-0005-0000-0000-00000C2D0000}"/>
    <cellStyle name="40% - Accent2 46 2 4 2" xfId="19437" xr:uid="{00000000-0005-0000-0000-00000D2D0000}"/>
    <cellStyle name="40% - Accent2 46 2 5" xfId="6155" xr:uid="{00000000-0005-0000-0000-00000E2D0000}"/>
    <cellStyle name="40% - Accent2 46 2 5 2" xfId="17443" xr:uid="{00000000-0005-0000-0000-00000F2D0000}"/>
    <cellStyle name="40% - Accent2 46 2 6" xfId="15449" xr:uid="{00000000-0005-0000-0000-0000102D0000}"/>
    <cellStyle name="40% - Accent2 46 3" xfId="11140" xr:uid="{00000000-0005-0000-0000-0000112D0000}"/>
    <cellStyle name="40% - Accent2 46 3 2" xfId="22428" xr:uid="{00000000-0005-0000-0000-0000122D0000}"/>
    <cellStyle name="40% - Accent2 46 4" xfId="9146" xr:uid="{00000000-0005-0000-0000-0000132D0000}"/>
    <cellStyle name="40% - Accent2 46 4 2" xfId="20434" xr:uid="{00000000-0005-0000-0000-0000142D0000}"/>
    <cellStyle name="40% - Accent2 46 5" xfId="7152" xr:uid="{00000000-0005-0000-0000-0000152D0000}"/>
    <cellStyle name="40% - Accent2 46 5 2" xfId="18440" xr:uid="{00000000-0005-0000-0000-0000162D0000}"/>
    <cellStyle name="40% - Accent2 46 6" xfId="5158" xr:uid="{00000000-0005-0000-0000-0000172D0000}"/>
    <cellStyle name="40% - Accent2 46 6 2" xfId="16446" xr:uid="{00000000-0005-0000-0000-0000182D0000}"/>
    <cellStyle name="40% - Accent2 46 7" xfId="14452" xr:uid="{00000000-0005-0000-0000-0000192D0000}"/>
    <cellStyle name="40% - Accent2 46 8" xfId="13138" xr:uid="{00000000-0005-0000-0000-00001A2D0000}"/>
    <cellStyle name="40% - Accent2 47" xfId="1203" xr:uid="{00000000-0005-0000-0000-00001B2D0000}"/>
    <cellStyle name="40% - Accent2 47 2" xfId="4159" xr:uid="{00000000-0005-0000-0000-00001C2D0000}"/>
    <cellStyle name="40% - Accent2 47 2 2" xfId="12138" xr:uid="{00000000-0005-0000-0000-00001D2D0000}"/>
    <cellStyle name="40% - Accent2 47 2 2 2" xfId="23426" xr:uid="{00000000-0005-0000-0000-00001E2D0000}"/>
    <cellStyle name="40% - Accent2 47 2 3" xfId="10144" xr:uid="{00000000-0005-0000-0000-00001F2D0000}"/>
    <cellStyle name="40% - Accent2 47 2 3 2" xfId="21432" xr:uid="{00000000-0005-0000-0000-0000202D0000}"/>
    <cellStyle name="40% - Accent2 47 2 4" xfId="8150" xr:uid="{00000000-0005-0000-0000-0000212D0000}"/>
    <cellStyle name="40% - Accent2 47 2 4 2" xfId="19438" xr:uid="{00000000-0005-0000-0000-0000222D0000}"/>
    <cellStyle name="40% - Accent2 47 2 5" xfId="6156" xr:uid="{00000000-0005-0000-0000-0000232D0000}"/>
    <cellStyle name="40% - Accent2 47 2 5 2" xfId="17444" xr:uid="{00000000-0005-0000-0000-0000242D0000}"/>
    <cellStyle name="40% - Accent2 47 2 6" xfId="15450" xr:uid="{00000000-0005-0000-0000-0000252D0000}"/>
    <cellStyle name="40% - Accent2 47 3" xfId="11141" xr:uid="{00000000-0005-0000-0000-0000262D0000}"/>
    <cellStyle name="40% - Accent2 47 3 2" xfId="22429" xr:uid="{00000000-0005-0000-0000-0000272D0000}"/>
    <cellStyle name="40% - Accent2 47 4" xfId="9147" xr:uid="{00000000-0005-0000-0000-0000282D0000}"/>
    <cellStyle name="40% - Accent2 47 4 2" xfId="20435" xr:uid="{00000000-0005-0000-0000-0000292D0000}"/>
    <cellStyle name="40% - Accent2 47 5" xfId="7153" xr:uid="{00000000-0005-0000-0000-00002A2D0000}"/>
    <cellStyle name="40% - Accent2 47 5 2" xfId="18441" xr:uid="{00000000-0005-0000-0000-00002B2D0000}"/>
    <cellStyle name="40% - Accent2 47 6" xfId="5159" xr:uid="{00000000-0005-0000-0000-00002C2D0000}"/>
    <cellStyle name="40% - Accent2 47 6 2" xfId="16447" xr:uid="{00000000-0005-0000-0000-00002D2D0000}"/>
    <cellStyle name="40% - Accent2 47 7" xfId="14453" xr:uid="{00000000-0005-0000-0000-00002E2D0000}"/>
    <cellStyle name="40% - Accent2 47 8" xfId="13139" xr:uid="{00000000-0005-0000-0000-00002F2D0000}"/>
    <cellStyle name="40% - Accent2 48" xfId="1204" xr:uid="{00000000-0005-0000-0000-0000302D0000}"/>
    <cellStyle name="40% - Accent2 48 2" xfId="4160" xr:uid="{00000000-0005-0000-0000-0000312D0000}"/>
    <cellStyle name="40% - Accent2 48 2 2" xfId="12139" xr:uid="{00000000-0005-0000-0000-0000322D0000}"/>
    <cellStyle name="40% - Accent2 48 2 2 2" xfId="23427" xr:uid="{00000000-0005-0000-0000-0000332D0000}"/>
    <cellStyle name="40% - Accent2 48 2 3" xfId="10145" xr:uid="{00000000-0005-0000-0000-0000342D0000}"/>
    <cellStyle name="40% - Accent2 48 2 3 2" xfId="21433" xr:uid="{00000000-0005-0000-0000-0000352D0000}"/>
    <cellStyle name="40% - Accent2 48 2 4" xfId="8151" xr:uid="{00000000-0005-0000-0000-0000362D0000}"/>
    <cellStyle name="40% - Accent2 48 2 4 2" xfId="19439" xr:uid="{00000000-0005-0000-0000-0000372D0000}"/>
    <cellStyle name="40% - Accent2 48 2 5" xfId="6157" xr:uid="{00000000-0005-0000-0000-0000382D0000}"/>
    <cellStyle name="40% - Accent2 48 2 5 2" xfId="17445" xr:uid="{00000000-0005-0000-0000-0000392D0000}"/>
    <cellStyle name="40% - Accent2 48 2 6" xfId="15451" xr:uid="{00000000-0005-0000-0000-00003A2D0000}"/>
    <cellStyle name="40% - Accent2 48 3" xfId="11142" xr:uid="{00000000-0005-0000-0000-00003B2D0000}"/>
    <cellStyle name="40% - Accent2 48 3 2" xfId="22430" xr:uid="{00000000-0005-0000-0000-00003C2D0000}"/>
    <cellStyle name="40% - Accent2 48 4" xfId="9148" xr:uid="{00000000-0005-0000-0000-00003D2D0000}"/>
    <cellStyle name="40% - Accent2 48 4 2" xfId="20436" xr:uid="{00000000-0005-0000-0000-00003E2D0000}"/>
    <cellStyle name="40% - Accent2 48 5" xfId="7154" xr:uid="{00000000-0005-0000-0000-00003F2D0000}"/>
    <cellStyle name="40% - Accent2 48 5 2" xfId="18442" xr:uid="{00000000-0005-0000-0000-0000402D0000}"/>
    <cellStyle name="40% - Accent2 48 6" xfId="5160" xr:uid="{00000000-0005-0000-0000-0000412D0000}"/>
    <cellStyle name="40% - Accent2 48 6 2" xfId="16448" xr:uid="{00000000-0005-0000-0000-0000422D0000}"/>
    <cellStyle name="40% - Accent2 48 7" xfId="14454" xr:uid="{00000000-0005-0000-0000-0000432D0000}"/>
    <cellStyle name="40% - Accent2 48 8" xfId="13140" xr:uid="{00000000-0005-0000-0000-0000442D0000}"/>
    <cellStyle name="40% - Accent2 49" xfId="1205" xr:uid="{00000000-0005-0000-0000-0000452D0000}"/>
    <cellStyle name="40% - Accent2 49 2" xfId="4161" xr:uid="{00000000-0005-0000-0000-0000462D0000}"/>
    <cellStyle name="40% - Accent2 49 2 2" xfId="12140" xr:uid="{00000000-0005-0000-0000-0000472D0000}"/>
    <cellStyle name="40% - Accent2 49 2 2 2" xfId="23428" xr:uid="{00000000-0005-0000-0000-0000482D0000}"/>
    <cellStyle name="40% - Accent2 49 2 3" xfId="10146" xr:uid="{00000000-0005-0000-0000-0000492D0000}"/>
    <cellStyle name="40% - Accent2 49 2 3 2" xfId="21434" xr:uid="{00000000-0005-0000-0000-00004A2D0000}"/>
    <cellStyle name="40% - Accent2 49 2 4" xfId="8152" xr:uid="{00000000-0005-0000-0000-00004B2D0000}"/>
    <cellStyle name="40% - Accent2 49 2 4 2" xfId="19440" xr:uid="{00000000-0005-0000-0000-00004C2D0000}"/>
    <cellStyle name="40% - Accent2 49 2 5" xfId="6158" xr:uid="{00000000-0005-0000-0000-00004D2D0000}"/>
    <cellStyle name="40% - Accent2 49 2 5 2" xfId="17446" xr:uid="{00000000-0005-0000-0000-00004E2D0000}"/>
    <cellStyle name="40% - Accent2 49 2 6" xfId="15452" xr:uid="{00000000-0005-0000-0000-00004F2D0000}"/>
    <cellStyle name="40% - Accent2 49 3" xfId="11143" xr:uid="{00000000-0005-0000-0000-0000502D0000}"/>
    <cellStyle name="40% - Accent2 49 3 2" xfId="22431" xr:uid="{00000000-0005-0000-0000-0000512D0000}"/>
    <cellStyle name="40% - Accent2 49 4" xfId="9149" xr:uid="{00000000-0005-0000-0000-0000522D0000}"/>
    <cellStyle name="40% - Accent2 49 4 2" xfId="20437" xr:uid="{00000000-0005-0000-0000-0000532D0000}"/>
    <cellStyle name="40% - Accent2 49 5" xfId="7155" xr:uid="{00000000-0005-0000-0000-0000542D0000}"/>
    <cellStyle name="40% - Accent2 49 5 2" xfId="18443" xr:uid="{00000000-0005-0000-0000-0000552D0000}"/>
    <cellStyle name="40% - Accent2 49 6" xfId="5161" xr:uid="{00000000-0005-0000-0000-0000562D0000}"/>
    <cellStyle name="40% - Accent2 49 6 2" xfId="16449" xr:uid="{00000000-0005-0000-0000-0000572D0000}"/>
    <cellStyle name="40% - Accent2 49 7" xfId="14455" xr:uid="{00000000-0005-0000-0000-0000582D0000}"/>
    <cellStyle name="40% - Accent2 49 8" xfId="13141" xr:uid="{00000000-0005-0000-0000-0000592D0000}"/>
    <cellStyle name="40% - Accent2 5" xfId="1206" xr:uid="{00000000-0005-0000-0000-00005A2D0000}"/>
    <cellStyle name="40% - Accent2 5 10" xfId="24604" xr:uid="{00000000-0005-0000-0000-00005B2D0000}"/>
    <cellStyle name="40% - Accent2 5 11" xfId="24994" xr:uid="{00000000-0005-0000-0000-00005C2D0000}"/>
    <cellStyle name="40% - Accent2 5 2" xfId="4162" xr:uid="{00000000-0005-0000-0000-00005D2D0000}"/>
    <cellStyle name="40% - Accent2 5 2 2" xfId="12141" xr:uid="{00000000-0005-0000-0000-00005E2D0000}"/>
    <cellStyle name="40% - Accent2 5 2 2 2" xfId="23429" xr:uid="{00000000-0005-0000-0000-00005F2D0000}"/>
    <cellStyle name="40% - Accent2 5 2 3" xfId="10147" xr:uid="{00000000-0005-0000-0000-0000602D0000}"/>
    <cellStyle name="40% - Accent2 5 2 3 2" xfId="21435" xr:uid="{00000000-0005-0000-0000-0000612D0000}"/>
    <cellStyle name="40% - Accent2 5 2 4" xfId="8153" xr:uid="{00000000-0005-0000-0000-0000622D0000}"/>
    <cellStyle name="40% - Accent2 5 2 4 2" xfId="19441" xr:uid="{00000000-0005-0000-0000-0000632D0000}"/>
    <cellStyle name="40% - Accent2 5 2 5" xfId="6159" xr:uid="{00000000-0005-0000-0000-0000642D0000}"/>
    <cellStyle name="40% - Accent2 5 2 5 2" xfId="17447" xr:uid="{00000000-0005-0000-0000-0000652D0000}"/>
    <cellStyle name="40% - Accent2 5 2 6" xfId="15453" xr:uid="{00000000-0005-0000-0000-0000662D0000}"/>
    <cellStyle name="40% - Accent2 5 2 7" xfId="24365" xr:uid="{00000000-0005-0000-0000-0000672D0000}"/>
    <cellStyle name="40% - Accent2 5 2 8" xfId="24829" xr:uid="{00000000-0005-0000-0000-0000682D0000}"/>
    <cellStyle name="40% - Accent2 5 2 9" xfId="25196" xr:uid="{00000000-0005-0000-0000-0000692D0000}"/>
    <cellStyle name="40% - Accent2 5 3" xfId="11144" xr:uid="{00000000-0005-0000-0000-00006A2D0000}"/>
    <cellStyle name="40% - Accent2 5 3 2" xfId="22432" xr:uid="{00000000-0005-0000-0000-00006B2D0000}"/>
    <cellStyle name="40% - Accent2 5 4" xfId="9150" xr:uid="{00000000-0005-0000-0000-00006C2D0000}"/>
    <cellStyle name="40% - Accent2 5 4 2" xfId="20438" xr:uid="{00000000-0005-0000-0000-00006D2D0000}"/>
    <cellStyle name="40% - Accent2 5 5" xfId="7156" xr:uid="{00000000-0005-0000-0000-00006E2D0000}"/>
    <cellStyle name="40% - Accent2 5 5 2" xfId="18444" xr:uid="{00000000-0005-0000-0000-00006F2D0000}"/>
    <cellStyle name="40% - Accent2 5 6" xfId="5162" xr:uid="{00000000-0005-0000-0000-0000702D0000}"/>
    <cellStyle name="40% - Accent2 5 6 2" xfId="16450" xr:uid="{00000000-0005-0000-0000-0000712D0000}"/>
    <cellStyle name="40% - Accent2 5 7" xfId="14456" xr:uid="{00000000-0005-0000-0000-0000722D0000}"/>
    <cellStyle name="40% - Accent2 5 8" xfId="13142" xr:uid="{00000000-0005-0000-0000-0000732D0000}"/>
    <cellStyle name="40% - Accent2 5 9" xfId="23977" xr:uid="{00000000-0005-0000-0000-0000742D0000}"/>
    <cellStyle name="40% - Accent2 50" xfId="1207" xr:uid="{00000000-0005-0000-0000-0000752D0000}"/>
    <cellStyle name="40% - Accent2 50 2" xfId="4163" xr:uid="{00000000-0005-0000-0000-0000762D0000}"/>
    <cellStyle name="40% - Accent2 50 2 2" xfId="12142" xr:uid="{00000000-0005-0000-0000-0000772D0000}"/>
    <cellStyle name="40% - Accent2 50 2 2 2" xfId="23430" xr:uid="{00000000-0005-0000-0000-0000782D0000}"/>
    <cellStyle name="40% - Accent2 50 2 3" xfId="10148" xr:uid="{00000000-0005-0000-0000-0000792D0000}"/>
    <cellStyle name="40% - Accent2 50 2 3 2" xfId="21436" xr:uid="{00000000-0005-0000-0000-00007A2D0000}"/>
    <cellStyle name="40% - Accent2 50 2 4" xfId="8154" xr:uid="{00000000-0005-0000-0000-00007B2D0000}"/>
    <cellStyle name="40% - Accent2 50 2 4 2" xfId="19442" xr:uid="{00000000-0005-0000-0000-00007C2D0000}"/>
    <cellStyle name="40% - Accent2 50 2 5" xfId="6160" xr:uid="{00000000-0005-0000-0000-00007D2D0000}"/>
    <cellStyle name="40% - Accent2 50 2 5 2" xfId="17448" xr:uid="{00000000-0005-0000-0000-00007E2D0000}"/>
    <cellStyle name="40% - Accent2 50 2 6" xfId="15454" xr:uid="{00000000-0005-0000-0000-00007F2D0000}"/>
    <cellStyle name="40% - Accent2 50 3" xfId="11145" xr:uid="{00000000-0005-0000-0000-0000802D0000}"/>
    <cellStyle name="40% - Accent2 50 3 2" xfId="22433" xr:uid="{00000000-0005-0000-0000-0000812D0000}"/>
    <cellStyle name="40% - Accent2 50 4" xfId="9151" xr:uid="{00000000-0005-0000-0000-0000822D0000}"/>
    <cellStyle name="40% - Accent2 50 4 2" xfId="20439" xr:uid="{00000000-0005-0000-0000-0000832D0000}"/>
    <cellStyle name="40% - Accent2 50 5" xfId="7157" xr:uid="{00000000-0005-0000-0000-0000842D0000}"/>
    <cellStyle name="40% - Accent2 50 5 2" xfId="18445" xr:uid="{00000000-0005-0000-0000-0000852D0000}"/>
    <cellStyle name="40% - Accent2 50 6" xfId="5163" xr:uid="{00000000-0005-0000-0000-0000862D0000}"/>
    <cellStyle name="40% - Accent2 50 6 2" xfId="16451" xr:uid="{00000000-0005-0000-0000-0000872D0000}"/>
    <cellStyle name="40% - Accent2 50 7" xfId="14457" xr:uid="{00000000-0005-0000-0000-0000882D0000}"/>
    <cellStyle name="40% - Accent2 50 8" xfId="13143" xr:uid="{00000000-0005-0000-0000-0000892D0000}"/>
    <cellStyle name="40% - Accent2 51" xfId="1208" xr:uid="{00000000-0005-0000-0000-00008A2D0000}"/>
    <cellStyle name="40% - Accent2 51 2" xfId="4164" xr:uid="{00000000-0005-0000-0000-00008B2D0000}"/>
    <cellStyle name="40% - Accent2 51 2 2" xfId="12143" xr:uid="{00000000-0005-0000-0000-00008C2D0000}"/>
    <cellStyle name="40% - Accent2 51 2 2 2" xfId="23431" xr:uid="{00000000-0005-0000-0000-00008D2D0000}"/>
    <cellStyle name="40% - Accent2 51 2 3" xfId="10149" xr:uid="{00000000-0005-0000-0000-00008E2D0000}"/>
    <cellStyle name="40% - Accent2 51 2 3 2" xfId="21437" xr:uid="{00000000-0005-0000-0000-00008F2D0000}"/>
    <cellStyle name="40% - Accent2 51 2 4" xfId="8155" xr:uid="{00000000-0005-0000-0000-0000902D0000}"/>
    <cellStyle name="40% - Accent2 51 2 4 2" xfId="19443" xr:uid="{00000000-0005-0000-0000-0000912D0000}"/>
    <cellStyle name="40% - Accent2 51 2 5" xfId="6161" xr:uid="{00000000-0005-0000-0000-0000922D0000}"/>
    <cellStyle name="40% - Accent2 51 2 5 2" xfId="17449" xr:uid="{00000000-0005-0000-0000-0000932D0000}"/>
    <cellStyle name="40% - Accent2 51 2 6" xfId="15455" xr:uid="{00000000-0005-0000-0000-0000942D0000}"/>
    <cellStyle name="40% - Accent2 51 3" xfId="11146" xr:uid="{00000000-0005-0000-0000-0000952D0000}"/>
    <cellStyle name="40% - Accent2 51 3 2" xfId="22434" xr:uid="{00000000-0005-0000-0000-0000962D0000}"/>
    <cellStyle name="40% - Accent2 51 4" xfId="9152" xr:uid="{00000000-0005-0000-0000-0000972D0000}"/>
    <cellStyle name="40% - Accent2 51 4 2" xfId="20440" xr:uid="{00000000-0005-0000-0000-0000982D0000}"/>
    <cellStyle name="40% - Accent2 51 5" xfId="7158" xr:uid="{00000000-0005-0000-0000-0000992D0000}"/>
    <cellStyle name="40% - Accent2 51 5 2" xfId="18446" xr:uid="{00000000-0005-0000-0000-00009A2D0000}"/>
    <cellStyle name="40% - Accent2 51 6" xfId="5164" xr:uid="{00000000-0005-0000-0000-00009B2D0000}"/>
    <cellStyle name="40% - Accent2 51 6 2" xfId="16452" xr:uid="{00000000-0005-0000-0000-00009C2D0000}"/>
    <cellStyle name="40% - Accent2 51 7" xfId="14458" xr:uid="{00000000-0005-0000-0000-00009D2D0000}"/>
    <cellStyle name="40% - Accent2 51 8" xfId="13144" xr:uid="{00000000-0005-0000-0000-00009E2D0000}"/>
    <cellStyle name="40% - Accent2 52" xfId="1209" xr:uid="{00000000-0005-0000-0000-00009F2D0000}"/>
    <cellStyle name="40% - Accent2 52 2" xfId="4165" xr:uid="{00000000-0005-0000-0000-0000A02D0000}"/>
    <cellStyle name="40% - Accent2 52 2 2" xfId="12144" xr:uid="{00000000-0005-0000-0000-0000A12D0000}"/>
    <cellStyle name="40% - Accent2 52 2 2 2" xfId="23432" xr:uid="{00000000-0005-0000-0000-0000A22D0000}"/>
    <cellStyle name="40% - Accent2 52 2 3" xfId="10150" xr:uid="{00000000-0005-0000-0000-0000A32D0000}"/>
    <cellStyle name="40% - Accent2 52 2 3 2" xfId="21438" xr:uid="{00000000-0005-0000-0000-0000A42D0000}"/>
    <cellStyle name="40% - Accent2 52 2 4" xfId="8156" xr:uid="{00000000-0005-0000-0000-0000A52D0000}"/>
    <cellStyle name="40% - Accent2 52 2 4 2" xfId="19444" xr:uid="{00000000-0005-0000-0000-0000A62D0000}"/>
    <cellStyle name="40% - Accent2 52 2 5" xfId="6162" xr:uid="{00000000-0005-0000-0000-0000A72D0000}"/>
    <cellStyle name="40% - Accent2 52 2 5 2" xfId="17450" xr:uid="{00000000-0005-0000-0000-0000A82D0000}"/>
    <cellStyle name="40% - Accent2 52 2 6" xfId="15456" xr:uid="{00000000-0005-0000-0000-0000A92D0000}"/>
    <cellStyle name="40% - Accent2 52 3" xfId="11147" xr:uid="{00000000-0005-0000-0000-0000AA2D0000}"/>
    <cellStyle name="40% - Accent2 52 3 2" xfId="22435" xr:uid="{00000000-0005-0000-0000-0000AB2D0000}"/>
    <cellStyle name="40% - Accent2 52 4" xfId="9153" xr:uid="{00000000-0005-0000-0000-0000AC2D0000}"/>
    <cellStyle name="40% - Accent2 52 4 2" xfId="20441" xr:uid="{00000000-0005-0000-0000-0000AD2D0000}"/>
    <cellStyle name="40% - Accent2 52 5" xfId="7159" xr:uid="{00000000-0005-0000-0000-0000AE2D0000}"/>
    <cellStyle name="40% - Accent2 52 5 2" xfId="18447" xr:uid="{00000000-0005-0000-0000-0000AF2D0000}"/>
    <cellStyle name="40% - Accent2 52 6" xfId="5165" xr:uid="{00000000-0005-0000-0000-0000B02D0000}"/>
    <cellStyle name="40% - Accent2 52 6 2" xfId="16453" xr:uid="{00000000-0005-0000-0000-0000B12D0000}"/>
    <cellStyle name="40% - Accent2 52 7" xfId="14459" xr:uid="{00000000-0005-0000-0000-0000B22D0000}"/>
    <cellStyle name="40% - Accent2 52 8" xfId="13145" xr:uid="{00000000-0005-0000-0000-0000B32D0000}"/>
    <cellStyle name="40% - Accent2 53" xfId="1210" xr:uid="{00000000-0005-0000-0000-0000B42D0000}"/>
    <cellStyle name="40% - Accent2 53 2" xfId="4166" xr:uid="{00000000-0005-0000-0000-0000B52D0000}"/>
    <cellStyle name="40% - Accent2 53 2 2" xfId="12145" xr:uid="{00000000-0005-0000-0000-0000B62D0000}"/>
    <cellStyle name="40% - Accent2 53 2 2 2" xfId="23433" xr:uid="{00000000-0005-0000-0000-0000B72D0000}"/>
    <cellStyle name="40% - Accent2 53 2 3" xfId="10151" xr:uid="{00000000-0005-0000-0000-0000B82D0000}"/>
    <cellStyle name="40% - Accent2 53 2 3 2" xfId="21439" xr:uid="{00000000-0005-0000-0000-0000B92D0000}"/>
    <cellStyle name="40% - Accent2 53 2 4" xfId="8157" xr:uid="{00000000-0005-0000-0000-0000BA2D0000}"/>
    <cellStyle name="40% - Accent2 53 2 4 2" xfId="19445" xr:uid="{00000000-0005-0000-0000-0000BB2D0000}"/>
    <cellStyle name="40% - Accent2 53 2 5" xfId="6163" xr:uid="{00000000-0005-0000-0000-0000BC2D0000}"/>
    <cellStyle name="40% - Accent2 53 2 5 2" xfId="17451" xr:uid="{00000000-0005-0000-0000-0000BD2D0000}"/>
    <cellStyle name="40% - Accent2 53 2 6" xfId="15457" xr:uid="{00000000-0005-0000-0000-0000BE2D0000}"/>
    <cellStyle name="40% - Accent2 53 3" xfId="11148" xr:uid="{00000000-0005-0000-0000-0000BF2D0000}"/>
    <cellStyle name="40% - Accent2 53 3 2" xfId="22436" xr:uid="{00000000-0005-0000-0000-0000C02D0000}"/>
    <cellStyle name="40% - Accent2 53 4" xfId="9154" xr:uid="{00000000-0005-0000-0000-0000C12D0000}"/>
    <cellStyle name="40% - Accent2 53 4 2" xfId="20442" xr:uid="{00000000-0005-0000-0000-0000C22D0000}"/>
    <cellStyle name="40% - Accent2 53 5" xfId="7160" xr:uid="{00000000-0005-0000-0000-0000C32D0000}"/>
    <cellStyle name="40% - Accent2 53 5 2" xfId="18448" xr:uid="{00000000-0005-0000-0000-0000C42D0000}"/>
    <cellStyle name="40% - Accent2 53 6" xfId="5166" xr:uid="{00000000-0005-0000-0000-0000C52D0000}"/>
    <cellStyle name="40% - Accent2 53 6 2" xfId="16454" xr:uid="{00000000-0005-0000-0000-0000C62D0000}"/>
    <cellStyle name="40% - Accent2 53 7" xfId="14460" xr:uid="{00000000-0005-0000-0000-0000C72D0000}"/>
    <cellStyle name="40% - Accent2 53 8" xfId="13146" xr:uid="{00000000-0005-0000-0000-0000C82D0000}"/>
    <cellStyle name="40% - Accent2 54" xfId="1211" xr:uid="{00000000-0005-0000-0000-0000C92D0000}"/>
    <cellStyle name="40% - Accent2 54 2" xfId="4167" xr:uid="{00000000-0005-0000-0000-0000CA2D0000}"/>
    <cellStyle name="40% - Accent2 54 2 2" xfId="12146" xr:uid="{00000000-0005-0000-0000-0000CB2D0000}"/>
    <cellStyle name="40% - Accent2 54 2 2 2" xfId="23434" xr:uid="{00000000-0005-0000-0000-0000CC2D0000}"/>
    <cellStyle name="40% - Accent2 54 2 3" xfId="10152" xr:uid="{00000000-0005-0000-0000-0000CD2D0000}"/>
    <cellStyle name="40% - Accent2 54 2 3 2" xfId="21440" xr:uid="{00000000-0005-0000-0000-0000CE2D0000}"/>
    <cellStyle name="40% - Accent2 54 2 4" xfId="8158" xr:uid="{00000000-0005-0000-0000-0000CF2D0000}"/>
    <cellStyle name="40% - Accent2 54 2 4 2" xfId="19446" xr:uid="{00000000-0005-0000-0000-0000D02D0000}"/>
    <cellStyle name="40% - Accent2 54 2 5" xfId="6164" xr:uid="{00000000-0005-0000-0000-0000D12D0000}"/>
    <cellStyle name="40% - Accent2 54 2 5 2" xfId="17452" xr:uid="{00000000-0005-0000-0000-0000D22D0000}"/>
    <cellStyle name="40% - Accent2 54 2 6" xfId="15458" xr:uid="{00000000-0005-0000-0000-0000D32D0000}"/>
    <cellStyle name="40% - Accent2 54 3" xfId="11149" xr:uid="{00000000-0005-0000-0000-0000D42D0000}"/>
    <cellStyle name="40% - Accent2 54 3 2" xfId="22437" xr:uid="{00000000-0005-0000-0000-0000D52D0000}"/>
    <cellStyle name="40% - Accent2 54 4" xfId="9155" xr:uid="{00000000-0005-0000-0000-0000D62D0000}"/>
    <cellStyle name="40% - Accent2 54 4 2" xfId="20443" xr:uid="{00000000-0005-0000-0000-0000D72D0000}"/>
    <cellStyle name="40% - Accent2 54 5" xfId="7161" xr:uid="{00000000-0005-0000-0000-0000D82D0000}"/>
    <cellStyle name="40% - Accent2 54 5 2" xfId="18449" xr:uid="{00000000-0005-0000-0000-0000D92D0000}"/>
    <cellStyle name="40% - Accent2 54 6" xfId="5167" xr:uid="{00000000-0005-0000-0000-0000DA2D0000}"/>
    <cellStyle name="40% - Accent2 54 6 2" xfId="16455" xr:uid="{00000000-0005-0000-0000-0000DB2D0000}"/>
    <cellStyle name="40% - Accent2 54 7" xfId="14461" xr:uid="{00000000-0005-0000-0000-0000DC2D0000}"/>
    <cellStyle name="40% - Accent2 54 8" xfId="13147" xr:uid="{00000000-0005-0000-0000-0000DD2D0000}"/>
    <cellStyle name="40% - Accent2 55" xfId="1212" xr:uid="{00000000-0005-0000-0000-0000DE2D0000}"/>
    <cellStyle name="40% - Accent2 55 2" xfId="4168" xr:uid="{00000000-0005-0000-0000-0000DF2D0000}"/>
    <cellStyle name="40% - Accent2 55 2 2" xfId="12147" xr:uid="{00000000-0005-0000-0000-0000E02D0000}"/>
    <cellStyle name="40% - Accent2 55 2 2 2" xfId="23435" xr:uid="{00000000-0005-0000-0000-0000E12D0000}"/>
    <cellStyle name="40% - Accent2 55 2 3" xfId="10153" xr:uid="{00000000-0005-0000-0000-0000E22D0000}"/>
    <cellStyle name="40% - Accent2 55 2 3 2" xfId="21441" xr:uid="{00000000-0005-0000-0000-0000E32D0000}"/>
    <cellStyle name="40% - Accent2 55 2 4" xfId="8159" xr:uid="{00000000-0005-0000-0000-0000E42D0000}"/>
    <cellStyle name="40% - Accent2 55 2 4 2" xfId="19447" xr:uid="{00000000-0005-0000-0000-0000E52D0000}"/>
    <cellStyle name="40% - Accent2 55 2 5" xfId="6165" xr:uid="{00000000-0005-0000-0000-0000E62D0000}"/>
    <cellStyle name="40% - Accent2 55 2 5 2" xfId="17453" xr:uid="{00000000-0005-0000-0000-0000E72D0000}"/>
    <cellStyle name="40% - Accent2 55 2 6" xfId="15459" xr:uid="{00000000-0005-0000-0000-0000E82D0000}"/>
    <cellStyle name="40% - Accent2 55 3" xfId="11150" xr:uid="{00000000-0005-0000-0000-0000E92D0000}"/>
    <cellStyle name="40% - Accent2 55 3 2" xfId="22438" xr:uid="{00000000-0005-0000-0000-0000EA2D0000}"/>
    <cellStyle name="40% - Accent2 55 4" xfId="9156" xr:uid="{00000000-0005-0000-0000-0000EB2D0000}"/>
    <cellStyle name="40% - Accent2 55 4 2" xfId="20444" xr:uid="{00000000-0005-0000-0000-0000EC2D0000}"/>
    <cellStyle name="40% - Accent2 55 5" xfId="7162" xr:uid="{00000000-0005-0000-0000-0000ED2D0000}"/>
    <cellStyle name="40% - Accent2 55 5 2" xfId="18450" xr:uid="{00000000-0005-0000-0000-0000EE2D0000}"/>
    <cellStyle name="40% - Accent2 55 6" xfId="5168" xr:uid="{00000000-0005-0000-0000-0000EF2D0000}"/>
    <cellStyle name="40% - Accent2 55 6 2" xfId="16456" xr:uid="{00000000-0005-0000-0000-0000F02D0000}"/>
    <cellStyle name="40% - Accent2 55 7" xfId="14462" xr:uid="{00000000-0005-0000-0000-0000F12D0000}"/>
    <cellStyle name="40% - Accent2 55 8" xfId="13148" xr:uid="{00000000-0005-0000-0000-0000F22D0000}"/>
    <cellStyle name="40% - Accent2 56" xfId="1213" xr:uid="{00000000-0005-0000-0000-0000F32D0000}"/>
    <cellStyle name="40% - Accent2 56 2" xfId="4169" xr:uid="{00000000-0005-0000-0000-0000F42D0000}"/>
    <cellStyle name="40% - Accent2 56 2 2" xfId="12148" xr:uid="{00000000-0005-0000-0000-0000F52D0000}"/>
    <cellStyle name="40% - Accent2 56 2 2 2" xfId="23436" xr:uid="{00000000-0005-0000-0000-0000F62D0000}"/>
    <cellStyle name="40% - Accent2 56 2 3" xfId="10154" xr:uid="{00000000-0005-0000-0000-0000F72D0000}"/>
    <cellStyle name="40% - Accent2 56 2 3 2" xfId="21442" xr:uid="{00000000-0005-0000-0000-0000F82D0000}"/>
    <cellStyle name="40% - Accent2 56 2 4" xfId="8160" xr:uid="{00000000-0005-0000-0000-0000F92D0000}"/>
    <cellStyle name="40% - Accent2 56 2 4 2" xfId="19448" xr:uid="{00000000-0005-0000-0000-0000FA2D0000}"/>
    <cellStyle name="40% - Accent2 56 2 5" xfId="6166" xr:uid="{00000000-0005-0000-0000-0000FB2D0000}"/>
    <cellStyle name="40% - Accent2 56 2 5 2" xfId="17454" xr:uid="{00000000-0005-0000-0000-0000FC2D0000}"/>
    <cellStyle name="40% - Accent2 56 2 6" xfId="15460" xr:uid="{00000000-0005-0000-0000-0000FD2D0000}"/>
    <cellStyle name="40% - Accent2 56 3" xfId="11151" xr:uid="{00000000-0005-0000-0000-0000FE2D0000}"/>
    <cellStyle name="40% - Accent2 56 3 2" xfId="22439" xr:uid="{00000000-0005-0000-0000-0000FF2D0000}"/>
    <cellStyle name="40% - Accent2 56 4" xfId="9157" xr:uid="{00000000-0005-0000-0000-0000002E0000}"/>
    <cellStyle name="40% - Accent2 56 4 2" xfId="20445" xr:uid="{00000000-0005-0000-0000-0000012E0000}"/>
    <cellStyle name="40% - Accent2 56 5" xfId="7163" xr:uid="{00000000-0005-0000-0000-0000022E0000}"/>
    <cellStyle name="40% - Accent2 56 5 2" xfId="18451" xr:uid="{00000000-0005-0000-0000-0000032E0000}"/>
    <cellStyle name="40% - Accent2 56 6" xfId="5169" xr:uid="{00000000-0005-0000-0000-0000042E0000}"/>
    <cellStyle name="40% - Accent2 56 6 2" xfId="16457" xr:uid="{00000000-0005-0000-0000-0000052E0000}"/>
    <cellStyle name="40% - Accent2 56 7" xfId="14463" xr:uid="{00000000-0005-0000-0000-0000062E0000}"/>
    <cellStyle name="40% - Accent2 56 8" xfId="13149" xr:uid="{00000000-0005-0000-0000-0000072E0000}"/>
    <cellStyle name="40% - Accent2 57" xfId="1214" xr:uid="{00000000-0005-0000-0000-0000082E0000}"/>
    <cellStyle name="40% - Accent2 57 2" xfId="4170" xr:uid="{00000000-0005-0000-0000-0000092E0000}"/>
    <cellStyle name="40% - Accent2 57 2 2" xfId="12149" xr:uid="{00000000-0005-0000-0000-00000A2E0000}"/>
    <cellStyle name="40% - Accent2 57 2 2 2" xfId="23437" xr:uid="{00000000-0005-0000-0000-00000B2E0000}"/>
    <cellStyle name="40% - Accent2 57 2 3" xfId="10155" xr:uid="{00000000-0005-0000-0000-00000C2E0000}"/>
    <cellStyle name="40% - Accent2 57 2 3 2" xfId="21443" xr:uid="{00000000-0005-0000-0000-00000D2E0000}"/>
    <cellStyle name="40% - Accent2 57 2 4" xfId="8161" xr:uid="{00000000-0005-0000-0000-00000E2E0000}"/>
    <cellStyle name="40% - Accent2 57 2 4 2" xfId="19449" xr:uid="{00000000-0005-0000-0000-00000F2E0000}"/>
    <cellStyle name="40% - Accent2 57 2 5" xfId="6167" xr:uid="{00000000-0005-0000-0000-0000102E0000}"/>
    <cellStyle name="40% - Accent2 57 2 5 2" xfId="17455" xr:uid="{00000000-0005-0000-0000-0000112E0000}"/>
    <cellStyle name="40% - Accent2 57 2 6" xfId="15461" xr:uid="{00000000-0005-0000-0000-0000122E0000}"/>
    <cellStyle name="40% - Accent2 57 3" xfId="11152" xr:uid="{00000000-0005-0000-0000-0000132E0000}"/>
    <cellStyle name="40% - Accent2 57 3 2" xfId="22440" xr:uid="{00000000-0005-0000-0000-0000142E0000}"/>
    <cellStyle name="40% - Accent2 57 4" xfId="9158" xr:uid="{00000000-0005-0000-0000-0000152E0000}"/>
    <cellStyle name="40% - Accent2 57 4 2" xfId="20446" xr:uid="{00000000-0005-0000-0000-0000162E0000}"/>
    <cellStyle name="40% - Accent2 57 5" xfId="7164" xr:uid="{00000000-0005-0000-0000-0000172E0000}"/>
    <cellStyle name="40% - Accent2 57 5 2" xfId="18452" xr:uid="{00000000-0005-0000-0000-0000182E0000}"/>
    <cellStyle name="40% - Accent2 57 6" xfId="5170" xr:uid="{00000000-0005-0000-0000-0000192E0000}"/>
    <cellStyle name="40% - Accent2 57 6 2" xfId="16458" xr:uid="{00000000-0005-0000-0000-00001A2E0000}"/>
    <cellStyle name="40% - Accent2 57 7" xfId="14464" xr:uid="{00000000-0005-0000-0000-00001B2E0000}"/>
    <cellStyle name="40% - Accent2 57 8" xfId="13150" xr:uid="{00000000-0005-0000-0000-00001C2E0000}"/>
    <cellStyle name="40% - Accent2 58" xfId="1215" xr:uid="{00000000-0005-0000-0000-00001D2E0000}"/>
    <cellStyle name="40% - Accent2 58 2" xfId="4171" xr:uid="{00000000-0005-0000-0000-00001E2E0000}"/>
    <cellStyle name="40% - Accent2 58 2 2" xfId="12150" xr:uid="{00000000-0005-0000-0000-00001F2E0000}"/>
    <cellStyle name="40% - Accent2 58 2 2 2" xfId="23438" xr:uid="{00000000-0005-0000-0000-0000202E0000}"/>
    <cellStyle name="40% - Accent2 58 2 3" xfId="10156" xr:uid="{00000000-0005-0000-0000-0000212E0000}"/>
    <cellStyle name="40% - Accent2 58 2 3 2" xfId="21444" xr:uid="{00000000-0005-0000-0000-0000222E0000}"/>
    <cellStyle name="40% - Accent2 58 2 4" xfId="8162" xr:uid="{00000000-0005-0000-0000-0000232E0000}"/>
    <cellStyle name="40% - Accent2 58 2 4 2" xfId="19450" xr:uid="{00000000-0005-0000-0000-0000242E0000}"/>
    <cellStyle name="40% - Accent2 58 2 5" xfId="6168" xr:uid="{00000000-0005-0000-0000-0000252E0000}"/>
    <cellStyle name="40% - Accent2 58 2 5 2" xfId="17456" xr:uid="{00000000-0005-0000-0000-0000262E0000}"/>
    <cellStyle name="40% - Accent2 58 2 6" xfId="15462" xr:uid="{00000000-0005-0000-0000-0000272E0000}"/>
    <cellStyle name="40% - Accent2 58 3" xfId="11153" xr:uid="{00000000-0005-0000-0000-0000282E0000}"/>
    <cellStyle name="40% - Accent2 58 3 2" xfId="22441" xr:uid="{00000000-0005-0000-0000-0000292E0000}"/>
    <cellStyle name="40% - Accent2 58 4" xfId="9159" xr:uid="{00000000-0005-0000-0000-00002A2E0000}"/>
    <cellStyle name="40% - Accent2 58 4 2" xfId="20447" xr:uid="{00000000-0005-0000-0000-00002B2E0000}"/>
    <cellStyle name="40% - Accent2 58 5" xfId="7165" xr:uid="{00000000-0005-0000-0000-00002C2E0000}"/>
    <cellStyle name="40% - Accent2 58 5 2" xfId="18453" xr:uid="{00000000-0005-0000-0000-00002D2E0000}"/>
    <cellStyle name="40% - Accent2 58 6" xfId="5171" xr:uid="{00000000-0005-0000-0000-00002E2E0000}"/>
    <cellStyle name="40% - Accent2 58 6 2" xfId="16459" xr:uid="{00000000-0005-0000-0000-00002F2E0000}"/>
    <cellStyle name="40% - Accent2 58 7" xfId="14465" xr:uid="{00000000-0005-0000-0000-0000302E0000}"/>
    <cellStyle name="40% - Accent2 58 8" xfId="13151" xr:uid="{00000000-0005-0000-0000-0000312E0000}"/>
    <cellStyle name="40% - Accent2 59" xfId="1216" xr:uid="{00000000-0005-0000-0000-0000322E0000}"/>
    <cellStyle name="40% - Accent2 59 2" xfId="4172" xr:uid="{00000000-0005-0000-0000-0000332E0000}"/>
    <cellStyle name="40% - Accent2 59 2 2" xfId="12151" xr:uid="{00000000-0005-0000-0000-0000342E0000}"/>
    <cellStyle name="40% - Accent2 59 2 2 2" xfId="23439" xr:uid="{00000000-0005-0000-0000-0000352E0000}"/>
    <cellStyle name="40% - Accent2 59 2 3" xfId="10157" xr:uid="{00000000-0005-0000-0000-0000362E0000}"/>
    <cellStyle name="40% - Accent2 59 2 3 2" xfId="21445" xr:uid="{00000000-0005-0000-0000-0000372E0000}"/>
    <cellStyle name="40% - Accent2 59 2 4" xfId="8163" xr:uid="{00000000-0005-0000-0000-0000382E0000}"/>
    <cellStyle name="40% - Accent2 59 2 4 2" xfId="19451" xr:uid="{00000000-0005-0000-0000-0000392E0000}"/>
    <cellStyle name="40% - Accent2 59 2 5" xfId="6169" xr:uid="{00000000-0005-0000-0000-00003A2E0000}"/>
    <cellStyle name="40% - Accent2 59 2 5 2" xfId="17457" xr:uid="{00000000-0005-0000-0000-00003B2E0000}"/>
    <cellStyle name="40% - Accent2 59 2 6" xfId="15463" xr:uid="{00000000-0005-0000-0000-00003C2E0000}"/>
    <cellStyle name="40% - Accent2 59 3" xfId="11154" xr:uid="{00000000-0005-0000-0000-00003D2E0000}"/>
    <cellStyle name="40% - Accent2 59 3 2" xfId="22442" xr:uid="{00000000-0005-0000-0000-00003E2E0000}"/>
    <cellStyle name="40% - Accent2 59 4" xfId="9160" xr:uid="{00000000-0005-0000-0000-00003F2E0000}"/>
    <cellStyle name="40% - Accent2 59 4 2" xfId="20448" xr:uid="{00000000-0005-0000-0000-0000402E0000}"/>
    <cellStyle name="40% - Accent2 59 5" xfId="7166" xr:uid="{00000000-0005-0000-0000-0000412E0000}"/>
    <cellStyle name="40% - Accent2 59 5 2" xfId="18454" xr:uid="{00000000-0005-0000-0000-0000422E0000}"/>
    <cellStyle name="40% - Accent2 59 6" xfId="5172" xr:uid="{00000000-0005-0000-0000-0000432E0000}"/>
    <cellStyle name="40% - Accent2 59 6 2" xfId="16460" xr:uid="{00000000-0005-0000-0000-0000442E0000}"/>
    <cellStyle name="40% - Accent2 59 7" xfId="14466" xr:uid="{00000000-0005-0000-0000-0000452E0000}"/>
    <cellStyle name="40% - Accent2 59 8" xfId="13152" xr:uid="{00000000-0005-0000-0000-0000462E0000}"/>
    <cellStyle name="40% - Accent2 6" xfId="1217" xr:uid="{00000000-0005-0000-0000-0000472E0000}"/>
    <cellStyle name="40% - Accent2 6 10" xfId="24605" xr:uid="{00000000-0005-0000-0000-0000482E0000}"/>
    <cellStyle name="40% - Accent2 6 11" xfId="24995" xr:uid="{00000000-0005-0000-0000-0000492E0000}"/>
    <cellStyle name="40% - Accent2 6 2" xfId="4173" xr:uid="{00000000-0005-0000-0000-00004A2E0000}"/>
    <cellStyle name="40% - Accent2 6 2 2" xfId="12152" xr:uid="{00000000-0005-0000-0000-00004B2E0000}"/>
    <cellStyle name="40% - Accent2 6 2 2 2" xfId="23440" xr:uid="{00000000-0005-0000-0000-00004C2E0000}"/>
    <cellStyle name="40% - Accent2 6 2 3" xfId="10158" xr:uid="{00000000-0005-0000-0000-00004D2E0000}"/>
    <cellStyle name="40% - Accent2 6 2 3 2" xfId="21446" xr:uid="{00000000-0005-0000-0000-00004E2E0000}"/>
    <cellStyle name="40% - Accent2 6 2 4" xfId="8164" xr:uid="{00000000-0005-0000-0000-00004F2E0000}"/>
    <cellStyle name="40% - Accent2 6 2 4 2" xfId="19452" xr:uid="{00000000-0005-0000-0000-0000502E0000}"/>
    <cellStyle name="40% - Accent2 6 2 5" xfId="6170" xr:uid="{00000000-0005-0000-0000-0000512E0000}"/>
    <cellStyle name="40% - Accent2 6 2 5 2" xfId="17458" xr:uid="{00000000-0005-0000-0000-0000522E0000}"/>
    <cellStyle name="40% - Accent2 6 2 6" xfId="15464" xr:uid="{00000000-0005-0000-0000-0000532E0000}"/>
    <cellStyle name="40% - Accent2 6 2 7" xfId="24366" xr:uid="{00000000-0005-0000-0000-0000542E0000}"/>
    <cellStyle name="40% - Accent2 6 2 8" xfId="24830" xr:uid="{00000000-0005-0000-0000-0000552E0000}"/>
    <cellStyle name="40% - Accent2 6 2 9" xfId="25197" xr:uid="{00000000-0005-0000-0000-0000562E0000}"/>
    <cellStyle name="40% - Accent2 6 3" xfId="11155" xr:uid="{00000000-0005-0000-0000-0000572E0000}"/>
    <cellStyle name="40% - Accent2 6 3 2" xfId="22443" xr:uid="{00000000-0005-0000-0000-0000582E0000}"/>
    <cellStyle name="40% - Accent2 6 4" xfId="9161" xr:uid="{00000000-0005-0000-0000-0000592E0000}"/>
    <cellStyle name="40% - Accent2 6 4 2" xfId="20449" xr:uid="{00000000-0005-0000-0000-00005A2E0000}"/>
    <cellStyle name="40% - Accent2 6 5" xfId="7167" xr:uid="{00000000-0005-0000-0000-00005B2E0000}"/>
    <cellStyle name="40% - Accent2 6 5 2" xfId="18455" xr:uid="{00000000-0005-0000-0000-00005C2E0000}"/>
    <cellStyle name="40% - Accent2 6 6" xfId="5173" xr:uid="{00000000-0005-0000-0000-00005D2E0000}"/>
    <cellStyle name="40% - Accent2 6 6 2" xfId="16461" xr:uid="{00000000-0005-0000-0000-00005E2E0000}"/>
    <cellStyle name="40% - Accent2 6 7" xfId="14467" xr:uid="{00000000-0005-0000-0000-00005F2E0000}"/>
    <cellStyle name="40% - Accent2 6 8" xfId="13153" xr:uid="{00000000-0005-0000-0000-0000602E0000}"/>
    <cellStyle name="40% - Accent2 6 9" xfId="23978" xr:uid="{00000000-0005-0000-0000-0000612E0000}"/>
    <cellStyle name="40% - Accent2 60" xfId="1218" xr:uid="{00000000-0005-0000-0000-0000622E0000}"/>
    <cellStyle name="40% - Accent2 60 2" xfId="4174" xr:uid="{00000000-0005-0000-0000-0000632E0000}"/>
    <cellStyle name="40% - Accent2 60 2 2" xfId="12153" xr:uid="{00000000-0005-0000-0000-0000642E0000}"/>
    <cellStyle name="40% - Accent2 60 2 2 2" xfId="23441" xr:uid="{00000000-0005-0000-0000-0000652E0000}"/>
    <cellStyle name="40% - Accent2 60 2 3" xfId="10159" xr:uid="{00000000-0005-0000-0000-0000662E0000}"/>
    <cellStyle name="40% - Accent2 60 2 3 2" xfId="21447" xr:uid="{00000000-0005-0000-0000-0000672E0000}"/>
    <cellStyle name="40% - Accent2 60 2 4" xfId="8165" xr:uid="{00000000-0005-0000-0000-0000682E0000}"/>
    <cellStyle name="40% - Accent2 60 2 4 2" xfId="19453" xr:uid="{00000000-0005-0000-0000-0000692E0000}"/>
    <cellStyle name="40% - Accent2 60 2 5" xfId="6171" xr:uid="{00000000-0005-0000-0000-00006A2E0000}"/>
    <cellStyle name="40% - Accent2 60 2 5 2" xfId="17459" xr:uid="{00000000-0005-0000-0000-00006B2E0000}"/>
    <cellStyle name="40% - Accent2 60 2 6" xfId="15465" xr:uid="{00000000-0005-0000-0000-00006C2E0000}"/>
    <cellStyle name="40% - Accent2 60 3" xfId="11156" xr:uid="{00000000-0005-0000-0000-00006D2E0000}"/>
    <cellStyle name="40% - Accent2 60 3 2" xfId="22444" xr:uid="{00000000-0005-0000-0000-00006E2E0000}"/>
    <cellStyle name="40% - Accent2 60 4" xfId="9162" xr:uid="{00000000-0005-0000-0000-00006F2E0000}"/>
    <cellStyle name="40% - Accent2 60 4 2" xfId="20450" xr:uid="{00000000-0005-0000-0000-0000702E0000}"/>
    <cellStyle name="40% - Accent2 60 5" xfId="7168" xr:uid="{00000000-0005-0000-0000-0000712E0000}"/>
    <cellStyle name="40% - Accent2 60 5 2" xfId="18456" xr:uid="{00000000-0005-0000-0000-0000722E0000}"/>
    <cellStyle name="40% - Accent2 60 6" xfId="5174" xr:uid="{00000000-0005-0000-0000-0000732E0000}"/>
    <cellStyle name="40% - Accent2 60 6 2" xfId="16462" xr:uid="{00000000-0005-0000-0000-0000742E0000}"/>
    <cellStyle name="40% - Accent2 60 7" xfId="14468" xr:uid="{00000000-0005-0000-0000-0000752E0000}"/>
    <cellStyle name="40% - Accent2 60 8" xfId="13154" xr:uid="{00000000-0005-0000-0000-0000762E0000}"/>
    <cellStyle name="40% - Accent2 61" xfId="1219" xr:uid="{00000000-0005-0000-0000-0000772E0000}"/>
    <cellStyle name="40% - Accent2 61 2" xfId="4175" xr:uid="{00000000-0005-0000-0000-0000782E0000}"/>
    <cellStyle name="40% - Accent2 61 2 2" xfId="12154" xr:uid="{00000000-0005-0000-0000-0000792E0000}"/>
    <cellStyle name="40% - Accent2 61 2 2 2" xfId="23442" xr:uid="{00000000-0005-0000-0000-00007A2E0000}"/>
    <cellStyle name="40% - Accent2 61 2 3" xfId="10160" xr:uid="{00000000-0005-0000-0000-00007B2E0000}"/>
    <cellStyle name="40% - Accent2 61 2 3 2" xfId="21448" xr:uid="{00000000-0005-0000-0000-00007C2E0000}"/>
    <cellStyle name="40% - Accent2 61 2 4" xfId="8166" xr:uid="{00000000-0005-0000-0000-00007D2E0000}"/>
    <cellStyle name="40% - Accent2 61 2 4 2" xfId="19454" xr:uid="{00000000-0005-0000-0000-00007E2E0000}"/>
    <cellStyle name="40% - Accent2 61 2 5" xfId="6172" xr:uid="{00000000-0005-0000-0000-00007F2E0000}"/>
    <cellStyle name="40% - Accent2 61 2 5 2" xfId="17460" xr:uid="{00000000-0005-0000-0000-0000802E0000}"/>
    <cellStyle name="40% - Accent2 61 2 6" xfId="15466" xr:uid="{00000000-0005-0000-0000-0000812E0000}"/>
    <cellStyle name="40% - Accent2 61 3" xfId="11157" xr:uid="{00000000-0005-0000-0000-0000822E0000}"/>
    <cellStyle name="40% - Accent2 61 3 2" xfId="22445" xr:uid="{00000000-0005-0000-0000-0000832E0000}"/>
    <cellStyle name="40% - Accent2 61 4" xfId="9163" xr:uid="{00000000-0005-0000-0000-0000842E0000}"/>
    <cellStyle name="40% - Accent2 61 4 2" xfId="20451" xr:uid="{00000000-0005-0000-0000-0000852E0000}"/>
    <cellStyle name="40% - Accent2 61 5" xfId="7169" xr:uid="{00000000-0005-0000-0000-0000862E0000}"/>
    <cellStyle name="40% - Accent2 61 5 2" xfId="18457" xr:uid="{00000000-0005-0000-0000-0000872E0000}"/>
    <cellStyle name="40% - Accent2 61 6" xfId="5175" xr:uid="{00000000-0005-0000-0000-0000882E0000}"/>
    <cellStyle name="40% - Accent2 61 6 2" xfId="16463" xr:uid="{00000000-0005-0000-0000-0000892E0000}"/>
    <cellStyle name="40% - Accent2 61 7" xfId="14469" xr:uid="{00000000-0005-0000-0000-00008A2E0000}"/>
    <cellStyle name="40% - Accent2 61 8" xfId="13155" xr:uid="{00000000-0005-0000-0000-00008B2E0000}"/>
    <cellStyle name="40% - Accent2 62" xfId="1220" xr:uid="{00000000-0005-0000-0000-00008C2E0000}"/>
    <cellStyle name="40% - Accent2 62 2" xfId="4176" xr:uid="{00000000-0005-0000-0000-00008D2E0000}"/>
    <cellStyle name="40% - Accent2 62 2 2" xfId="12155" xr:uid="{00000000-0005-0000-0000-00008E2E0000}"/>
    <cellStyle name="40% - Accent2 62 2 2 2" xfId="23443" xr:uid="{00000000-0005-0000-0000-00008F2E0000}"/>
    <cellStyle name="40% - Accent2 62 2 3" xfId="10161" xr:uid="{00000000-0005-0000-0000-0000902E0000}"/>
    <cellStyle name="40% - Accent2 62 2 3 2" xfId="21449" xr:uid="{00000000-0005-0000-0000-0000912E0000}"/>
    <cellStyle name="40% - Accent2 62 2 4" xfId="8167" xr:uid="{00000000-0005-0000-0000-0000922E0000}"/>
    <cellStyle name="40% - Accent2 62 2 4 2" xfId="19455" xr:uid="{00000000-0005-0000-0000-0000932E0000}"/>
    <cellStyle name="40% - Accent2 62 2 5" xfId="6173" xr:uid="{00000000-0005-0000-0000-0000942E0000}"/>
    <cellStyle name="40% - Accent2 62 2 5 2" xfId="17461" xr:uid="{00000000-0005-0000-0000-0000952E0000}"/>
    <cellStyle name="40% - Accent2 62 2 6" xfId="15467" xr:uid="{00000000-0005-0000-0000-0000962E0000}"/>
    <cellStyle name="40% - Accent2 62 3" xfId="11158" xr:uid="{00000000-0005-0000-0000-0000972E0000}"/>
    <cellStyle name="40% - Accent2 62 3 2" xfId="22446" xr:uid="{00000000-0005-0000-0000-0000982E0000}"/>
    <cellStyle name="40% - Accent2 62 4" xfId="9164" xr:uid="{00000000-0005-0000-0000-0000992E0000}"/>
    <cellStyle name="40% - Accent2 62 4 2" xfId="20452" xr:uid="{00000000-0005-0000-0000-00009A2E0000}"/>
    <cellStyle name="40% - Accent2 62 5" xfId="7170" xr:uid="{00000000-0005-0000-0000-00009B2E0000}"/>
    <cellStyle name="40% - Accent2 62 5 2" xfId="18458" xr:uid="{00000000-0005-0000-0000-00009C2E0000}"/>
    <cellStyle name="40% - Accent2 62 6" xfId="5176" xr:uid="{00000000-0005-0000-0000-00009D2E0000}"/>
    <cellStyle name="40% - Accent2 62 6 2" xfId="16464" xr:uid="{00000000-0005-0000-0000-00009E2E0000}"/>
    <cellStyle name="40% - Accent2 62 7" xfId="14470" xr:uid="{00000000-0005-0000-0000-00009F2E0000}"/>
    <cellStyle name="40% - Accent2 62 8" xfId="13156" xr:uid="{00000000-0005-0000-0000-0000A02E0000}"/>
    <cellStyle name="40% - Accent2 63" xfId="1221" xr:uid="{00000000-0005-0000-0000-0000A12E0000}"/>
    <cellStyle name="40% - Accent2 63 2" xfId="4177" xr:uid="{00000000-0005-0000-0000-0000A22E0000}"/>
    <cellStyle name="40% - Accent2 63 2 2" xfId="12156" xr:uid="{00000000-0005-0000-0000-0000A32E0000}"/>
    <cellStyle name="40% - Accent2 63 2 2 2" xfId="23444" xr:uid="{00000000-0005-0000-0000-0000A42E0000}"/>
    <cellStyle name="40% - Accent2 63 2 3" xfId="10162" xr:uid="{00000000-0005-0000-0000-0000A52E0000}"/>
    <cellStyle name="40% - Accent2 63 2 3 2" xfId="21450" xr:uid="{00000000-0005-0000-0000-0000A62E0000}"/>
    <cellStyle name="40% - Accent2 63 2 4" xfId="8168" xr:uid="{00000000-0005-0000-0000-0000A72E0000}"/>
    <cellStyle name="40% - Accent2 63 2 4 2" xfId="19456" xr:uid="{00000000-0005-0000-0000-0000A82E0000}"/>
    <cellStyle name="40% - Accent2 63 2 5" xfId="6174" xr:uid="{00000000-0005-0000-0000-0000A92E0000}"/>
    <cellStyle name="40% - Accent2 63 2 5 2" xfId="17462" xr:uid="{00000000-0005-0000-0000-0000AA2E0000}"/>
    <cellStyle name="40% - Accent2 63 2 6" xfId="15468" xr:uid="{00000000-0005-0000-0000-0000AB2E0000}"/>
    <cellStyle name="40% - Accent2 63 3" xfId="11159" xr:uid="{00000000-0005-0000-0000-0000AC2E0000}"/>
    <cellStyle name="40% - Accent2 63 3 2" xfId="22447" xr:uid="{00000000-0005-0000-0000-0000AD2E0000}"/>
    <cellStyle name="40% - Accent2 63 4" xfId="9165" xr:uid="{00000000-0005-0000-0000-0000AE2E0000}"/>
    <cellStyle name="40% - Accent2 63 4 2" xfId="20453" xr:uid="{00000000-0005-0000-0000-0000AF2E0000}"/>
    <cellStyle name="40% - Accent2 63 5" xfId="7171" xr:uid="{00000000-0005-0000-0000-0000B02E0000}"/>
    <cellStyle name="40% - Accent2 63 5 2" xfId="18459" xr:uid="{00000000-0005-0000-0000-0000B12E0000}"/>
    <cellStyle name="40% - Accent2 63 6" xfId="5177" xr:uid="{00000000-0005-0000-0000-0000B22E0000}"/>
    <cellStyle name="40% - Accent2 63 6 2" xfId="16465" xr:uid="{00000000-0005-0000-0000-0000B32E0000}"/>
    <cellStyle name="40% - Accent2 63 7" xfId="14471" xr:uid="{00000000-0005-0000-0000-0000B42E0000}"/>
    <cellStyle name="40% - Accent2 63 8" xfId="13157" xr:uid="{00000000-0005-0000-0000-0000B52E0000}"/>
    <cellStyle name="40% - Accent2 64" xfId="1222" xr:uid="{00000000-0005-0000-0000-0000B62E0000}"/>
    <cellStyle name="40% - Accent2 64 2" xfId="4178" xr:uid="{00000000-0005-0000-0000-0000B72E0000}"/>
    <cellStyle name="40% - Accent2 64 2 2" xfId="12157" xr:uid="{00000000-0005-0000-0000-0000B82E0000}"/>
    <cellStyle name="40% - Accent2 64 2 2 2" xfId="23445" xr:uid="{00000000-0005-0000-0000-0000B92E0000}"/>
    <cellStyle name="40% - Accent2 64 2 3" xfId="10163" xr:uid="{00000000-0005-0000-0000-0000BA2E0000}"/>
    <cellStyle name="40% - Accent2 64 2 3 2" xfId="21451" xr:uid="{00000000-0005-0000-0000-0000BB2E0000}"/>
    <cellStyle name="40% - Accent2 64 2 4" xfId="8169" xr:uid="{00000000-0005-0000-0000-0000BC2E0000}"/>
    <cellStyle name="40% - Accent2 64 2 4 2" xfId="19457" xr:uid="{00000000-0005-0000-0000-0000BD2E0000}"/>
    <cellStyle name="40% - Accent2 64 2 5" xfId="6175" xr:uid="{00000000-0005-0000-0000-0000BE2E0000}"/>
    <cellStyle name="40% - Accent2 64 2 5 2" xfId="17463" xr:uid="{00000000-0005-0000-0000-0000BF2E0000}"/>
    <cellStyle name="40% - Accent2 64 2 6" xfId="15469" xr:uid="{00000000-0005-0000-0000-0000C02E0000}"/>
    <cellStyle name="40% - Accent2 64 3" xfId="11160" xr:uid="{00000000-0005-0000-0000-0000C12E0000}"/>
    <cellStyle name="40% - Accent2 64 3 2" xfId="22448" xr:uid="{00000000-0005-0000-0000-0000C22E0000}"/>
    <cellStyle name="40% - Accent2 64 4" xfId="9166" xr:uid="{00000000-0005-0000-0000-0000C32E0000}"/>
    <cellStyle name="40% - Accent2 64 4 2" xfId="20454" xr:uid="{00000000-0005-0000-0000-0000C42E0000}"/>
    <cellStyle name="40% - Accent2 64 5" xfId="7172" xr:uid="{00000000-0005-0000-0000-0000C52E0000}"/>
    <cellStyle name="40% - Accent2 64 5 2" xfId="18460" xr:uid="{00000000-0005-0000-0000-0000C62E0000}"/>
    <cellStyle name="40% - Accent2 64 6" xfId="5178" xr:uid="{00000000-0005-0000-0000-0000C72E0000}"/>
    <cellStyle name="40% - Accent2 64 6 2" xfId="16466" xr:uid="{00000000-0005-0000-0000-0000C82E0000}"/>
    <cellStyle name="40% - Accent2 64 7" xfId="14472" xr:uid="{00000000-0005-0000-0000-0000C92E0000}"/>
    <cellStyle name="40% - Accent2 64 8" xfId="13158" xr:uid="{00000000-0005-0000-0000-0000CA2E0000}"/>
    <cellStyle name="40% - Accent2 65" xfId="1223" xr:uid="{00000000-0005-0000-0000-0000CB2E0000}"/>
    <cellStyle name="40% - Accent2 65 2" xfId="4179" xr:uid="{00000000-0005-0000-0000-0000CC2E0000}"/>
    <cellStyle name="40% - Accent2 65 2 2" xfId="12158" xr:uid="{00000000-0005-0000-0000-0000CD2E0000}"/>
    <cellStyle name="40% - Accent2 65 2 2 2" xfId="23446" xr:uid="{00000000-0005-0000-0000-0000CE2E0000}"/>
    <cellStyle name="40% - Accent2 65 2 3" xfId="10164" xr:uid="{00000000-0005-0000-0000-0000CF2E0000}"/>
    <cellStyle name="40% - Accent2 65 2 3 2" xfId="21452" xr:uid="{00000000-0005-0000-0000-0000D02E0000}"/>
    <cellStyle name="40% - Accent2 65 2 4" xfId="8170" xr:uid="{00000000-0005-0000-0000-0000D12E0000}"/>
    <cellStyle name="40% - Accent2 65 2 4 2" xfId="19458" xr:uid="{00000000-0005-0000-0000-0000D22E0000}"/>
    <cellStyle name="40% - Accent2 65 2 5" xfId="6176" xr:uid="{00000000-0005-0000-0000-0000D32E0000}"/>
    <cellStyle name="40% - Accent2 65 2 5 2" xfId="17464" xr:uid="{00000000-0005-0000-0000-0000D42E0000}"/>
    <cellStyle name="40% - Accent2 65 2 6" xfId="15470" xr:uid="{00000000-0005-0000-0000-0000D52E0000}"/>
    <cellStyle name="40% - Accent2 65 3" xfId="11161" xr:uid="{00000000-0005-0000-0000-0000D62E0000}"/>
    <cellStyle name="40% - Accent2 65 3 2" xfId="22449" xr:uid="{00000000-0005-0000-0000-0000D72E0000}"/>
    <cellStyle name="40% - Accent2 65 4" xfId="9167" xr:uid="{00000000-0005-0000-0000-0000D82E0000}"/>
    <cellStyle name="40% - Accent2 65 4 2" xfId="20455" xr:uid="{00000000-0005-0000-0000-0000D92E0000}"/>
    <cellStyle name="40% - Accent2 65 5" xfId="7173" xr:uid="{00000000-0005-0000-0000-0000DA2E0000}"/>
    <cellStyle name="40% - Accent2 65 5 2" xfId="18461" xr:uid="{00000000-0005-0000-0000-0000DB2E0000}"/>
    <cellStyle name="40% - Accent2 65 6" xfId="5179" xr:uid="{00000000-0005-0000-0000-0000DC2E0000}"/>
    <cellStyle name="40% - Accent2 65 6 2" xfId="16467" xr:uid="{00000000-0005-0000-0000-0000DD2E0000}"/>
    <cellStyle name="40% - Accent2 65 7" xfId="14473" xr:uid="{00000000-0005-0000-0000-0000DE2E0000}"/>
    <cellStyle name="40% - Accent2 65 8" xfId="13159" xr:uid="{00000000-0005-0000-0000-0000DF2E0000}"/>
    <cellStyle name="40% - Accent2 66" xfId="1224" xr:uid="{00000000-0005-0000-0000-0000E02E0000}"/>
    <cellStyle name="40% - Accent2 66 2" xfId="4180" xr:uid="{00000000-0005-0000-0000-0000E12E0000}"/>
    <cellStyle name="40% - Accent2 66 2 2" xfId="12159" xr:uid="{00000000-0005-0000-0000-0000E22E0000}"/>
    <cellStyle name="40% - Accent2 66 2 2 2" xfId="23447" xr:uid="{00000000-0005-0000-0000-0000E32E0000}"/>
    <cellStyle name="40% - Accent2 66 2 3" xfId="10165" xr:uid="{00000000-0005-0000-0000-0000E42E0000}"/>
    <cellStyle name="40% - Accent2 66 2 3 2" xfId="21453" xr:uid="{00000000-0005-0000-0000-0000E52E0000}"/>
    <cellStyle name="40% - Accent2 66 2 4" xfId="8171" xr:uid="{00000000-0005-0000-0000-0000E62E0000}"/>
    <cellStyle name="40% - Accent2 66 2 4 2" xfId="19459" xr:uid="{00000000-0005-0000-0000-0000E72E0000}"/>
    <cellStyle name="40% - Accent2 66 2 5" xfId="6177" xr:uid="{00000000-0005-0000-0000-0000E82E0000}"/>
    <cellStyle name="40% - Accent2 66 2 5 2" xfId="17465" xr:uid="{00000000-0005-0000-0000-0000E92E0000}"/>
    <cellStyle name="40% - Accent2 66 2 6" xfId="15471" xr:uid="{00000000-0005-0000-0000-0000EA2E0000}"/>
    <cellStyle name="40% - Accent2 66 3" xfId="11162" xr:uid="{00000000-0005-0000-0000-0000EB2E0000}"/>
    <cellStyle name="40% - Accent2 66 3 2" xfId="22450" xr:uid="{00000000-0005-0000-0000-0000EC2E0000}"/>
    <cellStyle name="40% - Accent2 66 4" xfId="9168" xr:uid="{00000000-0005-0000-0000-0000ED2E0000}"/>
    <cellStyle name="40% - Accent2 66 4 2" xfId="20456" xr:uid="{00000000-0005-0000-0000-0000EE2E0000}"/>
    <cellStyle name="40% - Accent2 66 5" xfId="7174" xr:uid="{00000000-0005-0000-0000-0000EF2E0000}"/>
    <cellStyle name="40% - Accent2 66 5 2" xfId="18462" xr:uid="{00000000-0005-0000-0000-0000F02E0000}"/>
    <cellStyle name="40% - Accent2 66 6" xfId="5180" xr:uid="{00000000-0005-0000-0000-0000F12E0000}"/>
    <cellStyle name="40% - Accent2 66 6 2" xfId="16468" xr:uid="{00000000-0005-0000-0000-0000F22E0000}"/>
    <cellStyle name="40% - Accent2 66 7" xfId="14474" xr:uid="{00000000-0005-0000-0000-0000F32E0000}"/>
    <cellStyle name="40% - Accent2 66 8" xfId="13160" xr:uid="{00000000-0005-0000-0000-0000F42E0000}"/>
    <cellStyle name="40% - Accent2 67" xfId="1225" xr:uid="{00000000-0005-0000-0000-0000F52E0000}"/>
    <cellStyle name="40% - Accent2 67 2" xfId="4181" xr:uid="{00000000-0005-0000-0000-0000F62E0000}"/>
    <cellStyle name="40% - Accent2 67 2 2" xfId="12160" xr:uid="{00000000-0005-0000-0000-0000F72E0000}"/>
    <cellStyle name="40% - Accent2 67 2 2 2" xfId="23448" xr:uid="{00000000-0005-0000-0000-0000F82E0000}"/>
    <cellStyle name="40% - Accent2 67 2 3" xfId="10166" xr:uid="{00000000-0005-0000-0000-0000F92E0000}"/>
    <cellStyle name="40% - Accent2 67 2 3 2" xfId="21454" xr:uid="{00000000-0005-0000-0000-0000FA2E0000}"/>
    <cellStyle name="40% - Accent2 67 2 4" xfId="8172" xr:uid="{00000000-0005-0000-0000-0000FB2E0000}"/>
    <cellStyle name="40% - Accent2 67 2 4 2" xfId="19460" xr:uid="{00000000-0005-0000-0000-0000FC2E0000}"/>
    <cellStyle name="40% - Accent2 67 2 5" xfId="6178" xr:uid="{00000000-0005-0000-0000-0000FD2E0000}"/>
    <cellStyle name="40% - Accent2 67 2 5 2" xfId="17466" xr:uid="{00000000-0005-0000-0000-0000FE2E0000}"/>
    <cellStyle name="40% - Accent2 67 2 6" xfId="15472" xr:uid="{00000000-0005-0000-0000-0000FF2E0000}"/>
    <cellStyle name="40% - Accent2 67 3" xfId="11163" xr:uid="{00000000-0005-0000-0000-0000002F0000}"/>
    <cellStyle name="40% - Accent2 67 3 2" xfId="22451" xr:uid="{00000000-0005-0000-0000-0000012F0000}"/>
    <cellStyle name="40% - Accent2 67 4" xfId="9169" xr:uid="{00000000-0005-0000-0000-0000022F0000}"/>
    <cellStyle name="40% - Accent2 67 4 2" xfId="20457" xr:uid="{00000000-0005-0000-0000-0000032F0000}"/>
    <cellStyle name="40% - Accent2 67 5" xfId="7175" xr:uid="{00000000-0005-0000-0000-0000042F0000}"/>
    <cellStyle name="40% - Accent2 67 5 2" xfId="18463" xr:uid="{00000000-0005-0000-0000-0000052F0000}"/>
    <cellStyle name="40% - Accent2 67 6" xfId="5181" xr:uid="{00000000-0005-0000-0000-0000062F0000}"/>
    <cellStyle name="40% - Accent2 67 6 2" xfId="16469" xr:uid="{00000000-0005-0000-0000-0000072F0000}"/>
    <cellStyle name="40% - Accent2 67 7" xfId="14475" xr:uid="{00000000-0005-0000-0000-0000082F0000}"/>
    <cellStyle name="40% - Accent2 67 8" xfId="13161" xr:uid="{00000000-0005-0000-0000-0000092F0000}"/>
    <cellStyle name="40% - Accent2 68" xfId="1226" xr:uid="{00000000-0005-0000-0000-00000A2F0000}"/>
    <cellStyle name="40% - Accent2 68 2" xfId="4182" xr:uid="{00000000-0005-0000-0000-00000B2F0000}"/>
    <cellStyle name="40% - Accent2 68 2 2" xfId="12161" xr:uid="{00000000-0005-0000-0000-00000C2F0000}"/>
    <cellStyle name="40% - Accent2 68 2 2 2" xfId="23449" xr:uid="{00000000-0005-0000-0000-00000D2F0000}"/>
    <cellStyle name="40% - Accent2 68 2 3" xfId="10167" xr:uid="{00000000-0005-0000-0000-00000E2F0000}"/>
    <cellStyle name="40% - Accent2 68 2 3 2" xfId="21455" xr:uid="{00000000-0005-0000-0000-00000F2F0000}"/>
    <cellStyle name="40% - Accent2 68 2 4" xfId="8173" xr:uid="{00000000-0005-0000-0000-0000102F0000}"/>
    <cellStyle name="40% - Accent2 68 2 4 2" xfId="19461" xr:uid="{00000000-0005-0000-0000-0000112F0000}"/>
    <cellStyle name="40% - Accent2 68 2 5" xfId="6179" xr:uid="{00000000-0005-0000-0000-0000122F0000}"/>
    <cellStyle name="40% - Accent2 68 2 5 2" xfId="17467" xr:uid="{00000000-0005-0000-0000-0000132F0000}"/>
    <cellStyle name="40% - Accent2 68 2 6" xfId="15473" xr:uid="{00000000-0005-0000-0000-0000142F0000}"/>
    <cellStyle name="40% - Accent2 68 3" xfId="11164" xr:uid="{00000000-0005-0000-0000-0000152F0000}"/>
    <cellStyle name="40% - Accent2 68 3 2" xfId="22452" xr:uid="{00000000-0005-0000-0000-0000162F0000}"/>
    <cellStyle name="40% - Accent2 68 4" xfId="9170" xr:uid="{00000000-0005-0000-0000-0000172F0000}"/>
    <cellStyle name="40% - Accent2 68 4 2" xfId="20458" xr:uid="{00000000-0005-0000-0000-0000182F0000}"/>
    <cellStyle name="40% - Accent2 68 5" xfId="7176" xr:uid="{00000000-0005-0000-0000-0000192F0000}"/>
    <cellStyle name="40% - Accent2 68 5 2" xfId="18464" xr:uid="{00000000-0005-0000-0000-00001A2F0000}"/>
    <cellStyle name="40% - Accent2 68 6" xfId="5182" xr:uid="{00000000-0005-0000-0000-00001B2F0000}"/>
    <cellStyle name="40% - Accent2 68 6 2" xfId="16470" xr:uid="{00000000-0005-0000-0000-00001C2F0000}"/>
    <cellStyle name="40% - Accent2 68 7" xfId="14476" xr:uid="{00000000-0005-0000-0000-00001D2F0000}"/>
    <cellStyle name="40% - Accent2 68 8" xfId="13162" xr:uid="{00000000-0005-0000-0000-00001E2F0000}"/>
    <cellStyle name="40% - Accent2 69" xfId="1227" xr:uid="{00000000-0005-0000-0000-00001F2F0000}"/>
    <cellStyle name="40% - Accent2 69 2" xfId="4183" xr:uid="{00000000-0005-0000-0000-0000202F0000}"/>
    <cellStyle name="40% - Accent2 69 2 2" xfId="12162" xr:uid="{00000000-0005-0000-0000-0000212F0000}"/>
    <cellStyle name="40% - Accent2 69 2 2 2" xfId="23450" xr:uid="{00000000-0005-0000-0000-0000222F0000}"/>
    <cellStyle name="40% - Accent2 69 2 3" xfId="10168" xr:uid="{00000000-0005-0000-0000-0000232F0000}"/>
    <cellStyle name="40% - Accent2 69 2 3 2" xfId="21456" xr:uid="{00000000-0005-0000-0000-0000242F0000}"/>
    <cellStyle name="40% - Accent2 69 2 4" xfId="8174" xr:uid="{00000000-0005-0000-0000-0000252F0000}"/>
    <cellStyle name="40% - Accent2 69 2 4 2" xfId="19462" xr:uid="{00000000-0005-0000-0000-0000262F0000}"/>
    <cellStyle name="40% - Accent2 69 2 5" xfId="6180" xr:uid="{00000000-0005-0000-0000-0000272F0000}"/>
    <cellStyle name="40% - Accent2 69 2 5 2" xfId="17468" xr:uid="{00000000-0005-0000-0000-0000282F0000}"/>
    <cellStyle name="40% - Accent2 69 2 6" xfId="15474" xr:uid="{00000000-0005-0000-0000-0000292F0000}"/>
    <cellStyle name="40% - Accent2 69 3" xfId="11165" xr:uid="{00000000-0005-0000-0000-00002A2F0000}"/>
    <cellStyle name="40% - Accent2 69 3 2" xfId="22453" xr:uid="{00000000-0005-0000-0000-00002B2F0000}"/>
    <cellStyle name="40% - Accent2 69 4" xfId="9171" xr:uid="{00000000-0005-0000-0000-00002C2F0000}"/>
    <cellStyle name="40% - Accent2 69 4 2" xfId="20459" xr:uid="{00000000-0005-0000-0000-00002D2F0000}"/>
    <cellStyle name="40% - Accent2 69 5" xfId="7177" xr:uid="{00000000-0005-0000-0000-00002E2F0000}"/>
    <cellStyle name="40% - Accent2 69 5 2" xfId="18465" xr:uid="{00000000-0005-0000-0000-00002F2F0000}"/>
    <cellStyle name="40% - Accent2 69 6" xfId="5183" xr:uid="{00000000-0005-0000-0000-0000302F0000}"/>
    <cellStyle name="40% - Accent2 69 6 2" xfId="16471" xr:uid="{00000000-0005-0000-0000-0000312F0000}"/>
    <cellStyle name="40% - Accent2 69 7" xfId="14477" xr:uid="{00000000-0005-0000-0000-0000322F0000}"/>
    <cellStyle name="40% - Accent2 69 8" xfId="13163" xr:uid="{00000000-0005-0000-0000-0000332F0000}"/>
    <cellStyle name="40% - Accent2 7" xfId="1228" xr:uid="{00000000-0005-0000-0000-0000342F0000}"/>
    <cellStyle name="40% - Accent2 7 10" xfId="24606" xr:uid="{00000000-0005-0000-0000-0000352F0000}"/>
    <cellStyle name="40% - Accent2 7 11" xfId="24996" xr:uid="{00000000-0005-0000-0000-0000362F0000}"/>
    <cellStyle name="40% - Accent2 7 2" xfId="4184" xr:uid="{00000000-0005-0000-0000-0000372F0000}"/>
    <cellStyle name="40% - Accent2 7 2 2" xfId="12163" xr:uid="{00000000-0005-0000-0000-0000382F0000}"/>
    <cellStyle name="40% - Accent2 7 2 2 2" xfId="23451" xr:uid="{00000000-0005-0000-0000-0000392F0000}"/>
    <cellStyle name="40% - Accent2 7 2 3" xfId="10169" xr:uid="{00000000-0005-0000-0000-00003A2F0000}"/>
    <cellStyle name="40% - Accent2 7 2 3 2" xfId="21457" xr:uid="{00000000-0005-0000-0000-00003B2F0000}"/>
    <cellStyle name="40% - Accent2 7 2 4" xfId="8175" xr:uid="{00000000-0005-0000-0000-00003C2F0000}"/>
    <cellStyle name="40% - Accent2 7 2 4 2" xfId="19463" xr:uid="{00000000-0005-0000-0000-00003D2F0000}"/>
    <cellStyle name="40% - Accent2 7 2 5" xfId="6181" xr:uid="{00000000-0005-0000-0000-00003E2F0000}"/>
    <cellStyle name="40% - Accent2 7 2 5 2" xfId="17469" xr:uid="{00000000-0005-0000-0000-00003F2F0000}"/>
    <cellStyle name="40% - Accent2 7 2 6" xfId="15475" xr:uid="{00000000-0005-0000-0000-0000402F0000}"/>
    <cellStyle name="40% - Accent2 7 2 7" xfId="24367" xr:uid="{00000000-0005-0000-0000-0000412F0000}"/>
    <cellStyle name="40% - Accent2 7 2 8" xfId="24831" xr:uid="{00000000-0005-0000-0000-0000422F0000}"/>
    <cellStyle name="40% - Accent2 7 2 9" xfId="25198" xr:uid="{00000000-0005-0000-0000-0000432F0000}"/>
    <cellStyle name="40% - Accent2 7 3" xfId="11166" xr:uid="{00000000-0005-0000-0000-0000442F0000}"/>
    <cellStyle name="40% - Accent2 7 3 2" xfId="22454" xr:uid="{00000000-0005-0000-0000-0000452F0000}"/>
    <cellStyle name="40% - Accent2 7 4" xfId="9172" xr:uid="{00000000-0005-0000-0000-0000462F0000}"/>
    <cellStyle name="40% - Accent2 7 4 2" xfId="20460" xr:uid="{00000000-0005-0000-0000-0000472F0000}"/>
    <cellStyle name="40% - Accent2 7 5" xfId="7178" xr:uid="{00000000-0005-0000-0000-0000482F0000}"/>
    <cellStyle name="40% - Accent2 7 5 2" xfId="18466" xr:uid="{00000000-0005-0000-0000-0000492F0000}"/>
    <cellStyle name="40% - Accent2 7 6" xfId="5184" xr:uid="{00000000-0005-0000-0000-00004A2F0000}"/>
    <cellStyle name="40% - Accent2 7 6 2" xfId="16472" xr:uid="{00000000-0005-0000-0000-00004B2F0000}"/>
    <cellStyle name="40% - Accent2 7 7" xfId="14478" xr:uid="{00000000-0005-0000-0000-00004C2F0000}"/>
    <cellStyle name="40% - Accent2 7 8" xfId="13164" xr:uid="{00000000-0005-0000-0000-00004D2F0000}"/>
    <cellStyle name="40% - Accent2 7 9" xfId="23979" xr:uid="{00000000-0005-0000-0000-00004E2F0000}"/>
    <cellStyle name="40% - Accent2 70" xfId="1229" xr:uid="{00000000-0005-0000-0000-00004F2F0000}"/>
    <cellStyle name="40% - Accent2 70 2" xfId="4185" xr:uid="{00000000-0005-0000-0000-0000502F0000}"/>
    <cellStyle name="40% - Accent2 70 2 2" xfId="12164" xr:uid="{00000000-0005-0000-0000-0000512F0000}"/>
    <cellStyle name="40% - Accent2 70 2 2 2" xfId="23452" xr:uid="{00000000-0005-0000-0000-0000522F0000}"/>
    <cellStyle name="40% - Accent2 70 2 3" xfId="10170" xr:uid="{00000000-0005-0000-0000-0000532F0000}"/>
    <cellStyle name="40% - Accent2 70 2 3 2" xfId="21458" xr:uid="{00000000-0005-0000-0000-0000542F0000}"/>
    <cellStyle name="40% - Accent2 70 2 4" xfId="8176" xr:uid="{00000000-0005-0000-0000-0000552F0000}"/>
    <cellStyle name="40% - Accent2 70 2 4 2" xfId="19464" xr:uid="{00000000-0005-0000-0000-0000562F0000}"/>
    <cellStyle name="40% - Accent2 70 2 5" xfId="6182" xr:uid="{00000000-0005-0000-0000-0000572F0000}"/>
    <cellStyle name="40% - Accent2 70 2 5 2" xfId="17470" xr:uid="{00000000-0005-0000-0000-0000582F0000}"/>
    <cellStyle name="40% - Accent2 70 2 6" xfId="15476" xr:uid="{00000000-0005-0000-0000-0000592F0000}"/>
    <cellStyle name="40% - Accent2 70 3" xfId="11167" xr:uid="{00000000-0005-0000-0000-00005A2F0000}"/>
    <cellStyle name="40% - Accent2 70 3 2" xfId="22455" xr:uid="{00000000-0005-0000-0000-00005B2F0000}"/>
    <cellStyle name="40% - Accent2 70 4" xfId="9173" xr:uid="{00000000-0005-0000-0000-00005C2F0000}"/>
    <cellStyle name="40% - Accent2 70 4 2" xfId="20461" xr:uid="{00000000-0005-0000-0000-00005D2F0000}"/>
    <cellStyle name="40% - Accent2 70 5" xfId="7179" xr:uid="{00000000-0005-0000-0000-00005E2F0000}"/>
    <cellStyle name="40% - Accent2 70 5 2" xfId="18467" xr:uid="{00000000-0005-0000-0000-00005F2F0000}"/>
    <cellStyle name="40% - Accent2 70 6" xfId="5185" xr:uid="{00000000-0005-0000-0000-0000602F0000}"/>
    <cellStyle name="40% - Accent2 70 6 2" xfId="16473" xr:uid="{00000000-0005-0000-0000-0000612F0000}"/>
    <cellStyle name="40% - Accent2 70 7" xfId="14479" xr:uid="{00000000-0005-0000-0000-0000622F0000}"/>
    <cellStyle name="40% - Accent2 70 8" xfId="13165" xr:uid="{00000000-0005-0000-0000-0000632F0000}"/>
    <cellStyle name="40% - Accent2 71" xfId="1230" xr:uid="{00000000-0005-0000-0000-0000642F0000}"/>
    <cellStyle name="40% - Accent2 71 2" xfId="4186" xr:uid="{00000000-0005-0000-0000-0000652F0000}"/>
    <cellStyle name="40% - Accent2 71 2 2" xfId="12165" xr:uid="{00000000-0005-0000-0000-0000662F0000}"/>
    <cellStyle name="40% - Accent2 71 2 2 2" xfId="23453" xr:uid="{00000000-0005-0000-0000-0000672F0000}"/>
    <cellStyle name="40% - Accent2 71 2 3" xfId="10171" xr:uid="{00000000-0005-0000-0000-0000682F0000}"/>
    <cellStyle name="40% - Accent2 71 2 3 2" xfId="21459" xr:uid="{00000000-0005-0000-0000-0000692F0000}"/>
    <cellStyle name="40% - Accent2 71 2 4" xfId="8177" xr:uid="{00000000-0005-0000-0000-00006A2F0000}"/>
    <cellStyle name="40% - Accent2 71 2 4 2" xfId="19465" xr:uid="{00000000-0005-0000-0000-00006B2F0000}"/>
    <cellStyle name="40% - Accent2 71 2 5" xfId="6183" xr:uid="{00000000-0005-0000-0000-00006C2F0000}"/>
    <cellStyle name="40% - Accent2 71 2 5 2" xfId="17471" xr:uid="{00000000-0005-0000-0000-00006D2F0000}"/>
    <cellStyle name="40% - Accent2 71 2 6" xfId="15477" xr:uid="{00000000-0005-0000-0000-00006E2F0000}"/>
    <cellStyle name="40% - Accent2 71 3" xfId="11168" xr:uid="{00000000-0005-0000-0000-00006F2F0000}"/>
    <cellStyle name="40% - Accent2 71 3 2" xfId="22456" xr:uid="{00000000-0005-0000-0000-0000702F0000}"/>
    <cellStyle name="40% - Accent2 71 4" xfId="9174" xr:uid="{00000000-0005-0000-0000-0000712F0000}"/>
    <cellStyle name="40% - Accent2 71 4 2" xfId="20462" xr:uid="{00000000-0005-0000-0000-0000722F0000}"/>
    <cellStyle name="40% - Accent2 71 5" xfId="7180" xr:uid="{00000000-0005-0000-0000-0000732F0000}"/>
    <cellStyle name="40% - Accent2 71 5 2" xfId="18468" xr:uid="{00000000-0005-0000-0000-0000742F0000}"/>
    <cellStyle name="40% - Accent2 71 6" xfId="5186" xr:uid="{00000000-0005-0000-0000-0000752F0000}"/>
    <cellStyle name="40% - Accent2 71 6 2" xfId="16474" xr:uid="{00000000-0005-0000-0000-0000762F0000}"/>
    <cellStyle name="40% - Accent2 71 7" xfId="14480" xr:uid="{00000000-0005-0000-0000-0000772F0000}"/>
    <cellStyle name="40% - Accent2 71 8" xfId="13166" xr:uid="{00000000-0005-0000-0000-0000782F0000}"/>
    <cellStyle name="40% - Accent2 72" xfId="1231" xr:uid="{00000000-0005-0000-0000-0000792F0000}"/>
    <cellStyle name="40% - Accent2 72 2" xfId="4187" xr:uid="{00000000-0005-0000-0000-00007A2F0000}"/>
    <cellStyle name="40% - Accent2 72 2 2" xfId="12166" xr:uid="{00000000-0005-0000-0000-00007B2F0000}"/>
    <cellStyle name="40% - Accent2 72 2 2 2" xfId="23454" xr:uid="{00000000-0005-0000-0000-00007C2F0000}"/>
    <cellStyle name="40% - Accent2 72 2 3" xfId="10172" xr:uid="{00000000-0005-0000-0000-00007D2F0000}"/>
    <cellStyle name="40% - Accent2 72 2 3 2" xfId="21460" xr:uid="{00000000-0005-0000-0000-00007E2F0000}"/>
    <cellStyle name="40% - Accent2 72 2 4" xfId="8178" xr:uid="{00000000-0005-0000-0000-00007F2F0000}"/>
    <cellStyle name="40% - Accent2 72 2 4 2" xfId="19466" xr:uid="{00000000-0005-0000-0000-0000802F0000}"/>
    <cellStyle name="40% - Accent2 72 2 5" xfId="6184" xr:uid="{00000000-0005-0000-0000-0000812F0000}"/>
    <cellStyle name="40% - Accent2 72 2 5 2" xfId="17472" xr:uid="{00000000-0005-0000-0000-0000822F0000}"/>
    <cellStyle name="40% - Accent2 72 2 6" xfId="15478" xr:uid="{00000000-0005-0000-0000-0000832F0000}"/>
    <cellStyle name="40% - Accent2 72 3" xfId="11169" xr:uid="{00000000-0005-0000-0000-0000842F0000}"/>
    <cellStyle name="40% - Accent2 72 3 2" xfId="22457" xr:uid="{00000000-0005-0000-0000-0000852F0000}"/>
    <cellStyle name="40% - Accent2 72 4" xfId="9175" xr:uid="{00000000-0005-0000-0000-0000862F0000}"/>
    <cellStyle name="40% - Accent2 72 4 2" xfId="20463" xr:uid="{00000000-0005-0000-0000-0000872F0000}"/>
    <cellStyle name="40% - Accent2 72 5" xfId="7181" xr:uid="{00000000-0005-0000-0000-0000882F0000}"/>
    <cellStyle name="40% - Accent2 72 5 2" xfId="18469" xr:uid="{00000000-0005-0000-0000-0000892F0000}"/>
    <cellStyle name="40% - Accent2 72 6" xfId="5187" xr:uid="{00000000-0005-0000-0000-00008A2F0000}"/>
    <cellStyle name="40% - Accent2 72 6 2" xfId="16475" xr:uid="{00000000-0005-0000-0000-00008B2F0000}"/>
    <cellStyle name="40% - Accent2 72 7" xfId="14481" xr:uid="{00000000-0005-0000-0000-00008C2F0000}"/>
    <cellStyle name="40% - Accent2 72 8" xfId="13167" xr:uid="{00000000-0005-0000-0000-00008D2F0000}"/>
    <cellStyle name="40% - Accent2 8" xfId="1232" xr:uid="{00000000-0005-0000-0000-00008E2F0000}"/>
    <cellStyle name="40% - Accent2 8 2" xfId="4188" xr:uid="{00000000-0005-0000-0000-00008F2F0000}"/>
    <cellStyle name="40% - Accent2 8 2 2" xfId="12167" xr:uid="{00000000-0005-0000-0000-0000902F0000}"/>
    <cellStyle name="40% - Accent2 8 2 2 2" xfId="23455" xr:uid="{00000000-0005-0000-0000-0000912F0000}"/>
    <cellStyle name="40% - Accent2 8 2 3" xfId="10173" xr:uid="{00000000-0005-0000-0000-0000922F0000}"/>
    <cellStyle name="40% - Accent2 8 2 3 2" xfId="21461" xr:uid="{00000000-0005-0000-0000-0000932F0000}"/>
    <cellStyle name="40% - Accent2 8 2 4" xfId="8179" xr:uid="{00000000-0005-0000-0000-0000942F0000}"/>
    <cellStyle name="40% - Accent2 8 2 4 2" xfId="19467" xr:uid="{00000000-0005-0000-0000-0000952F0000}"/>
    <cellStyle name="40% - Accent2 8 2 5" xfId="6185" xr:uid="{00000000-0005-0000-0000-0000962F0000}"/>
    <cellStyle name="40% - Accent2 8 2 5 2" xfId="17473" xr:uid="{00000000-0005-0000-0000-0000972F0000}"/>
    <cellStyle name="40% - Accent2 8 2 6" xfId="15479" xr:uid="{00000000-0005-0000-0000-0000982F0000}"/>
    <cellStyle name="40% - Accent2 8 3" xfId="11170" xr:uid="{00000000-0005-0000-0000-0000992F0000}"/>
    <cellStyle name="40% - Accent2 8 3 2" xfId="22458" xr:uid="{00000000-0005-0000-0000-00009A2F0000}"/>
    <cellStyle name="40% - Accent2 8 4" xfId="9176" xr:uid="{00000000-0005-0000-0000-00009B2F0000}"/>
    <cellStyle name="40% - Accent2 8 4 2" xfId="20464" xr:uid="{00000000-0005-0000-0000-00009C2F0000}"/>
    <cellStyle name="40% - Accent2 8 5" xfId="7182" xr:uid="{00000000-0005-0000-0000-00009D2F0000}"/>
    <cellStyle name="40% - Accent2 8 5 2" xfId="18470" xr:uid="{00000000-0005-0000-0000-00009E2F0000}"/>
    <cellStyle name="40% - Accent2 8 6" xfId="5188" xr:uid="{00000000-0005-0000-0000-00009F2F0000}"/>
    <cellStyle name="40% - Accent2 8 6 2" xfId="16476" xr:uid="{00000000-0005-0000-0000-0000A02F0000}"/>
    <cellStyle name="40% - Accent2 8 7" xfId="14482" xr:uid="{00000000-0005-0000-0000-0000A12F0000}"/>
    <cellStyle name="40% - Accent2 8 8" xfId="13168" xr:uid="{00000000-0005-0000-0000-0000A22F0000}"/>
    <cellStyle name="40% - Accent2 9" xfId="1233" xr:uid="{00000000-0005-0000-0000-0000A32F0000}"/>
    <cellStyle name="40% - Accent2 9 2" xfId="4189" xr:uid="{00000000-0005-0000-0000-0000A42F0000}"/>
    <cellStyle name="40% - Accent2 9 2 2" xfId="12168" xr:uid="{00000000-0005-0000-0000-0000A52F0000}"/>
    <cellStyle name="40% - Accent2 9 2 2 2" xfId="23456" xr:uid="{00000000-0005-0000-0000-0000A62F0000}"/>
    <cellStyle name="40% - Accent2 9 2 3" xfId="10174" xr:uid="{00000000-0005-0000-0000-0000A72F0000}"/>
    <cellStyle name="40% - Accent2 9 2 3 2" xfId="21462" xr:uid="{00000000-0005-0000-0000-0000A82F0000}"/>
    <cellStyle name="40% - Accent2 9 2 4" xfId="8180" xr:uid="{00000000-0005-0000-0000-0000A92F0000}"/>
    <cellStyle name="40% - Accent2 9 2 4 2" xfId="19468" xr:uid="{00000000-0005-0000-0000-0000AA2F0000}"/>
    <cellStyle name="40% - Accent2 9 2 5" xfId="6186" xr:uid="{00000000-0005-0000-0000-0000AB2F0000}"/>
    <cellStyle name="40% - Accent2 9 2 5 2" xfId="17474" xr:uid="{00000000-0005-0000-0000-0000AC2F0000}"/>
    <cellStyle name="40% - Accent2 9 2 6" xfId="15480" xr:uid="{00000000-0005-0000-0000-0000AD2F0000}"/>
    <cellStyle name="40% - Accent2 9 3" xfId="11171" xr:uid="{00000000-0005-0000-0000-0000AE2F0000}"/>
    <cellStyle name="40% - Accent2 9 3 2" xfId="22459" xr:uid="{00000000-0005-0000-0000-0000AF2F0000}"/>
    <cellStyle name="40% - Accent2 9 4" xfId="9177" xr:uid="{00000000-0005-0000-0000-0000B02F0000}"/>
    <cellStyle name="40% - Accent2 9 4 2" xfId="20465" xr:uid="{00000000-0005-0000-0000-0000B12F0000}"/>
    <cellStyle name="40% - Accent2 9 5" xfId="7183" xr:uid="{00000000-0005-0000-0000-0000B22F0000}"/>
    <cellStyle name="40% - Accent2 9 5 2" xfId="18471" xr:uid="{00000000-0005-0000-0000-0000B32F0000}"/>
    <cellStyle name="40% - Accent2 9 6" xfId="5189" xr:uid="{00000000-0005-0000-0000-0000B42F0000}"/>
    <cellStyle name="40% - Accent2 9 6 2" xfId="16477" xr:uid="{00000000-0005-0000-0000-0000B52F0000}"/>
    <cellStyle name="40% - Accent2 9 7" xfId="14483" xr:uid="{00000000-0005-0000-0000-0000B62F0000}"/>
    <cellStyle name="40% - Accent2 9 8" xfId="13169" xr:uid="{00000000-0005-0000-0000-0000B72F0000}"/>
    <cellStyle name="40% - Accent3 10" xfId="1234" xr:uid="{00000000-0005-0000-0000-0000B82F0000}"/>
    <cellStyle name="40% - Accent3 10 2" xfId="4190" xr:uid="{00000000-0005-0000-0000-0000B92F0000}"/>
    <cellStyle name="40% - Accent3 10 2 2" xfId="12169" xr:uid="{00000000-0005-0000-0000-0000BA2F0000}"/>
    <cellStyle name="40% - Accent3 10 2 2 2" xfId="23457" xr:uid="{00000000-0005-0000-0000-0000BB2F0000}"/>
    <cellStyle name="40% - Accent3 10 2 3" xfId="10175" xr:uid="{00000000-0005-0000-0000-0000BC2F0000}"/>
    <cellStyle name="40% - Accent3 10 2 3 2" xfId="21463" xr:uid="{00000000-0005-0000-0000-0000BD2F0000}"/>
    <cellStyle name="40% - Accent3 10 2 4" xfId="8181" xr:uid="{00000000-0005-0000-0000-0000BE2F0000}"/>
    <cellStyle name="40% - Accent3 10 2 4 2" xfId="19469" xr:uid="{00000000-0005-0000-0000-0000BF2F0000}"/>
    <cellStyle name="40% - Accent3 10 2 5" xfId="6187" xr:uid="{00000000-0005-0000-0000-0000C02F0000}"/>
    <cellStyle name="40% - Accent3 10 2 5 2" xfId="17475" xr:uid="{00000000-0005-0000-0000-0000C12F0000}"/>
    <cellStyle name="40% - Accent3 10 2 6" xfId="15481" xr:uid="{00000000-0005-0000-0000-0000C22F0000}"/>
    <cellStyle name="40% - Accent3 10 3" xfId="11172" xr:uid="{00000000-0005-0000-0000-0000C32F0000}"/>
    <cellStyle name="40% - Accent3 10 3 2" xfId="22460" xr:uid="{00000000-0005-0000-0000-0000C42F0000}"/>
    <cellStyle name="40% - Accent3 10 4" xfId="9178" xr:uid="{00000000-0005-0000-0000-0000C52F0000}"/>
    <cellStyle name="40% - Accent3 10 4 2" xfId="20466" xr:uid="{00000000-0005-0000-0000-0000C62F0000}"/>
    <cellStyle name="40% - Accent3 10 5" xfId="7184" xr:uid="{00000000-0005-0000-0000-0000C72F0000}"/>
    <cellStyle name="40% - Accent3 10 5 2" xfId="18472" xr:uid="{00000000-0005-0000-0000-0000C82F0000}"/>
    <cellStyle name="40% - Accent3 10 6" xfId="5190" xr:uid="{00000000-0005-0000-0000-0000C92F0000}"/>
    <cellStyle name="40% - Accent3 10 6 2" xfId="16478" xr:uid="{00000000-0005-0000-0000-0000CA2F0000}"/>
    <cellStyle name="40% - Accent3 10 7" xfId="14484" xr:uid="{00000000-0005-0000-0000-0000CB2F0000}"/>
    <cellStyle name="40% - Accent3 10 8" xfId="13170" xr:uid="{00000000-0005-0000-0000-0000CC2F0000}"/>
    <cellStyle name="40% - Accent3 11" xfId="1235" xr:uid="{00000000-0005-0000-0000-0000CD2F0000}"/>
    <cellStyle name="40% - Accent3 11 2" xfId="4191" xr:uid="{00000000-0005-0000-0000-0000CE2F0000}"/>
    <cellStyle name="40% - Accent3 11 2 2" xfId="12170" xr:uid="{00000000-0005-0000-0000-0000CF2F0000}"/>
    <cellStyle name="40% - Accent3 11 2 2 2" xfId="23458" xr:uid="{00000000-0005-0000-0000-0000D02F0000}"/>
    <cellStyle name="40% - Accent3 11 2 3" xfId="10176" xr:uid="{00000000-0005-0000-0000-0000D12F0000}"/>
    <cellStyle name="40% - Accent3 11 2 3 2" xfId="21464" xr:uid="{00000000-0005-0000-0000-0000D22F0000}"/>
    <cellStyle name="40% - Accent3 11 2 4" xfId="8182" xr:uid="{00000000-0005-0000-0000-0000D32F0000}"/>
    <cellStyle name="40% - Accent3 11 2 4 2" xfId="19470" xr:uid="{00000000-0005-0000-0000-0000D42F0000}"/>
    <cellStyle name="40% - Accent3 11 2 5" xfId="6188" xr:uid="{00000000-0005-0000-0000-0000D52F0000}"/>
    <cellStyle name="40% - Accent3 11 2 5 2" xfId="17476" xr:uid="{00000000-0005-0000-0000-0000D62F0000}"/>
    <cellStyle name="40% - Accent3 11 2 6" xfId="15482" xr:uid="{00000000-0005-0000-0000-0000D72F0000}"/>
    <cellStyle name="40% - Accent3 11 3" xfId="11173" xr:uid="{00000000-0005-0000-0000-0000D82F0000}"/>
    <cellStyle name="40% - Accent3 11 3 2" xfId="22461" xr:uid="{00000000-0005-0000-0000-0000D92F0000}"/>
    <cellStyle name="40% - Accent3 11 4" xfId="9179" xr:uid="{00000000-0005-0000-0000-0000DA2F0000}"/>
    <cellStyle name="40% - Accent3 11 4 2" xfId="20467" xr:uid="{00000000-0005-0000-0000-0000DB2F0000}"/>
    <cellStyle name="40% - Accent3 11 5" xfId="7185" xr:uid="{00000000-0005-0000-0000-0000DC2F0000}"/>
    <cellStyle name="40% - Accent3 11 5 2" xfId="18473" xr:uid="{00000000-0005-0000-0000-0000DD2F0000}"/>
    <cellStyle name="40% - Accent3 11 6" xfId="5191" xr:uid="{00000000-0005-0000-0000-0000DE2F0000}"/>
    <cellStyle name="40% - Accent3 11 6 2" xfId="16479" xr:uid="{00000000-0005-0000-0000-0000DF2F0000}"/>
    <cellStyle name="40% - Accent3 11 7" xfId="14485" xr:uid="{00000000-0005-0000-0000-0000E02F0000}"/>
    <cellStyle name="40% - Accent3 11 8" xfId="13171" xr:uid="{00000000-0005-0000-0000-0000E12F0000}"/>
    <cellStyle name="40% - Accent3 12" xfId="1236" xr:uid="{00000000-0005-0000-0000-0000E22F0000}"/>
    <cellStyle name="40% - Accent3 12 2" xfId="4192" xr:uid="{00000000-0005-0000-0000-0000E32F0000}"/>
    <cellStyle name="40% - Accent3 12 2 2" xfId="12171" xr:uid="{00000000-0005-0000-0000-0000E42F0000}"/>
    <cellStyle name="40% - Accent3 12 2 2 2" xfId="23459" xr:uid="{00000000-0005-0000-0000-0000E52F0000}"/>
    <cellStyle name="40% - Accent3 12 2 3" xfId="10177" xr:uid="{00000000-0005-0000-0000-0000E62F0000}"/>
    <cellStyle name="40% - Accent3 12 2 3 2" xfId="21465" xr:uid="{00000000-0005-0000-0000-0000E72F0000}"/>
    <cellStyle name="40% - Accent3 12 2 4" xfId="8183" xr:uid="{00000000-0005-0000-0000-0000E82F0000}"/>
    <cellStyle name="40% - Accent3 12 2 4 2" xfId="19471" xr:uid="{00000000-0005-0000-0000-0000E92F0000}"/>
    <cellStyle name="40% - Accent3 12 2 5" xfId="6189" xr:uid="{00000000-0005-0000-0000-0000EA2F0000}"/>
    <cellStyle name="40% - Accent3 12 2 5 2" xfId="17477" xr:uid="{00000000-0005-0000-0000-0000EB2F0000}"/>
    <cellStyle name="40% - Accent3 12 2 6" xfId="15483" xr:uid="{00000000-0005-0000-0000-0000EC2F0000}"/>
    <cellStyle name="40% - Accent3 12 3" xfId="11174" xr:uid="{00000000-0005-0000-0000-0000ED2F0000}"/>
    <cellStyle name="40% - Accent3 12 3 2" xfId="22462" xr:uid="{00000000-0005-0000-0000-0000EE2F0000}"/>
    <cellStyle name="40% - Accent3 12 4" xfId="9180" xr:uid="{00000000-0005-0000-0000-0000EF2F0000}"/>
    <cellStyle name="40% - Accent3 12 4 2" xfId="20468" xr:uid="{00000000-0005-0000-0000-0000F02F0000}"/>
    <cellStyle name="40% - Accent3 12 5" xfId="7186" xr:uid="{00000000-0005-0000-0000-0000F12F0000}"/>
    <cellStyle name="40% - Accent3 12 5 2" xfId="18474" xr:uid="{00000000-0005-0000-0000-0000F22F0000}"/>
    <cellStyle name="40% - Accent3 12 6" xfId="5192" xr:uid="{00000000-0005-0000-0000-0000F32F0000}"/>
    <cellStyle name="40% - Accent3 12 6 2" xfId="16480" xr:uid="{00000000-0005-0000-0000-0000F42F0000}"/>
    <cellStyle name="40% - Accent3 12 7" xfId="14486" xr:uid="{00000000-0005-0000-0000-0000F52F0000}"/>
    <cellStyle name="40% - Accent3 12 8" xfId="13172" xr:uid="{00000000-0005-0000-0000-0000F62F0000}"/>
    <cellStyle name="40% - Accent3 13" xfId="1237" xr:uid="{00000000-0005-0000-0000-0000F72F0000}"/>
    <cellStyle name="40% - Accent3 13 2" xfId="4193" xr:uid="{00000000-0005-0000-0000-0000F82F0000}"/>
    <cellStyle name="40% - Accent3 13 2 2" xfId="12172" xr:uid="{00000000-0005-0000-0000-0000F92F0000}"/>
    <cellStyle name="40% - Accent3 13 2 2 2" xfId="23460" xr:uid="{00000000-0005-0000-0000-0000FA2F0000}"/>
    <cellStyle name="40% - Accent3 13 2 3" xfId="10178" xr:uid="{00000000-0005-0000-0000-0000FB2F0000}"/>
    <cellStyle name="40% - Accent3 13 2 3 2" xfId="21466" xr:uid="{00000000-0005-0000-0000-0000FC2F0000}"/>
    <cellStyle name="40% - Accent3 13 2 4" xfId="8184" xr:uid="{00000000-0005-0000-0000-0000FD2F0000}"/>
    <cellStyle name="40% - Accent3 13 2 4 2" xfId="19472" xr:uid="{00000000-0005-0000-0000-0000FE2F0000}"/>
    <cellStyle name="40% - Accent3 13 2 5" xfId="6190" xr:uid="{00000000-0005-0000-0000-0000FF2F0000}"/>
    <cellStyle name="40% - Accent3 13 2 5 2" xfId="17478" xr:uid="{00000000-0005-0000-0000-000000300000}"/>
    <cellStyle name="40% - Accent3 13 2 6" xfId="15484" xr:uid="{00000000-0005-0000-0000-000001300000}"/>
    <cellStyle name="40% - Accent3 13 3" xfId="11175" xr:uid="{00000000-0005-0000-0000-000002300000}"/>
    <cellStyle name="40% - Accent3 13 3 2" xfId="22463" xr:uid="{00000000-0005-0000-0000-000003300000}"/>
    <cellStyle name="40% - Accent3 13 4" xfId="9181" xr:uid="{00000000-0005-0000-0000-000004300000}"/>
    <cellStyle name="40% - Accent3 13 4 2" xfId="20469" xr:uid="{00000000-0005-0000-0000-000005300000}"/>
    <cellStyle name="40% - Accent3 13 5" xfId="7187" xr:uid="{00000000-0005-0000-0000-000006300000}"/>
    <cellStyle name="40% - Accent3 13 5 2" xfId="18475" xr:uid="{00000000-0005-0000-0000-000007300000}"/>
    <cellStyle name="40% - Accent3 13 6" xfId="5193" xr:uid="{00000000-0005-0000-0000-000008300000}"/>
    <cellStyle name="40% - Accent3 13 6 2" xfId="16481" xr:uid="{00000000-0005-0000-0000-000009300000}"/>
    <cellStyle name="40% - Accent3 13 7" xfId="14487" xr:uid="{00000000-0005-0000-0000-00000A300000}"/>
    <cellStyle name="40% - Accent3 13 8" xfId="13173" xr:uid="{00000000-0005-0000-0000-00000B300000}"/>
    <cellStyle name="40% - Accent3 14" xfId="1238" xr:uid="{00000000-0005-0000-0000-00000C300000}"/>
    <cellStyle name="40% - Accent3 14 2" xfId="4194" xr:uid="{00000000-0005-0000-0000-00000D300000}"/>
    <cellStyle name="40% - Accent3 14 2 2" xfId="12173" xr:uid="{00000000-0005-0000-0000-00000E300000}"/>
    <cellStyle name="40% - Accent3 14 2 2 2" xfId="23461" xr:uid="{00000000-0005-0000-0000-00000F300000}"/>
    <cellStyle name="40% - Accent3 14 2 3" xfId="10179" xr:uid="{00000000-0005-0000-0000-000010300000}"/>
    <cellStyle name="40% - Accent3 14 2 3 2" xfId="21467" xr:uid="{00000000-0005-0000-0000-000011300000}"/>
    <cellStyle name="40% - Accent3 14 2 4" xfId="8185" xr:uid="{00000000-0005-0000-0000-000012300000}"/>
    <cellStyle name="40% - Accent3 14 2 4 2" xfId="19473" xr:uid="{00000000-0005-0000-0000-000013300000}"/>
    <cellStyle name="40% - Accent3 14 2 5" xfId="6191" xr:uid="{00000000-0005-0000-0000-000014300000}"/>
    <cellStyle name="40% - Accent3 14 2 5 2" xfId="17479" xr:uid="{00000000-0005-0000-0000-000015300000}"/>
    <cellStyle name="40% - Accent3 14 2 6" xfId="15485" xr:uid="{00000000-0005-0000-0000-000016300000}"/>
    <cellStyle name="40% - Accent3 14 3" xfId="11176" xr:uid="{00000000-0005-0000-0000-000017300000}"/>
    <cellStyle name="40% - Accent3 14 3 2" xfId="22464" xr:uid="{00000000-0005-0000-0000-000018300000}"/>
    <cellStyle name="40% - Accent3 14 4" xfId="9182" xr:uid="{00000000-0005-0000-0000-000019300000}"/>
    <cellStyle name="40% - Accent3 14 4 2" xfId="20470" xr:uid="{00000000-0005-0000-0000-00001A300000}"/>
    <cellStyle name="40% - Accent3 14 5" xfId="7188" xr:uid="{00000000-0005-0000-0000-00001B300000}"/>
    <cellStyle name="40% - Accent3 14 5 2" xfId="18476" xr:uid="{00000000-0005-0000-0000-00001C300000}"/>
    <cellStyle name="40% - Accent3 14 6" xfId="5194" xr:uid="{00000000-0005-0000-0000-00001D300000}"/>
    <cellStyle name="40% - Accent3 14 6 2" xfId="16482" xr:uid="{00000000-0005-0000-0000-00001E300000}"/>
    <cellStyle name="40% - Accent3 14 7" xfId="14488" xr:uid="{00000000-0005-0000-0000-00001F300000}"/>
    <cellStyle name="40% - Accent3 14 8" xfId="13174" xr:uid="{00000000-0005-0000-0000-000020300000}"/>
    <cellStyle name="40% - Accent3 15" xfId="1239" xr:uid="{00000000-0005-0000-0000-000021300000}"/>
    <cellStyle name="40% - Accent3 15 2" xfId="4195" xr:uid="{00000000-0005-0000-0000-000022300000}"/>
    <cellStyle name="40% - Accent3 15 2 2" xfId="12174" xr:uid="{00000000-0005-0000-0000-000023300000}"/>
    <cellStyle name="40% - Accent3 15 2 2 2" xfId="23462" xr:uid="{00000000-0005-0000-0000-000024300000}"/>
    <cellStyle name="40% - Accent3 15 2 3" xfId="10180" xr:uid="{00000000-0005-0000-0000-000025300000}"/>
    <cellStyle name="40% - Accent3 15 2 3 2" xfId="21468" xr:uid="{00000000-0005-0000-0000-000026300000}"/>
    <cellStyle name="40% - Accent3 15 2 4" xfId="8186" xr:uid="{00000000-0005-0000-0000-000027300000}"/>
    <cellStyle name="40% - Accent3 15 2 4 2" xfId="19474" xr:uid="{00000000-0005-0000-0000-000028300000}"/>
    <cellStyle name="40% - Accent3 15 2 5" xfId="6192" xr:uid="{00000000-0005-0000-0000-000029300000}"/>
    <cellStyle name="40% - Accent3 15 2 5 2" xfId="17480" xr:uid="{00000000-0005-0000-0000-00002A300000}"/>
    <cellStyle name="40% - Accent3 15 2 6" xfId="15486" xr:uid="{00000000-0005-0000-0000-00002B300000}"/>
    <cellStyle name="40% - Accent3 15 3" xfId="11177" xr:uid="{00000000-0005-0000-0000-00002C300000}"/>
    <cellStyle name="40% - Accent3 15 3 2" xfId="22465" xr:uid="{00000000-0005-0000-0000-00002D300000}"/>
    <cellStyle name="40% - Accent3 15 4" xfId="9183" xr:uid="{00000000-0005-0000-0000-00002E300000}"/>
    <cellStyle name="40% - Accent3 15 4 2" xfId="20471" xr:uid="{00000000-0005-0000-0000-00002F300000}"/>
    <cellStyle name="40% - Accent3 15 5" xfId="7189" xr:uid="{00000000-0005-0000-0000-000030300000}"/>
    <cellStyle name="40% - Accent3 15 5 2" xfId="18477" xr:uid="{00000000-0005-0000-0000-000031300000}"/>
    <cellStyle name="40% - Accent3 15 6" xfId="5195" xr:uid="{00000000-0005-0000-0000-000032300000}"/>
    <cellStyle name="40% - Accent3 15 6 2" xfId="16483" xr:uid="{00000000-0005-0000-0000-000033300000}"/>
    <cellStyle name="40% - Accent3 15 7" xfId="14489" xr:uid="{00000000-0005-0000-0000-000034300000}"/>
    <cellStyle name="40% - Accent3 15 8" xfId="13175" xr:uid="{00000000-0005-0000-0000-000035300000}"/>
    <cellStyle name="40% - Accent3 16" xfId="1240" xr:uid="{00000000-0005-0000-0000-000036300000}"/>
    <cellStyle name="40% - Accent3 16 2" xfId="4196" xr:uid="{00000000-0005-0000-0000-000037300000}"/>
    <cellStyle name="40% - Accent3 16 2 2" xfId="12175" xr:uid="{00000000-0005-0000-0000-000038300000}"/>
    <cellStyle name="40% - Accent3 16 2 2 2" xfId="23463" xr:uid="{00000000-0005-0000-0000-000039300000}"/>
    <cellStyle name="40% - Accent3 16 2 3" xfId="10181" xr:uid="{00000000-0005-0000-0000-00003A300000}"/>
    <cellStyle name="40% - Accent3 16 2 3 2" xfId="21469" xr:uid="{00000000-0005-0000-0000-00003B300000}"/>
    <cellStyle name="40% - Accent3 16 2 4" xfId="8187" xr:uid="{00000000-0005-0000-0000-00003C300000}"/>
    <cellStyle name="40% - Accent3 16 2 4 2" xfId="19475" xr:uid="{00000000-0005-0000-0000-00003D300000}"/>
    <cellStyle name="40% - Accent3 16 2 5" xfId="6193" xr:uid="{00000000-0005-0000-0000-00003E300000}"/>
    <cellStyle name="40% - Accent3 16 2 5 2" xfId="17481" xr:uid="{00000000-0005-0000-0000-00003F300000}"/>
    <cellStyle name="40% - Accent3 16 2 6" xfId="15487" xr:uid="{00000000-0005-0000-0000-000040300000}"/>
    <cellStyle name="40% - Accent3 16 3" xfId="11178" xr:uid="{00000000-0005-0000-0000-000041300000}"/>
    <cellStyle name="40% - Accent3 16 3 2" xfId="22466" xr:uid="{00000000-0005-0000-0000-000042300000}"/>
    <cellStyle name="40% - Accent3 16 4" xfId="9184" xr:uid="{00000000-0005-0000-0000-000043300000}"/>
    <cellStyle name="40% - Accent3 16 4 2" xfId="20472" xr:uid="{00000000-0005-0000-0000-000044300000}"/>
    <cellStyle name="40% - Accent3 16 5" xfId="7190" xr:uid="{00000000-0005-0000-0000-000045300000}"/>
    <cellStyle name="40% - Accent3 16 5 2" xfId="18478" xr:uid="{00000000-0005-0000-0000-000046300000}"/>
    <cellStyle name="40% - Accent3 16 6" xfId="5196" xr:uid="{00000000-0005-0000-0000-000047300000}"/>
    <cellStyle name="40% - Accent3 16 6 2" xfId="16484" xr:uid="{00000000-0005-0000-0000-000048300000}"/>
    <cellStyle name="40% - Accent3 16 7" xfId="14490" xr:uid="{00000000-0005-0000-0000-000049300000}"/>
    <cellStyle name="40% - Accent3 16 8" xfId="13176" xr:uid="{00000000-0005-0000-0000-00004A300000}"/>
    <cellStyle name="40% - Accent3 17" xfId="1241" xr:uid="{00000000-0005-0000-0000-00004B300000}"/>
    <cellStyle name="40% - Accent3 17 2" xfId="4197" xr:uid="{00000000-0005-0000-0000-00004C300000}"/>
    <cellStyle name="40% - Accent3 17 2 2" xfId="12176" xr:uid="{00000000-0005-0000-0000-00004D300000}"/>
    <cellStyle name="40% - Accent3 17 2 2 2" xfId="23464" xr:uid="{00000000-0005-0000-0000-00004E300000}"/>
    <cellStyle name="40% - Accent3 17 2 3" xfId="10182" xr:uid="{00000000-0005-0000-0000-00004F300000}"/>
    <cellStyle name="40% - Accent3 17 2 3 2" xfId="21470" xr:uid="{00000000-0005-0000-0000-000050300000}"/>
    <cellStyle name="40% - Accent3 17 2 4" xfId="8188" xr:uid="{00000000-0005-0000-0000-000051300000}"/>
    <cellStyle name="40% - Accent3 17 2 4 2" xfId="19476" xr:uid="{00000000-0005-0000-0000-000052300000}"/>
    <cellStyle name="40% - Accent3 17 2 5" xfId="6194" xr:uid="{00000000-0005-0000-0000-000053300000}"/>
    <cellStyle name="40% - Accent3 17 2 5 2" xfId="17482" xr:uid="{00000000-0005-0000-0000-000054300000}"/>
    <cellStyle name="40% - Accent3 17 2 6" xfId="15488" xr:uid="{00000000-0005-0000-0000-000055300000}"/>
    <cellStyle name="40% - Accent3 17 3" xfId="11179" xr:uid="{00000000-0005-0000-0000-000056300000}"/>
    <cellStyle name="40% - Accent3 17 3 2" xfId="22467" xr:uid="{00000000-0005-0000-0000-000057300000}"/>
    <cellStyle name="40% - Accent3 17 4" xfId="9185" xr:uid="{00000000-0005-0000-0000-000058300000}"/>
    <cellStyle name="40% - Accent3 17 4 2" xfId="20473" xr:uid="{00000000-0005-0000-0000-000059300000}"/>
    <cellStyle name="40% - Accent3 17 5" xfId="7191" xr:uid="{00000000-0005-0000-0000-00005A300000}"/>
    <cellStyle name="40% - Accent3 17 5 2" xfId="18479" xr:uid="{00000000-0005-0000-0000-00005B300000}"/>
    <cellStyle name="40% - Accent3 17 6" xfId="5197" xr:uid="{00000000-0005-0000-0000-00005C300000}"/>
    <cellStyle name="40% - Accent3 17 6 2" xfId="16485" xr:uid="{00000000-0005-0000-0000-00005D300000}"/>
    <cellStyle name="40% - Accent3 17 7" xfId="14491" xr:uid="{00000000-0005-0000-0000-00005E300000}"/>
    <cellStyle name="40% - Accent3 17 8" xfId="13177" xr:uid="{00000000-0005-0000-0000-00005F300000}"/>
    <cellStyle name="40% - Accent3 18" xfId="1242" xr:uid="{00000000-0005-0000-0000-000060300000}"/>
    <cellStyle name="40% - Accent3 18 2" xfId="4198" xr:uid="{00000000-0005-0000-0000-000061300000}"/>
    <cellStyle name="40% - Accent3 18 2 2" xfId="12177" xr:uid="{00000000-0005-0000-0000-000062300000}"/>
    <cellStyle name="40% - Accent3 18 2 2 2" xfId="23465" xr:uid="{00000000-0005-0000-0000-000063300000}"/>
    <cellStyle name="40% - Accent3 18 2 3" xfId="10183" xr:uid="{00000000-0005-0000-0000-000064300000}"/>
    <cellStyle name="40% - Accent3 18 2 3 2" xfId="21471" xr:uid="{00000000-0005-0000-0000-000065300000}"/>
    <cellStyle name="40% - Accent3 18 2 4" xfId="8189" xr:uid="{00000000-0005-0000-0000-000066300000}"/>
    <cellStyle name="40% - Accent3 18 2 4 2" xfId="19477" xr:uid="{00000000-0005-0000-0000-000067300000}"/>
    <cellStyle name="40% - Accent3 18 2 5" xfId="6195" xr:uid="{00000000-0005-0000-0000-000068300000}"/>
    <cellStyle name="40% - Accent3 18 2 5 2" xfId="17483" xr:uid="{00000000-0005-0000-0000-000069300000}"/>
    <cellStyle name="40% - Accent3 18 2 6" xfId="15489" xr:uid="{00000000-0005-0000-0000-00006A300000}"/>
    <cellStyle name="40% - Accent3 18 3" xfId="11180" xr:uid="{00000000-0005-0000-0000-00006B300000}"/>
    <cellStyle name="40% - Accent3 18 3 2" xfId="22468" xr:uid="{00000000-0005-0000-0000-00006C300000}"/>
    <cellStyle name="40% - Accent3 18 4" xfId="9186" xr:uid="{00000000-0005-0000-0000-00006D300000}"/>
    <cellStyle name="40% - Accent3 18 4 2" xfId="20474" xr:uid="{00000000-0005-0000-0000-00006E300000}"/>
    <cellStyle name="40% - Accent3 18 5" xfId="7192" xr:uid="{00000000-0005-0000-0000-00006F300000}"/>
    <cellStyle name="40% - Accent3 18 5 2" xfId="18480" xr:uid="{00000000-0005-0000-0000-000070300000}"/>
    <cellStyle name="40% - Accent3 18 6" xfId="5198" xr:uid="{00000000-0005-0000-0000-000071300000}"/>
    <cellStyle name="40% - Accent3 18 6 2" xfId="16486" xr:uid="{00000000-0005-0000-0000-000072300000}"/>
    <cellStyle name="40% - Accent3 18 7" xfId="14492" xr:uid="{00000000-0005-0000-0000-000073300000}"/>
    <cellStyle name="40% - Accent3 18 8" xfId="13178" xr:uid="{00000000-0005-0000-0000-000074300000}"/>
    <cellStyle name="40% - Accent3 19" xfId="1243" xr:uid="{00000000-0005-0000-0000-000075300000}"/>
    <cellStyle name="40% - Accent3 19 2" xfId="4199" xr:uid="{00000000-0005-0000-0000-000076300000}"/>
    <cellStyle name="40% - Accent3 19 2 2" xfId="12178" xr:uid="{00000000-0005-0000-0000-000077300000}"/>
    <cellStyle name="40% - Accent3 19 2 2 2" xfId="23466" xr:uid="{00000000-0005-0000-0000-000078300000}"/>
    <cellStyle name="40% - Accent3 19 2 3" xfId="10184" xr:uid="{00000000-0005-0000-0000-000079300000}"/>
    <cellStyle name="40% - Accent3 19 2 3 2" xfId="21472" xr:uid="{00000000-0005-0000-0000-00007A300000}"/>
    <cellStyle name="40% - Accent3 19 2 4" xfId="8190" xr:uid="{00000000-0005-0000-0000-00007B300000}"/>
    <cellStyle name="40% - Accent3 19 2 4 2" xfId="19478" xr:uid="{00000000-0005-0000-0000-00007C300000}"/>
    <cellStyle name="40% - Accent3 19 2 5" xfId="6196" xr:uid="{00000000-0005-0000-0000-00007D300000}"/>
    <cellStyle name="40% - Accent3 19 2 5 2" xfId="17484" xr:uid="{00000000-0005-0000-0000-00007E300000}"/>
    <cellStyle name="40% - Accent3 19 2 6" xfId="15490" xr:uid="{00000000-0005-0000-0000-00007F300000}"/>
    <cellStyle name="40% - Accent3 19 3" xfId="11181" xr:uid="{00000000-0005-0000-0000-000080300000}"/>
    <cellStyle name="40% - Accent3 19 3 2" xfId="22469" xr:uid="{00000000-0005-0000-0000-000081300000}"/>
    <cellStyle name="40% - Accent3 19 4" xfId="9187" xr:uid="{00000000-0005-0000-0000-000082300000}"/>
    <cellStyle name="40% - Accent3 19 4 2" xfId="20475" xr:uid="{00000000-0005-0000-0000-000083300000}"/>
    <cellStyle name="40% - Accent3 19 5" xfId="7193" xr:uid="{00000000-0005-0000-0000-000084300000}"/>
    <cellStyle name="40% - Accent3 19 5 2" xfId="18481" xr:uid="{00000000-0005-0000-0000-000085300000}"/>
    <cellStyle name="40% - Accent3 19 6" xfId="5199" xr:uid="{00000000-0005-0000-0000-000086300000}"/>
    <cellStyle name="40% - Accent3 19 6 2" xfId="16487" xr:uid="{00000000-0005-0000-0000-000087300000}"/>
    <cellStyle name="40% - Accent3 19 7" xfId="14493" xr:uid="{00000000-0005-0000-0000-000088300000}"/>
    <cellStyle name="40% - Accent3 19 8" xfId="13179" xr:uid="{00000000-0005-0000-0000-000089300000}"/>
    <cellStyle name="40% - Accent3 2" xfId="1244" xr:uid="{00000000-0005-0000-0000-00008A300000}"/>
    <cellStyle name="40% - Accent3 2 10" xfId="24607" xr:uid="{00000000-0005-0000-0000-00008B300000}"/>
    <cellStyle name="40% - Accent3 2 11" xfId="24997" xr:uid="{00000000-0005-0000-0000-00008C300000}"/>
    <cellStyle name="40% - Accent3 2 2" xfId="4200" xr:uid="{00000000-0005-0000-0000-00008D300000}"/>
    <cellStyle name="40% - Accent3 2 2 2" xfId="12179" xr:uid="{00000000-0005-0000-0000-00008E300000}"/>
    <cellStyle name="40% - Accent3 2 2 2 2" xfId="23467" xr:uid="{00000000-0005-0000-0000-00008F300000}"/>
    <cellStyle name="40% - Accent3 2 2 3" xfId="10185" xr:uid="{00000000-0005-0000-0000-000090300000}"/>
    <cellStyle name="40% - Accent3 2 2 3 2" xfId="21473" xr:uid="{00000000-0005-0000-0000-000091300000}"/>
    <cellStyle name="40% - Accent3 2 2 4" xfId="8191" xr:uid="{00000000-0005-0000-0000-000092300000}"/>
    <cellStyle name="40% - Accent3 2 2 4 2" xfId="19479" xr:uid="{00000000-0005-0000-0000-000093300000}"/>
    <cellStyle name="40% - Accent3 2 2 5" xfId="6197" xr:uid="{00000000-0005-0000-0000-000094300000}"/>
    <cellStyle name="40% - Accent3 2 2 5 2" xfId="17485" xr:uid="{00000000-0005-0000-0000-000095300000}"/>
    <cellStyle name="40% - Accent3 2 2 6" xfId="15491" xr:uid="{00000000-0005-0000-0000-000096300000}"/>
    <cellStyle name="40% - Accent3 2 2 7" xfId="24368" xr:uid="{00000000-0005-0000-0000-000097300000}"/>
    <cellStyle name="40% - Accent3 2 2 8" xfId="24832" xr:uid="{00000000-0005-0000-0000-000098300000}"/>
    <cellStyle name="40% - Accent3 2 2 9" xfId="25199" xr:uid="{00000000-0005-0000-0000-000099300000}"/>
    <cellStyle name="40% - Accent3 2 3" xfId="11182" xr:uid="{00000000-0005-0000-0000-00009A300000}"/>
    <cellStyle name="40% - Accent3 2 3 2" xfId="22470" xr:uid="{00000000-0005-0000-0000-00009B300000}"/>
    <cellStyle name="40% - Accent3 2 4" xfId="9188" xr:uid="{00000000-0005-0000-0000-00009C300000}"/>
    <cellStyle name="40% - Accent3 2 4 2" xfId="20476" xr:uid="{00000000-0005-0000-0000-00009D300000}"/>
    <cellStyle name="40% - Accent3 2 5" xfId="7194" xr:uid="{00000000-0005-0000-0000-00009E300000}"/>
    <cellStyle name="40% - Accent3 2 5 2" xfId="18482" xr:uid="{00000000-0005-0000-0000-00009F300000}"/>
    <cellStyle name="40% - Accent3 2 6" xfId="5200" xr:uid="{00000000-0005-0000-0000-0000A0300000}"/>
    <cellStyle name="40% - Accent3 2 6 2" xfId="16488" xr:uid="{00000000-0005-0000-0000-0000A1300000}"/>
    <cellStyle name="40% - Accent3 2 7" xfId="14494" xr:uid="{00000000-0005-0000-0000-0000A2300000}"/>
    <cellStyle name="40% - Accent3 2 8" xfId="13180" xr:uid="{00000000-0005-0000-0000-0000A3300000}"/>
    <cellStyle name="40% - Accent3 2 9" xfId="23980" xr:uid="{00000000-0005-0000-0000-0000A4300000}"/>
    <cellStyle name="40% - Accent3 20" xfId="1245" xr:uid="{00000000-0005-0000-0000-0000A5300000}"/>
    <cellStyle name="40% - Accent3 20 2" xfId="4201" xr:uid="{00000000-0005-0000-0000-0000A6300000}"/>
    <cellStyle name="40% - Accent3 20 2 2" xfId="12180" xr:uid="{00000000-0005-0000-0000-0000A7300000}"/>
    <cellStyle name="40% - Accent3 20 2 2 2" xfId="23468" xr:uid="{00000000-0005-0000-0000-0000A8300000}"/>
    <cellStyle name="40% - Accent3 20 2 3" xfId="10186" xr:uid="{00000000-0005-0000-0000-0000A9300000}"/>
    <cellStyle name="40% - Accent3 20 2 3 2" xfId="21474" xr:uid="{00000000-0005-0000-0000-0000AA300000}"/>
    <cellStyle name="40% - Accent3 20 2 4" xfId="8192" xr:uid="{00000000-0005-0000-0000-0000AB300000}"/>
    <cellStyle name="40% - Accent3 20 2 4 2" xfId="19480" xr:uid="{00000000-0005-0000-0000-0000AC300000}"/>
    <cellStyle name="40% - Accent3 20 2 5" xfId="6198" xr:uid="{00000000-0005-0000-0000-0000AD300000}"/>
    <cellStyle name="40% - Accent3 20 2 5 2" xfId="17486" xr:uid="{00000000-0005-0000-0000-0000AE300000}"/>
    <cellStyle name="40% - Accent3 20 2 6" xfId="15492" xr:uid="{00000000-0005-0000-0000-0000AF300000}"/>
    <cellStyle name="40% - Accent3 20 3" xfId="11183" xr:uid="{00000000-0005-0000-0000-0000B0300000}"/>
    <cellStyle name="40% - Accent3 20 3 2" xfId="22471" xr:uid="{00000000-0005-0000-0000-0000B1300000}"/>
    <cellStyle name="40% - Accent3 20 4" xfId="9189" xr:uid="{00000000-0005-0000-0000-0000B2300000}"/>
    <cellStyle name="40% - Accent3 20 4 2" xfId="20477" xr:uid="{00000000-0005-0000-0000-0000B3300000}"/>
    <cellStyle name="40% - Accent3 20 5" xfId="7195" xr:uid="{00000000-0005-0000-0000-0000B4300000}"/>
    <cellStyle name="40% - Accent3 20 5 2" xfId="18483" xr:uid="{00000000-0005-0000-0000-0000B5300000}"/>
    <cellStyle name="40% - Accent3 20 6" xfId="5201" xr:uid="{00000000-0005-0000-0000-0000B6300000}"/>
    <cellStyle name="40% - Accent3 20 6 2" xfId="16489" xr:uid="{00000000-0005-0000-0000-0000B7300000}"/>
    <cellStyle name="40% - Accent3 20 7" xfId="14495" xr:uid="{00000000-0005-0000-0000-0000B8300000}"/>
    <cellStyle name="40% - Accent3 20 8" xfId="13181" xr:uid="{00000000-0005-0000-0000-0000B9300000}"/>
    <cellStyle name="40% - Accent3 21" xfId="1246" xr:uid="{00000000-0005-0000-0000-0000BA300000}"/>
    <cellStyle name="40% - Accent3 21 2" xfId="4202" xr:uid="{00000000-0005-0000-0000-0000BB300000}"/>
    <cellStyle name="40% - Accent3 21 2 2" xfId="12181" xr:uid="{00000000-0005-0000-0000-0000BC300000}"/>
    <cellStyle name="40% - Accent3 21 2 2 2" xfId="23469" xr:uid="{00000000-0005-0000-0000-0000BD300000}"/>
    <cellStyle name="40% - Accent3 21 2 3" xfId="10187" xr:uid="{00000000-0005-0000-0000-0000BE300000}"/>
    <cellStyle name="40% - Accent3 21 2 3 2" xfId="21475" xr:uid="{00000000-0005-0000-0000-0000BF300000}"/>
    <cellStyle name="40% - Accent3 21 2 4" xfId="8193" xr:uid="{00000000-0005-0000-0000-0000C0300000}"/>
    <cellStyle name="40% - Accent3 21 2 4 2" xfId="19481" xr:uid="{00000000-0005-0000-0000-0000C1300000}"/>
    <cellStyle name="40% - Accent3 21 2 5" xfId="6199" xr:uid="{00000000-0005-0000-0000-0000C2300000}"/>
    <cellStyle name="40% - Accent3 21 2 5 2" xfId="17487" xr:uid="{00000000-0005-0000-0000-0000C3300000}"/>
    <cellStyle name="40% - Accent3 21 2 6" xfId="15493" xr:uid="{00000000-0005-0000-0000-0000C4300000}"/>
    <cellStyle name="40% - Accent3 21 3" xfId="11184" xr:uid="{00000000-0005-0000-0000-0000C5300000}"/>
    <cellStyle name="40% - Accent3 21 3 2" xfId="22472" xr:uid="{00000000-0005-0000-0000-0000C6300000}"/>
    <cellStyle name="40% - Accent3 21 4" xfId="9190" xr:uid="{00000000-0005-0000-0000-0000C7300000}"/>
    <cellStyle name="40% - Accent3 21 4 2" xfId="20478" xr:uid="{00000000-0005-0000-0000-0000C8300000}"/>
    <cellStyle name="40% - Accent3 21 5" xfId="7196" xr:uid="{00000000-0005-0000-0000-0000C9300000}"/>
    <cellStyle name="40% - Accent3 21 5 2" xfId="18484" xr:uid="{00000000-0005-0000-0000-0000CA300000}"/>
    <cellStyle name="40% - Accent3 21 6" xfId="5202" xr:uid="{00000000-0005-0000-0000-0000CB300000}"/>
    <cellStyle name="40% - Accent3 21 6 2" xfId="16490" xr:uid="{00000000-0005-0000-0000-0000CC300000}"/>
    <cellStyle name="40% - Accent3 21 7" xfId="14496" xr:uid="{00000000-0005-0000-0000-0000CD300000}"/>
    <cellStyle name="40% - Accent3 21 8" xfId="13182" xr:uid="{00000000-0005-0000-0000-0000CE300000}"/>
    <cellStyle name="40% - Accent3 22" xfId="1247" xr:uid="{00000000-0005-0000-0000-0000CF300000}"/>
    <cellStyle name="40% - Accent3 22 2" xfId="4203" xr:uid="{00000000-0005-0000-0000-0000D0300000}"/>
    <cellStyle name="40% - Accent3 22 2 2" xfId="12182" xr:uid="{00000000-0005-0000-0000-0000D1300000}"/>
    <cellStyle name="40% - Accent3 22 2 2 2" xfId="23470" xr:uid="{00000000-0005-0000-0000-0000D2300000}"/>
    <cellStyle name="40% - Accent3 22 2 3" xfId="10188" xr:uid="{00000000-0005-0000-0000-0000D3300000}"/>
    <cellStyle name="40% - Accent3 22 2 3 2" xfId="21476" xr:uid="{00000000-0005-0000-0000-0000D4300000}"/>
    <cellStyle name="40% - Accent3 22 2 4" xfId="8194" xr:uid="{00000000-0005-0000-0000-0000D5300000}"/>
    <cellStyle name="40% - Accent3 22 2 4 2" xfId="19482" xr:uid="{00000000-0005-0000-0000-0000D6300000}"/>
    <cellStyle name="40% - Accent3 22 2 5" xfId="6200" xr:uid="{00000000-0005-0000-0000-0000D7300000}"/>
    <cellStyle name="40% - Accent3 22 2 5 2" xfId="17488" xr:uid="{00000000-0005-0000-0000-0000D8300000}"/>
    <cellStyle name="40% - Accent3 22 2 6" xfId="15494" xr:uid="{00000000-0005-0000-0000-0000D9300000}"/>
    <cellStyle name="40% - Accent3 22 3" xfId="11185" xr:uid="{00000000-0005-0000-0000-0000DA300000}"/>
    <cellStyle name="40% - Accent3 22 3 2" xfId="22473" xr:uid="{00000000-0005-0000-0000-0000DB300000}"/>
    <cellStyle name="40% - Accent3 22 4" xfId="9191" xr:uid="{00000000-0005-0000-0000-0000DC300000}"/>
    <cellStyle name="40% - Accent3 22 4 2" xfId="20479" xr:uid="{00000000-0005-0000-0000-0000DD300000}"/>
    <cellStyle name="40% - Accent3 22 5" xfId="7197" xr:uid="{00000000-0005-0000-0000-0000DE300000}"/>
    <cellStyle name="40% - Accent3 22 5 2" xfId="18485" xr:uid="{00000000-0005-0000-0000-0000DF300000}"/>
    <cellStyle name="40% - Accent3 22 6" xfId="5203" xr:uid="{00000000-0005-0000-0000-0000E0300000}"/>
    <cellStyle name="40% - Accent3 22 6 2" xfId="16491" xr:uid="{00000000-0005-0000-0000-0000E1300000}"/>
    <cellStyle name="40% - Accent3 22 7" xfId="14497" xr:uid="{00000000-0005-0000-0000-0000E2300000}"/>
    <cellStyle name="40% - Accent3 22 8" xfId="13183" xr:uid="{00000000-0005-0000-0000-0000E3300000}"/>
    <cellStyle name="40% - Accent3 23" xfId="1248" xr:uid="{00000000-0005-0000-0000-0000E4300000}"/>
    <cellStyle name="40% - Accent3 23 2" xfId="4204" xr:uid="{00000000-0005-0000-0000-0000E5300000}"/>
    <cellStyle name="40% - Accent3 23 2 2" xfId="12183" xr:uid="{00000000-0005-0000-0000-0000E6300000}"/>
    <cellStyle name="40% - Accent3 23 2 2 2" xfId="23471" xr:uid="{00000000-0005-0000-0000-0000E7300000}"/>
    <cellStyle name="40% - Accent3 23 2 3" xfId="10189" xr:uid="{00000000-0005-0000-0000-0000E8300000}"/>
    <cellStyle name="40% - Accent3 23 2 3 2" xfId="21477" xr:uid="{00000000-0005-0000-0000-0000E9300000}"/>
    <cellStyle name="40% - Accent3 23 2 4" xfId="8195" xr:uid="{00000000-0005-0000-0000-0000EA300000}"/>
    <cellStyle name="40% - Accent3 23 2 4 2" xfId="19483" xr:uid="{00000000-0005-0000-0000-0000EB300000}"/>
    <cellStyle name="40% - Accent3 23 2 5" xfId="6201" xr:uid="{00000000-0005-0000-0000-0000EC300000}"/>
    <cellStyle name="40% - Accent3 23 2 5 2" xfId="17489" xr:uid="{00000000-0005-0000-0000-0000ED300000}"/>
    <cellStyle name="40% - Accent3 23 2 6" xfId="15495" xr:uid="{00000000-0005-0000-0000-0000EE300000}"/>
    <cellStyle name="40% - Accent3 23 3" xfId="11186" xr:uid="{00000000-0005-0000-0000-0000EF300000}"/>
    <cellStyle name="40% - Accent3 23 3 2" xfId="22474" xr:uid="{00000000-0005-0000-0000-0000F0300000}"/>
    <cellStyle name="40% - Accent3 23 4" xfId="9192" xr:uid="{00000000-0005-0000-0000-0000F1300000}"/>
    <cellStyle name="40% - Accent3 23 4 2" xfId="20480" xr:uid="{00000000-0005-0000-0000-0000F2300000}"/>
    <cellStyle name="40% - Accent3 23 5" xfId="7198" xr:uid="{00000000-0005-0000-0000-0000F3300000}"/>
    <cellStyle name="40% - Accent3 23 5 2" xfId="18486" xr:uid="{00000000-0005-0000-0000-0000F4300000}"/>
    <cellStyle name="40% - Accent3 23 6" xfId="5204" xr:uid="{00000000-0005-0000-0000-0000F5300000}"/>
    <cellStyle name="40% - Accent3 23 6 2" xfId="16492" xr:uid="{00000000-0005-0000-0000-0000F6300000}"/>
    <cellStyle name="40% - Accent3 23 7" xfId="14498" xr:uid="{00000000-0005-0000-0000-0000F7300000}"/>
    <cellStyle name="40% - Accent3 23 8" xfId="13184" xr:uid="{00000000-0005-0000-0000-0000F8300000}"/>
    <cellStyle name="40% - Accent3 24" xfId="1249" xr:uid="{00000000-0005-0000-0000-0000F9300000}"/>
    <cellStyle name="40% - Accent3 24 2" xfId="4205" xr:uid="{00000000-0005-0000-0000-0000FA300000}"/>
    <cellStyle name="40% - Accent3 24 2 2" xfId="12184" xr:uid="{00000000-0005-0000-0000-0000FB300000}"/>
    <cellStyle name="40% - Accent3 24 2 2 2" xfId="23472" xr:uid="{00000000-0005-0000-0000-0000FC300000}"/>
    <cellStyle name="40% - Accent3 24 2 3" xfId="10190" xr:uid="{00000000-0005-0000-0000-0000FD300000}"/>
    <cellStyle name="40% - Accent3 24 2 3 2" xfId="21478" xr:uid="{00000000-0005-0000-0000-0000FE300000}"/>
    <cellStyle name="40% - Accent3 24 2 4" xfId="8196" xr:uid="{00000000-0005-0000-0000-0000FF300000}"/>
    <cellStyle name="40% - Accent3 24 2 4 2" xfId="19484" xr:uid="{00000000-0005-0000-0000-000000310000}"/>
    <cellStyle name="40% - Accent3 24 2 5" xfId="6202" xr:uid="{00000000-0005-0000-0000-000001310000}"/>
    <cellStyle name="40% - Accent3 24 2 5 2" xfId="17490" xr:uid="{00000000-0005-0000-0000-000002310000}"/>
    <cellStyle name="40% - Accent3 24 2 6" xfId="15496" xr:uid="{00000000-0005-0000-0000-000003310000}"/>
    <cellStyle name="40% - Accent3 24 3" xfId="11187" xr:uid="{00000000-0005-0000-0000-000004310000}"/>
    <cellStyle name="40% - Accent3 24 3 2" xfId="22475" xr:uid="{00000000-0005-0000-0000-000005310000}"/>
    <cellStyle name="40% - Accent3 24 4" xfId="9193" xr:uid="{00000000-0005-0000-0000-000006310000}"/>
    <cellStyle name="40% - Accent3 24 4 2" xfId="20481" xr:uid="{00000000-0005-0000-0000-000007310000}"/>
    <cellStyle name="40% - Accent3 24 5" xfId="7199" xr:uid="{00000000-0005-0000-0000-000008310000}"/>
    <cellStyle name="40% - Accent3 24 5 2" xfId="18487" xr:uid="{00000000-0005-0000-0000-000009310000}"/>
    <cellStyle name="40% - Accent3 24 6" xfId="5205" xr:uid="{00000000-0005-0000-0000-00000A310000}"/>
    <cellStyle name="40% - Accent3 24 6 2" xfId="16493" xr:uid="{00000000-0005-0000-0000-00000B310000}"/>
    <cellStyle name="40% - Accent3 24 7" xfId="14499" xr:uid="{00000000-0005-0000-0000-00000C310000}"/>
    <cellStyle name="40% - Accent3 24 8" xfId="13185" xr:uid="{00000000-0005-0000-0000-00000D310000}"/>
    <cellStyle name="40% - Accent3 25" xfId="1250" xr:uid="{00000000-0005-0000-0000-00000E310000}"/>
    <cellStyle name="40% - Accent3 25 2" xfId="4206" xr:uid="{00000000-0005-0000-0000-00000F310000}"/>
    <cellStyle name="40% - Accent3 25 2 2" xfId="12185" xr:uid="{00000000-0005-0000-0000-000010310000}"/>
    <cellStyle name="40% - Accent3 25 2 2 2" xfId="23473" xr:uid="{00000000-0005-0000-0000-000011310000}"/>
    <cellStyle name="40% - Accent3 25 2 3" xfId="10191" xr:uid="{00000000-0005-0000-0000-000012310000}"/>
    <cellStyle name="40% - Accent3 25 2 3 2" xfId="21479" xr:uid="{00000000-0005-0000-0000-000013310000}"/>
    <cellStyle name="40% - Accent3 25 2 4" xfId="8197" xr:uid="{00000000-0005-0000-0000-000014310000}"/>
    <cellStyle name="40% - Accent3 25 2 4 2" xfId="19485" xr:uid="{00000000-0005-0000-0000-000015310000}"/>
    <cellStyle name="40% - Accent3 25 2 5" xfId="6203" xr:uid="{00000000-0005-0000-0000-000016310000}"/>
    <cellStyle name="40% - Accent3 25 2 5 2" xfId="17491" xr:uid="{00000000-0005-0000-0000-000017310000}"/>
    <cellStyle name="40% - Accent3 25 2 6" xfId="15497" xr:uid="{00000000-0005-0000-0000-000018310000}"/>
    <cellStyle name="40% - Accent3 25 3" xfId="11188" xr:uid="{00000000-0005-0000-0000-000019310000}"/>
    <cellStyle name="40% - Accent3 25 3 2" xfId="22476" xr:uid="{00000000-0005-0000-0000-00001A310000}"/>
    <cellStyle name="40% - Accent3 25 4" xfId="9194" xr:uid="{00000000-0005-0000-0000-00001B310000}"/>
    <cellStyle name="40% - Accent3 25 4 2" xfId="20482" xr:uid="{00000000-0005-0000-0000-00001C310000}"/>
    <cellStyle name="40% - Accent3 25 5" xfId="7200" xr:uid="{00000000-0005-0000-0000-00001D310000}"/>
    <cellStyle name="40% - Accent3 25 5 2" xfId="18488" xr:uid="{00000000-0005-0000-0000-00001E310000}"/>
    <cellStyle name="40% - Accent3 25 6" xfId="5206" xr:uid="{00000000-0005-0000-0000-00001F310000}"/>
    <cellStyle name="40% - Accent3 25 6 2" xfId="16494" xr:uid="{00000000-0005-0000-0000-000020310000}"/>
    <cellStyle name="40% - Accent3 25 7" xfId="14500" xr:uid="{00000000-0005-0000-0000-000021310000}"/>
    <cellStyle name="40% - Accent3 25 8" xfId="13186" xr:uid="{00000000-0005-0000-0000-000022310000}"/>
    <cellStyle name="40% - Accent3 26" xfId="1251" xr:uid="{00000000-0005-0000-0000-000023310000}"/>
    <cellStyle name="40% - Accent3 26 2" xfId="4207" xr:uid="{00000000-0005-0000-0000-000024310000}"/>
    <cellStyle name="40% - Accent3 26 2 2" xfId="12186" xr:uid="{00000000-0005-0000-0000-000025310000}"/>
    <cellStyle name="40% - Accent3 26 2 2 2" xfId="23474" xr:uid="{00000000-0005-0000-0000-000026310000}"/>
    <cellStyle name="40% - Accent3 26 2 3" xfId="10192" xr:uid="{00000000-0005-0000-0000-000027310000}"/>
    <cellStyle name="40% - Accent3 26 2 3 2" xfId="21480" xr:uid="{00000000-0005-0000-0000-000028310000}"/>
    <cellStyle name="40% - Accent3 26 2 4" xfId="8198" xr:uid="{00000000-0005-0000-0000-000029310000}"/>
    <cellStyle name="40% - Accent3 26 2 4 2" xfId="19486" xr:uid="{00000000-0005-0000-0000-00002A310000}"/>
    <cellStyle name="40% - Accent3 26 2 5" xfId="6204" xr:uid="{00000000-0005-0000-0000-00002B310000}"/>
    <cellStyle name="40% - Accent3 26 2 5 2" xfId="17492" xr:uid="{00000000-0005-0000-0000-00002C310000}"/>
    <cellStyle name="40% - Accent3 26 2 6" xfId="15498" xr:uid="{00000000-0005-0000-0000-00002D310000}"/>
    <cellStyle name="40% - Accent3 26 3" xfId="11189" xr:uid="{00000000-0005-0000-0000-00002E310000}"/>
    <cellStyle name="40% - Accent3 26 3 2" xfId="22477" xr:uid="{00000000-0005-0000-0000-00002F310000}"/>
    <cellStyle name="40% - Accent3 26 4" xfId="9195" xr:uid="{00000000-0005-0000-0000-000030310000}"/>
    <cellStyle name="40% - Accent3 26 4 2" xfId="20483" xr:uid="{00000000-0005-0000-0000-000031310000}"/>
    <cellStyle name="40% - Accent3 26 5" xfId="7201" xr:uid="{00000000-0005-0000-0000-000032310000}"/>
    <cellStyle name="40% - Accent3 26 5 2" xfId="18489" xr:uid="{00000000-0005-0000-0000-000033310000}"/>
    <cellStyle name="40% - Accent3 26 6" xfId="5207" xr:uid="{00000000-0005-0000-0000-000034310000}"/>
    <cellStyle name="40% - Accent3 26 6 2" xfId="16495" xr:uid="{00000000-0005-0000-0000-000035310000}"/>
    <cellStyle name="40% - Accent3 26 7" xfId="14501" xr:uid="{00000000-0005-0000-0000-000036310000}"/>
    <cellStyle name="40% - Accent3 26 8" xfId="13187" xr:uid="{00000000-0005-0000-0000-000037310000}"/>
    <cellStyle name="40% - Accent3 27" xfId="1252" xr:uid="{00000000-0005-0000-0000-000038310000}"/>
    <cellStyle name="40% - Accent3 27 2" xfId="4208" xr:uid="{00000000-0005-0000-0000-000039310000}"/>
    <cellStyle name="40% - Accent3 27 2 2" xfId="12187" xr:uid="{00000000-0005-0000-0000-00003A310000}"/>
    <cellStyle name="40% - Accent3 27 2 2 2" xfId="23475" xr:uid="{00000000-0005-0000-0000-00003B310000}"/>
    <cellStyle name="40% - Accent3 27 2 3" xfId="10193" xr:uid="{00000000-0005-0000-0000-00003C310000}"/>
    <cellStyle name="40% - Accent3 27 2 3 2" xfId="21481" xr:uid="{00000000-0005-0000-0000-00003D310000}"/>
    <cellStyle name="40% - Accent3 27 2 4" xfId="8199" xr:uid="{00000000-0005-0000-0000-00003E310000}"/>
    <cellStyle name="40% - Accent3 27 2 4 2" xfId="19487" xr:uid="{00000000-0005-0000-0000-00003F310000}"/>
    <cellStyle name="40% - Accent3 27 2 5" xfId="6205" xr:uid="{00000000-0005-0000-0000-000040310000}"/>
    <cellStyle name="40% - Accent3 27 2 5 2" xfId="17493" xr:uid="{00000000-0005-0000-0000-000041310000}"/>
    <cellStyle name="40% - Accent3 27 2 6" xfId="15499" xr:uid="{00000000-0005-0000-0000-000042310000}"/>
    <cellStyle name="40% - Accent3 27 3" xfId="11190" xr:uid="{00000000-0005-0000-0000-000043310000}"/>
    <cellStyle name="40% - Accent3 27 3 2" xfId="22478" xr:uid="{00000000-0005-0000-0000-000044310000}"/>
    <cellStyle name="40% - Accent3 27 4" xfId="9196" xr:uid="{00000000-0005-0000-0000-000045310000}"/>
    <cellStyle name="40% - Accent3 27 4 2" xfId="20484" xr:uid="{00000000-0005-0000-0000-000046310000}"/>
    <cellStyle name="40% - Accent3 27 5" xfId="7202" xr:uid="{00000000-0005-0000-0000-000047310000}"/>
    <cellStyle name="40% - Accent3 27 5 2" xfId="18490" xr:uid="{00000000-0005-0000-0000-000048310000}"/>
    <cellStyle name="40% - Accent3 27 6" xfId="5208" xr:uid="{00000000-0005-0000-0000-000049310000}"/>
    <cellStyle name="40% - Accent3 27 6 2" xfId="16496" xr:uid="{00000000-0005-0000-0000-00004A310000}"/>
    <cellStyle name="40% - Accent3 27 7" xfId="14502" xr:uid="{00000000-0005-0000-0000-00004B310000}"/>
    <cellStyle name="40% - Accent3 27 8" xfId="13188" xr:uid="{00000000-0005-0000-0000-00004C310000}"/>
    <cellStyle name="40% - Accent3 28" xfId="1253" xr:uid="{00000000-0005-0000-0000-00004D310000}"/>
    <cellStyle name="40% - Accent3 28 2" xfId="4209" xr:uid="{00000000-0005-0000-0000-00004E310000}"/>
    <cellStyle name="40% - Accent3 28 2 2" xfId="12188" xr:uid="{00000000-0005-0000-0000-00004F310000}"/>
    <cellStyle name="40% - Accent3 28 2 2 2" xfId="23476" xr:uid="{00000000-0005-0000-0000-000050310000}"/>
    <cellStyle name="40% - Accent3 28 2 3" xfId="10194" xr:uid="{00000000-0005-0000-0000-000051310000}"/>
    <cellStyle name="40% - Accent3 28 2 3 2" xfId="21482" xr:uid="{00000000-0005-0000-0000-000052310000}"/>
    <cellStyle name="40% - Accent3 28 2 4" xfId="8200" xr:uid="{00000000-0005-0000-0000-000053310000}"/>
    <cellStyle name="40% - Accent3 28 2 4 2" xfId="19488" xr:uid="{00000000-0005-0000-0000-000054310000}"/>
    <cellStyle name="40% - Accent3 28 2 5" xfId="6206" xr:uid="{00000000-0005-0000-0000-000055310000}"/>
    <cellStyle name="40% - Accent3 28 2 5 2" xfId="17494" xr:uid="{00000000-0005-0000-0000-000056310000}"/>
    <cellStyle name="40% - Accent3 28 2 6" xfId="15500" xr:uid="{00000000-0005-0000-0000-000057310000}"/>
    <cellStyle name="40% - Accent3 28 3" xfId="11191" xr:uid="{00000000-0005-0000-0000-000058310000}"/>
    <cellStyle name="40% - Accent3 28 3 2" xfId="22479" xr:uid="{00000000-0005-0000-0000-000059310000}"/>
    <cellStyle name="40% - Accent3 28 4" xfId="9197" xr:uid="{00000000-0005-0000-0000-00005A310000}"/>
    <cellStyle name="40% - Accent3 28 4 2" xfId="20485" xr:uid="{00000000-0005-0000-0000-00005B310000}"/>
    <cellStyle name="40% - Accent3 28 5" xfId="7203" xr:uid="{00000000-0005-0000-0000-00005C310000}"/>
    <cellStyle name="40% - Accent3 28 5 2" xfId="18491" xr:uid="{00000000-0005-0000-0000-00005D310000}"/>
    <cellStyle name="40% - Accent3 28 6" xfId="5209" xr:uid="{00000000-0005-0000-0000-00005E310000}"/>
    <cellStyle name="40% - Accent3 28 6 2" xfId="16497" xr:uid="{00000000-0005-0000-0000-00005F310000}"/>
    <cellStyle name="40% - Accent3 28 7" xfId="14503" xr:uid="{00000000-0005-0000-0000-000060310000}"/>
    <cellStyle name="40% - Accent3 28 8" xfId="13189" xr:uid="{00000000-0005-0000-0000-000061310000}"/>
    <cellStyle name="40% - Accent3 29" xfId="1254" xr:uid="{00000000-0005-0000-0000-000062310000}"/>
    <cellStyle name="40% - Accent3 29 2" xfId="4210" xr:uid="{00000000-0005-0000-0000-000063310000}"/>
    <cellStyle name="40% - Accent3 29 2 2" xfId="12189" xr:uid="{00000000-0005-0000-0000-000064310000}"/>
    <cellStyle name="40% - Accent3 29 2 2 2" xfId="23477" xr:uid="{00000000-0005-0000-0000-000065310000}"/>
    <cellStyle name="40% - Accent3 29 2 3" xfId="10195" xr:uid="{00000000-0005-0000-0000-000066310000}"/>
    <cellStyle name="40% - Accent3 29 2 3 2" xfId="21483" xr:uid="{00000000-0005-0000-0000-000067310000}"/>
    <cellStyle name="40% - Accent3 29 2 4" xfId="8201" xr:uid="{00000000-0005-0000-0000-000068310000}"/>
    <cellStyle name="40% - Accent3 29 2 4 2" xfId="19489" xr:uid="{00000000-0005-0000-0000-000069310000}"/>
    <cellStyle name="40% - Accent3 29 2 5" xfId="6207" xr:uid="{00000000-0005-0000-0000-00006A310000}"/>
    <cellStyle name="40% - Accent3 29 2 5 2" xfId="17495" xr:uid="{00000000-0005-0000-0000-00006B310000}"/>
    <cellStyle name="40% - Accent3 29 2 6" xfId="15501" xr:uid="{00000000-0005-0000-0000-00006C310000}"/>
    <cellStyle name="40% - Accent3 29 3" xfId="11192" xr:uid="{00000000-0005-0000-0000-00006D310000}"/>
    <cellStyle name="40% - Accent3 29 3 2" xfId="22480" xr:uid="{00000000-0005-0000-0000-00006E310000}"/>
    <cellStyle name="40% - Accent3 29 4" xfId="9198" xr:uid="{00000000-0005-0000-0000-00006F310000}"/>
    <cellStyle name="40% - Accent3 29 4 2" xfId="20486" xr:uid="{00000000-0005-0000-0000-000070310000}"/>
    <cellStyle name="40% - Accent3 29 5" xfId="7204" xr:uid="{00000000-0005-0000-0000-000071310000}"/>
    <cellStyle name="40% - Accent3 29 5 2" xfId="18492" xr:uid="{00000000-0005-0000-0000-000072310000}"/>
    <cellStyle name="40% - Accent3 29 6" xfId="5210" xr:uid="{00000000-0005-0000-0000-000073310000}"/>
    <cellStyle name="40% - Accent3 29 6 2" xfId="16498" xr:uid="{00000000-0005-0000-0000-000074310000}"/>
    <cellStyle name="40% - Accent3 29 7" xfId="14504" xr:uid="{00000000-0005-0000-0000-000075310000}"/>
    <cellStyle name="40% - Accent3 29 8" xfId="13190" xr:uid="{00000000-0005-0000-0000-000076310000}"/>
    <cellStyle name="40% - Accent3 3" xfId="1255" xr:uid="{00000000-0005-0000-0000-000077310000}"/>
    <cellStyle name="40% - Accent3 3 10" xfId="24608" xr:uid="{00000000-0005-0000-0000-000078310000}"/>
    <cellStyle name="40% - Accent3 3 11" xfId="24998" xr:uid="{00000000-0005-0000-0000-000079310000}"/>
    <cellStyle name="40% - Accent3 3 2" xfId="4211" xr:uid="{00000000-0005-0000-0000-00007A310000}"/>
    <cellStyle name="40% - Accent3 3 2 2" xfId="12190" xr:uid="{00000000-0005-0000-0000-00007B310000}"/>
    <cellStyle name="40% - Accent3 3 2 2 2" xfId="23478" xr:uid="{00000000-0005-0000-0000-00007C310000}"/>
    <cellStyle name="40% - Accent3 3 2 3" xfId="10196" xr:uid="{00000000-0005-0000-0000-00007D310000}"/>
    <cellStyle name="40% - Accent3 3 2 3 2" xfId="21484" xr:uid="{00000000-0005-0000-0000-00007E310000}"/>
    <cellStyle name="40% - Accent3 3 2 4" xfId="8202" xr:uid="{00000000-0005-0000-0000-00007F310000}"/>
    <cellStyle name="40% - Accent3 3 2 4 2" xfId="19490" xr:uid="{00000000-0005-0000-0000-000080310000}"/>
    <cellStyle name="40% - Accent3 3 2 5" xfId="6208" xr:uid="{00000000-0005-0000-0000-000081310000}"/>
    <cellStyle name="40% - Accent3 3 2 5 2" xfId="17496" xr:uid="{00000000-0005-0000-0000-000082310000}"/>
    <cellStyle name="40% - Accent3 3 2 6" xfId="15502" xr:uid="{00000000-0005-0000-0000-000083310000}"/>
    <cellStyle name="40% - Accent3 3 2 7" xfId="24369" xr:uid="{00000000-0005-0000-0000-000084310000}"/>
    <cellStyle name="40% - Accent3 3 2 8" xfId="24833" xr:uid="{00000000-0005-0000-0000-000085310000}"/>
    <cellStyle name="40% - Accent3 3 2 9" xfId="25200" xr:uid="{00000000-0005-0000-0000-000086310000}"/>
    <cellStyle name="40% - Accent3 3 3" xfId="11193" xr:uid="{00000000-0005-0000-0000-000087310000}"/>
    <cellStyle name="40% - Accent3 3 3 2" xfId="22481" xr:uid="{00000000-0005-0000-0000-000088310000}"/>
    <cellStyle name="40% - Accent3 3 4" xfId="9199" xr:uid="{00000000-0005-0000-0000-000089310000}"/>
    <cellStyle name="40% - Accent3 3 4 2" xfId="20487" xr:uid="{00000000-0005-0000-0000-00008A310000}"/>
    <cellStyle name="40% - Accent3 3 5" xfId="7205" xr:uid="{00000000-0005-0000-0000-00008B310000}"/>
    <cellStyle name="40% - Accent3 3 5 2" xfId="18493" xr:uid="{00000000-0005-0000-0000-00008C310000}"/>
    <cellStyle name="40% - Accent3 3 6" xfId="5211" xr:uid="{00000000-0005-0000-0000-00008D310000}"/>
    <cellStyle name="40% - Accent3 3 6 2" xfId="16499" xr:uid="{00000000-0005-0000-0000-00008E310000}"/>
    <cellStyle name="40% - Accent3 3 7" xfId="14505" xr:uid="{00000000-0005-0000-0000-00008F310000}"/>
    <cellStyle name="40% - Accent3 3 8" xfId="13191" xr:uid="{00000000-0005-0000-0000-000090310000}"/>
    <cellStyle name="40% - Accent3 3 9" xfId="23981" xr:uid="{00000000-0005-0000-0000-000091310000}"/>
    <cellStyle name="40% - Accent3 30" xfId="1256" xr:uid="{00000000-0005-0000-0000-000092310000}"/>
    <cellStyle name="40% - Accent3 30 2" xfId="4212" xr:uid="{00000000-0005-0000-0000-000093310000}"/>
    <cellStyle name="40% - Accent3 30 2 2" xfId="12191" xr:uid="{00000000-0005-0000-0000-000094310000}"/>
    <cellStyle name="40% - Accent3 30 2 2 2" xfId="23479" xr:uid="{00000000-0005-0000-0000-000095310000}"/>
    <cellStyle name="40% - Accent3 30 2 3" xfId="10197" xr:uid="{00000000-0005-0000-0000-000096310000}"/>
    <cellStyle name="40% - Accent3 30 2 3 2" xfId="21485" xr:uid="{00000000-0005-0000-0000-000097310000}"/>
    <cellStyle name="40% - Accent3 30 2 4" xfId="8203" xr:uid="{00000000-0005-0000-0000-000098310000}"/>
    <cellStyle name="40% - Accent3 30 2 4 2" xfId="19491" xr:uid="{00000000-0005-0000-0000-000099310000}"/>
    <cellStyle name="40% - Accent3 30 2 5" xfId="6209" xr:uid="{00000000-0005-0000-0000-00009A310000}"/>
    <cellStyle name="40% - Accent3 30 2 5 2" xfId="17497" xr:uid="{00000000-0005-0000-0000-00009B310000}"/>
    <cellStyle name="40% - Accent3 30 2 6" xfId="15503" xr:uid="{00000000-0005-0000-0000-00009C310000}"/>
    <cellStyle name="40% - Accent3 30 3" xfId="11194" xr:uid="{00000000-0005-0000-0000-00009D310000}"/>
    <cellStyle name="40% - Accent3 30 3 2" xfId="22482" xr:uid="{00000000-0005-0000-0000-00009E310000}"/>
    <cellStyle name="40% - Accent3 30 4" xfId="9200" xr:uid="{00000000-0005-0000-0000-00009F310000}"/>
    <cellStyle name="40% - Accent3 30 4 2" xfId="20488" xr:uid="{00000000-0005-0000-0000-0000A0310000}"/>
    <cellStyle name="40% - Accent3 30 5" xfId="7206" xr:uid="{00000000-0005-0000-0000-0000A1310000}"/>
    <cellStyle name="40% - Accent3 30 5 2" xfId="18494" xr:uid="{00000000-0005-0000-0000-0000A2310000}"/>
    <cellStyle name="40% - Accent3 30 6" xfId="5212" xr:uid="{00000000-0005-0000-0000-0000A3310000}"/>
    <cellStyle name="40% - Accent3 30 6 2" xfId="16500" xr:uid="{00000000-0005-0000-0000-0000A4310000}"/>
    <cellStyle name="40% - Accent3 30 7" xfId="14506" xr:uid="{00000000-0005-0000-0000-0000A5310000}"/>
    <cellStyle name="40% - Accent3 30 8" xfId="13192" xr:uid="{00000000-0005-0000-0000-0000A6310000}"/>
    <cellStyle name="40% - Accent3 31" xfId="1257" xr:uid="{00000000-0005-0000-0000-0000A7310000}"/>
    <cellStyle name="40% - Accent3 31 2" xfId="4213" xr:uid="{00000000-0005-0000-0000-0000A8310000}"/>
    <cellStyle name="40% - Accent3 31 2 2" xfId="12192" xr:uid="{00000000-0005-0000-0000-0000A9310000}"/>
    <cellStyle name="40% - Accent3 31 2 2 2" xfId="23480" xr:uid="{00000000-0005-0000-0000-0000AA310000}"/>
    <cellStyle name="40% - Accent3 31 2 3" xfId="10198" xr:uid="{00000000-0005-0000-0000-0000AB310000}"/>
    <cellStyle name="40% - Accent3 31 2 3 2" xfId="21486" xr:uid="{00000000-0005-0000-0000-0000AC310000}"/>
    <cellStyle name="40% - Accent3 31 2 4" xfId="8204" xr:uid="{00000000-0005-0000-0000-0000AD310000}"/>
    <cellStyle name="40% - Accent3 31 2 4 2" xfId="19492" xr:uid="{00000000-0005-0000-0000-0000AE310000}"/>
    <cellStyle name="40% - Accent3 31 2 5" xfId="6210" xr:uid="{00000000-0005-0000-0000-0000AF310000}"/>
    <cellStyle name="40% - Accent3 31 2 5 2" xfId="17498" xr:uid="{00000000-0005-0000-0000-0000B0310000}"/>
    <cellStyle name="40% - Accent3 31 2 6" xfId="15504" xr:uid="{00000000-0005-0000-0000-0000B1310000}"/>
    <cellStyle name="40% - Accent3 31 3" xfId="11195" xr:uid="{00000000-0005-0000-0000-0000B2310000}"/>
    <cellStyle name="40% - Accent3 31 3 2" xfId="22483" xr:uid="{00000000-0005-0000-0000-0000B3310000}"/>
    <cellStyle name="40% - Accent3 31 4" xfId="9201" xr:uid="{00000000-0005-0000-0000-0000B4310000}"/>
    <cellStyle name="40% - Accent3 31 4 2" xfId="20489" xr:uid="{00000000-0005-0000-0000-0000B5310000}"/>
    <cellStyle name="40% - Accent3 31 5" xfId="7207" xr:uid="{00000000-0005-0000-0000-0000B6310000}"/>
    <cellStyle name="40% - Accent3 31 5 2" xfId="18495" xr:uid="{00000000-0005-0000-0000-0000B7310000}"/>
    <cellStyle name="40% - Accent3 31 6" xfId="5213" xr:uid="{00000000-0005-0000-0000-0000B8310000}"/>
    <cellStyle name="40% - Accent3 31 6 2" xfId="16501" xr:uid="{00000000-0005-0000-0000-0000B9310000}"/>
    <cellStyle name="40% - Accent3 31 7" xfId="14507" xr:uid="{00000000-0005-0000-0000-0000BA310000}"/>
    <cellStyle name="40% - Accent3 31 8" xfId="13193" xr:uid="{00000000-0005-0000-0000-0000BB310000}"/>
    <cellStyle name="40% - Accent3 32" xfId="1258" xr:uid="{00000000-0005-0000-0000-0000BC310000}"/>
    <cellStyle name="40% - Accent3 32 2" xfId="4214" xr:uid="{00000000-0005-0000-0000-0000BD310000}"/>
    <cellStyle name="40% - Accent3 32 2 2" xfId="12193" xr:uid="{00000000-0005-0000-0000-0000BE310000}"/>
    <cellStyle name="40% - Accent3 32 2 2 2" xfId="23481" xr:uid="{00000000-0005-0000-0000-0000BF310000}"/>
    <cellStyle name="40% - Accent3 32 2 3" xfId="10199" xr:uid="{00000000-0005-0000-0000-0000C0310000}"/>
    <cellStyle name="40% - Accent3 32 2 3 2" xfId="21487" xr:uid="{00000000-0005-0000-0000-0000C1310000}"/>
    <cellStyle name="40% - Accent3 32 2 4" xfId="8205" xr:uid="{00000000-0005-0000-0000-0000C2310000}"/>
    <cellStyle name="40% - Accent3 32 2 4 2" xfId="19493" xr:uid="{00000000-0005-0000-0000-0000C3310000}"/>
    <cellStyle name="40% - Accent3 32 2 5" xfId="6211" xr:uid="{00000000-0005-0000-0000-0000C4310000}"/>
    <cellStyle name="40% - Accent3 32 2 5 2" xfId="17499" xr:uid="{00000000-0005-0000-0000-0000C5310000}"/>
    <cellStyle name="40% - Accent3 32 2 6" xfId="15505" xr:uid="{00000000-0005-0000-0000-0000C6310000}"/>
    <cellStyle name="40% - Accent3 32 3" xfId="11196" xr:uid="{00000000-0005-0000-0000-0000C7310000}"/>
    <cellStyle name="40% - Accent3 32 3 2" xfId="22484" xr:uid="{00000000-0005-0000-0000-0000C8310000}"/>
    <cellStyle name="40% - Accent3 32 4" xfId="9202" xr:uid="{00000000-0005-0000-0000-0000C9310000}"/>
    <cellStyle name="40% - Accent3 32 4 2" xfId="20490" xr:uid="{00000000-0005-0000-0000-0000CA310000}"/>
    <cellStyle name="40% - Accent3 32 5" xfId="7208" xr:uid="{00000000-0005-0000-0000-0000CB310000}"/>
    <cellStyle name="40% - Accent3 32 5 2" xfId="18496" xr:uid="{00000000-0005-0000-0000-0000CC310000}"/>
    <cellStyle name="40% - Accent3 32 6" xfId="5214" xr:uid="{00000000-0005-0000-0000-0000CD310000}"/>
    <cellStyle name="40% - Accent3 32 6 2" xfId="16502" xr:uid="{00000000-0005-0000-0000-0000CE310000}"/>
    <cellStyle name="40% - Accent3 32 7" xfId="14508" xr:uid="{00000000-0005-0000-0000-0000CF310000}"/>
    <cellStyle name="40% - Accent3 32 8" xfId="13194" xr:uid="{00000000-0005-0000-0000-0000D0310000}"/>
    <cellStyle name="40% - Accent3 33" xfId="1259" xr:uid="{00000000-0005-0000-0000-0000D1310000}"/>
    <cellStyle name="40% - Accent3 33 2" xfId="4215" xr:uid="{00000000-0005-0000-0000-0000D2310000}"/>
    <cellStyle name="40% - Accent3 33 2 2" xfId="12194" xr:uid="{00000000-0005-0000-0000-0000D3310000}"/>
    <cellStyle name="40% - Accent3 33 2 2 2" xfId="23482" xr:uid="{00000000-0005-0000-0000-0000D4310000}"/>
    <cellStyle name="40% - Accent3 33 2 3" xfId="10200" xr:uid="{00000000-0005-0000-0000-0000D5310000}"/>
    <cellStyle name="40% - Accent3 33 2 3 2" xfId="21488" xr:uid="{00000000-0005-0000-0000-0000D6310000}"/>
    <cellStyle name="40% - Accent3 33 2 4" xfId="8206" xr:uid="{00000000-0005-0000-0000-0000D7310000}"/>
    <cellStyle name="40% - Accent3 33 2 4 2" xfId="19494" xr:uid="{00000000-0005-0000-0000-0000D8310000}"/>
    <cellStyle name="40% - Accent3 33 2 5" xfId="6212" xr:uid="{00000000-0005-0000-0000-0000D9310000}"/>
    <cellStyle name="40% - Accent3 33 2 5 2" xfId="17500" xr:uid="{00000000-0005-0000-0000-0000DA310000}"/>
    <cellStyle name="40% - Accent3 33 2 6" xfId="15506" xr:uid="{00000000-0005-0000-0000-0000DB310000}"/>
    <cellStyle name="40% - Accent3 33 3" xfId="11197" xr:uid="{00000000-0005-0000-0000-0000DC310000}"/>
    <cellStyle name="40% - Accent3 33 3 2" xfId="22485" xr:uid="{00000000-0005-0000-0000-0000DD310000}"/>
    <cellStyle name="40% - Accent3 33 4" xfId="9203" xr:uid="{00000000-0005-0000-0000-0000DE310000}"/>
    <cellStyle name="40% - Accent3 33 4 2" xfId="20491" xr:uid="{00000000-0005-0000-0000-0000DF310000}"/>
    <cellStyle name="40% - Accent3 33 5" xfId="7209" xr:uid="{00000000-0005-0000-0000-0000E0310000}"/>
    <cellStyle name="40% - Accent3 33 5 2" xfId="18497" xr:uid="{00000000-0005-0000-0000-0000E1310000}"/>
    <cellStyle name="40% - Accent3 33 6" xfId="5215" xr:uid="{00000000-0005-0000-0000-0000E2310000}"/>
    <cellStyle name="40% - Accent3 33 6 2" xfId="16503" xr:uid="{00000000-0005-0000-0000-0000E3310000}"/>
    <cellStyle name="40% - Accent3 33 7" xfId="14509" xr:uid="{00000000-0005-0000-0000-0000E4310000}"/>
    <cellStyle name="40% - Accent3 33 8" xfId="13195" xr:uid="{00000000-0005-0000-0000-0000E5310000}"/>
    <cellStyle name="40% - Accent3 34" xfId="1260" xr:uid="{00000000-0005-0000-0000-0000E6310000}"/>
    <cellStyle name="40% - Accent3 34 2" xfId="4216" xr:uid="{00000000-0005-0000-0000-0000E7310000}"/>
    <cellStyle name="40% - Accent3 34 2 2" xfId="12195" xr:uid="{00000000-0005-0000-0000-0000E8310000}"/>
    <cellStyle name="40% - Accent3 34 2 2 2" xfId="23483" xr:uid="{00000000-0005-0000-0000-0000E9310000}"/>
    <cellStyle name="40% - Accent3 34 2 3" xfId="10201" xr:uid="{00000000-0005-0000-0000-0000EA310000}"/>
    <cellStyle name="40% - Accent3 34 2 3 2" xfId="21489" xr:uid="{00000000-0005-0000-0000-0000EB310000}"/>
    <cellStyle name="40% - Accent3 34 2 4" xfId="8207" xr:uid="{00000000-0005-0000-0000-0000EC310000}"/>
    <cellStyle name="40% - Accent3 34 2 4 2" xfId="19495" xr:uid="{00000000-0005-0000-0000-0000ED310000}"/>
    <cellStyle name="40% - Accent3 34 2 5" xfId="6213" xr:uid="{00000000-0005-0000-0000-0000EE310000}"/>
    <cellStyle name="40% - Accent3 34 2 5 2" xfId="17501" xr:uid="{00000000-0005-0000-0000-0000EF310000}"/>
    <cellStyle name="40% - Accent3 34 2 6" xfId="15507" xr:uid="{00000000-0005-0000-0000-0000F0310000}"/>
    <cellStyle name="40% - Accent3 34 3" xfId="11198" xr:uid="{00000000-0005-0000-0000-0000F1310000}"/>
    <cellStyle name="40% - Accent3 34 3 2" xfId="22486" xr:uid="{00000000-0005-0000-0000-0000F2310000}"/>
    <cellStyle name="40% - Accent3 34 4" xfId="9204" xr:uid="{00000000-0005-0000-0000-0000F3310000}"/>
    <cellStyle name="40% - Accent3 34 4 2" xfId="20492" xr:uid="{00000000-0005-0000-0000-0000F4310000}"/>
    <cellStyle name="40% - Accent3 34 5" xfId="7210" xr:uid="{00000000-0005-0000-0000-0000F5310000}"/>
    <cellStyle name="40% - Accent3 34 5 2" xfId="18498" xr:uid="{00000000-0005-0000-0000-0000F6310000}"/>
    <cellStyle name="40% - Accent3 34 6" xfId="5216" xr:uid="{00000000-0005-0000-0000-0000F7310000}"/>
    <cellStyle name="40% - Accent3 34 6 2" xfId="16504" xr:uid="{00000000-0005-0000-0000-0000F8310000}"/>
    <cellStyle name="40% - Accent3 34 7" xfId="14510" xr:uid="{00000000-0005-0000-0000-0000F9310000}"/>
    <cellStyle name="40% - Accent3 34 8" xfId="13196" xr:uid="{00000000-0005-0000-0000-0000FA310000}"/>
    <cellStyle name="40% - Accent3 35" xfId="1261" xr:uid="{00000000-0005-0000-0000-0000FB310000}"/>
    <cellStyle name="40% - Accent3 35 2" xfId="4217" xr:uid="{00000000-0005-0000-0000-0000FC310000}"/>
    <cellStyle name="40% - Accent3 35 2 2" xfId="12196" xr:uid="{00000000-0005-0000-0000-0000FD310000}"/>
    <cellStyle name="40% - Accent3 35 2 2 2" xfId="23484" xr:uid="{00000000-0005-0000-0000-0000FE310000}"/>
    <cellStyle name="40% - Accent3 35 2 3" xfId="10202" xr:uid="{00000000-0005-0000-0000-0000FF310000}"/>
    <cellStyle name="40% - Accent3 35 2 3 2" xfId="21490" xr:uid="{00000000-0005-0000-0000-000000320000}"/>
    <cellStyle name="40% - Accent3 35 2 4" xfId="8208" xr:uid="{00000000-0005-0000-0000-000001320000}"/>
    <cellStyle name="40% - Accent3 35 2 4 2" xfId="19496" xr:uid="{00000000-0005-0000-0000-000002320000}"/>
    <cellStyle name="40% - Accent3 35 2 5" xfId="6214" xr:uid="{00000000-0005-0000-0000-000003320000}"/>
    <cellStyle name="40% - Accent3 35 2 5 2" xfId="17502" xr:uid="{00000000-0005-0000-0000-000004320000}"/>
    <cellStyle name="40% - Accent3 35 2 6" xfId="15508" xr:uid="{00000000-0005-0000-0000-000005320000}"/>
    <cellStyle name="40% - Accent3 35 3" xfId="11199" xr:uid="{00000000-0005-0000-0000-000006320000}"/>
    <cellStyle name="40% - Accent3 35 3 2" xfId="22487" xr:uid="{00000000-0005-0000-0000-000007320000}"/>
    <cellStyle name="40% - Accent3 35 4" xfId="9205" xr:uid="{00000000-0005-0000-0000-000008320000}"/>
    <cellStyle name="40% - Accent3 35 4 2" xfId="20493" xr:uid="{00000000-0005-0000-0000-000009320000}"/>
    <cellStyle name="40% - Accent3 35 5" xfId="7211" xr:uid="{00000000-0005-0000-0000-00000A320000}"/>
    <cellStyle name="40% - Accent3 35 5 2" xfId="18499" xr:uid="{00000000-0005-0000-0000-00000B320000}"/>
    <cellStyle name="40% - Accent3 35 6" xfId="5217" xr:uid="{00000000-0005-0000-0000-00000C320000}"/>
    <cellStyle name="40% - Accent3 35 6 2" xfId="16505" xr:uid="{00000000-0005-0000-0000-00000D320000}"/>
    <cellStyle name="40% - Accent3 35 7" xfId="14511" xr:uid="{00000000-0005-0000-0000-00000E320000}"/>
    <cellStyle name="40% - Accent3 35 8" xfId="13197" xr:uid="{00000000-0005-0000-0000-00000F320000}"/>
    <cellStyle name="40% - Accent3 36" xfId="1262" xr:uid="{00000000-0005-0000-0000-000010320000}"/>
    <cellStyle name="40% - Accent3 36 2" xfId="4218" xr:uid="{00000000-0005-0000-0000-000011320000}"/>
    <cellStyle name="40% - Accent3 36 2 2" xfId="12197" xr:uid="{00000000-0005-0000-0000-000012320000}"/>
    <cellStyle name="40% - Accent3 36 2 2 2" xfId="23485" xr:uid="{00000000-0005-0000-0000-000013320000}"/>
    <cellStyle name="40% - Accent3 36 2 3" xfId="10203" xr:uid="{00000000-0005-0000-0000-000014320000}"/>
    <cellStyle name="40% - Accent3 36 2 3 2" xfId="21491" xr:uid="{00000000-0005-0000-0000-000015320000}"/>
    <cellStyle name="40% - Accent3 36 2 4" xfId="8209" xr:uid="{00000000-0005-0000-0000-000016320000}"/>
    <cellStyle name="40% - Accent3 36 2 4 2" xfId="19497" xr:uid="{00000000-0005-0000-0000-000017320000}"/>
    <cellStyle name="40% - Accent3 36 2 5" xfId="6215" xr:uid="{00000000-0005-0000-0000-000018320000}"/>
    <cellStyle name="40% - Accent3 36 2 5 2" xfId="17503" xr:uid="{00000000-0005-0000-0000-000019320000}"/>
    <cellStyle name="40% - Accent3 36 2 6" xfId="15509" xr:uid="{00000000-0005-0000-0000-00001A320000}"/>
    <cellStyle name="40% - Accent3 36 3" xfId="11200" xr:uid="{00000000-0005-0000-0000-00001B320000}"/>
    <cellStyle name="40% - Accent3 36 3 2" xfId="22488" xr:uid="{00000000-0005-0000-0000-00001C320000}"/>
    <cellStyle name="40% - Accent3 36 4" xfId="9206" xr:uid="{00000000-0005-0000-0000-00001D320000}"/>
    <cellStyle name="40% - Accent3 36 4 2" xfId="20494" xr:uid="{00000000-0005-0000-0000-00001E320000}"/>
    <cellStyle name="40% - Accent3 36 5" xfId="7212" xr:uid="{00000000-0005-0000-0000-00001F320000}"/>
    <cellStyle name="40% - Accent3 36 5 2" xfId="18500" xr:uid="{00000000-0005-0000-0000-000020320000}"/>
    <cellStyle name="40% - Accent3 36 6" xfId="5218" xr:uid="{00000000-0005-0000-0000-000021320000}"/>
    <cellStyle name="40% - Accent3 36 6 2" xfId="16506" xr:uid="{00000000-0005-0000-0000-000022320000}"/>
    <cellStyle name="40% - Accent3 36 7" xfId="14512" xr:uid="{00000000-0005-0000-0000-000023320000}"/>
    <cellStyle name="40% - Accent3 36 8" xfId="13198" xr:uid="{00000000-0005-0000-0000-000024320000}"/>
    <cellStyle name="40% - Accent3 37" xfId="1263" xr:uid="{00000000-0005-0000-0000-000025320000}"/>
    <cellStyle name="40% - Accent3 37 2" xfId="4219" xr:uid="{00000000-0005-0000-0000-000026320000}"/>
    <cellStyle name="40% - Accent3 37 2 2" xfId="12198" xr:uid="{00000000-0005-0000-0000-000027320000}"/>
    <cellStyle name="40% - Accent3 37 2 2 2" xfId="23486" xr:uid="{00000000-0005-0000-0000-000028320000}"/>
    <cellStyle name="40% - Accent3 37 2 3" xfId="10204" xr:uid="{00000000-0005-0000-0000-000029320000}"/>
    <cellStyle name="40% - Accent3 37 2 3 2" xfId="21492" xr:uid="{00000000-0005-0000-0000-00002A320000}"/>
    <cellStyle name="40% - Accent3 37 2 4" xfId="8210" xr:uid="{00000000-0005-0000-0000-00002B320000}"/>
    <cellStyle name="40% - Accent3 37 2 4 2" xfId="19498" xr:uid="{00000000-0005-0000-0000-00002C320000}"/>
    <cellStyle name="40% - Accent3 37 2 5" xfId="6216" xr:uid="{00000000-0005-0000-0000-00002D320000}"/>
    <cellStyle name="40% - Accent3 37 2 5 2" xfId="17504" xr:uid="{00000000-0005-0000-0000-00002E320000}"/>
    <cellStyle name="40% - Accent3 37 2 6" xfId="15510" xr:uid="{00000000-0005-0000-0000-00002F320000}"/>
    <cellStyle name="40% - Accent3 37 3" xfId="11201" xr:uid="{00000000-0005-0000-0000-000030320000}"/>
    <cellStyle name="40% - Accent3 37 3 2" xfId="22489" xr:uid="{00000000-0005-0000-0000-000031320000}"/>
    <cellStyle name="40% - Accent3 37 4" xfId="9207" xr:uid="{00000000-0005-0000-0000-000032320000}"/>
    <cellStyle name="40% - Accent3 37 4 2" xfId="20495" xr:uid="{00000000-0005-0000-0000-000033320000}"/>
    <cellStyle name="40% - Accent3 37 5" xfId="7213" xr:uid="{00000000-0005-0000-0000-000034320000}"/>
    <cellStyle name="40% - Accent3 37 5 2" xfId="18501" xr:uid="{00000000-0005-0000-0000-000035320000}"/>
    <cellStyle name="40% - Accent3 37 6" xfId="5219" xr:uid="{00000000-0005-0000-0000-000036320000}"/>
    <cellStyle name="40% - Accent3 37 6 2" xfId="16507" xr:uid="{00000000-0005-0000-0000-000037320000}"/>
    <cellStyle name="40% - Accent3 37 7" xfId="14513" xr:uid="{00000000-0005-0000-0000-000038320000}"/>
    <cellStyle name="40% - Accent3 37 8" xfId="13199" xr:uid="{00000000-0005-0000-0000-000039320000}"/>
    <cellStyle name="40% - Accent3 38" xfId="1264" xr:uid="{00000000-0005-0000-0000-00003A320000}"/>
    <cellStyle name="40% - Accent3 38 2" xfId="4220" xr:uid="{00000000-0005-0000-0000-00003B320000}"/>
    <cellStyle name="40% - Accent3 38 2 2" xfId="12199" xr:uid="{00000000-0005-0000-0000-00003C320000}"/>
    <cellStyle name="40% - Accent3 38 2 2 2" xfId="23487" xr:uid="{00000000-0005-0000-0000-00003D320000}"/>
    <cellStyle name="40% - Accent3 38 2 3" xfId="10205" xr:uid="{00000000-0005-0000-0000-00003E320000}"/>
    <cellStyle name="40% - Accent3 38 2 3 2" xfId="21493" xr:uid="{00000000-0005-0000-0000-00003F320000}"/>
    <cellStyle name="40% - Accent3 38 2 4" xfId="8211" xr:uid="{00000000-0005-0000-0000-000040320000}"/>
    <cellStyle name="40% - Accent3 38 2 4 2" xfId="19499" xr:uid="{00000000-0005-0000-0000-000041320000}"/>
    <cellStyle name="40% - Accent3 38 2 5" xfId="6217" xr:uid="{00000000-0005-0000-0000-000042320000}"/>
    <cellStyle name="40% - Accent3 38 2 5 2" xfId="17505" xr:uid="{00000000-0005-0000-0000-000043320000}"/>
    <cellStyle name="40% - Accent3 38 2 6" xfId="15511" xr:uid="{00000000-0005-0000-0000-000044320000}"/>
    <cellStyle name="40% - Accent3 38 3" xfId="11202" xr:uid="{00000000-0005-0000-0000-000045320000}"/>
    <cellStyle name="40% - Accent3 38 3 2" xfId="22490" xr:uid="{00000000-0005-0000-0000-000046320000}"/>
    <cellStyle name="40% - Accent3 38 4" xfId="9208" xr:uid="{00000000-0005-0000-0000-000047320000}"/>
    <cellStyle name="40% - Accent3 38 4 2" xfId="20496" xr:uid="{00000000-0005-0000-0000-000048320000}"/>
    <cellStyle name="40% - Accent3 38 5" xfId="7214" xr:uid="{00000000-0005-0000-0000-000049320000}"/>
    <cellStyle name="40% - Accent3 38 5 2" xfId="18502" xr:uid="{00000000-0005-0000-0000-00004A320000}"/>
    <cellStyle name="40% - Accent3 38 6" xfId="5220" xr:uid="{00000000-0005-0000-0000-00004B320000}"/>
    <cellStyle name="40% - Accent3 38 6 2" xfId="16508" xr:uid="{00000000-0005-0000-0000-00004C320000}"/>
    <cellStyle name="40% - Accent3 38 7" xfId="14514" xr:uid="{00000000-0005-0000-0000-00004D320000}"/>
    <cellStyle name="40% - Accent3 38 8" xfId="13200" xr:uid="{00000000-0005-0000-0000-00004E320000}"/>
    <cellStyle name="40% - Accent3 39" xfId="1265" xr:uid="{00000000-0005-0000-0000-00004F320000}"/>
    <cellStyle name="40% - Accent3 39 2" xfId="4221" xr:uid="{00000000-0005-0000-0000-000050320000}"/>
    <cellStyle name="40% - Accent3 39 2 2" xfId="12200" xr:uid="{00000000-0005-0000-0000-000051320000}"/>
    <cellStyle name="40% - Accent3 39 2 2 2" xfId="23488" xr:uid="{00000000-0005-0000-0000-000052320000}"/>
    <cellStyle name="40% - Accent3 39 2 3" xfId="10206" xr:uid="{00000000-0005-0000-0000-000053320000}"/>
    <cellStyle name="40% - Accent3 39 2 3 2" xfId="21494" xr:uid="{00000000-0005-0000-0000-000054320000}"/>
    <cellStyle name="40% - Accent3 39 2 4" xfId="8212" xr:uid="{00000000-0005-0000-0000-000055320000}"/>
    <cellStyle name="40% - Accent3 39 2 4 2" xfId="19500" xr:uid="{00000000-0005-0000-0000-000056320000}"/>
    <cellStyle name="40% - Accent3 39 2 5" xfId="6218" xr:uid="{00000000-0005-0000-0000-000057320000}"/>
    <cellStyle name="40% - Accent3 39 2 5 2" xfId="17506" xr:uid="{00000000-0005-0000-0000-000058320000}"/>
    <cellStyle name="40% - Accent3 39 2 6" xfId="15512" xr:uid="{00000000-0005-0000-0000-000059320000}"/>
    <cellStyle name="40% - Accent3 39 3" xfId="11203" xr:uid="{00000000-0005-0000-0000-00005A320000}"/>
    <cellStyle name="40% - Accent3 39 3 2" xfId="22491" xr:uid="{00000000-0005-0000-0000-00005B320000}"/>
    <cellStyle name="40% - Accent3 39 4" xfId="9209" xr:uid="{00000000-0005-0000-0000-00005C320000}"/>
    <cellStyle name="40% - Accent3 39 4 2" xfId="20497" xr:uid="{00000000-0005-0000-0000-00005D320000}"/>
    <cellStyle name="40% - Accent3 39 5" xfId="7215" xr:uid="{00000000-0005-0000-0000-00005E320000}"/>
    <cellStyle name="40% - Accent3 39 5 2" xfId="18503" xr:uid="{00000000-0005-0000-0000-00005F320000}"/>
    <cellStyle name="40% - Accent3 39 6" xfId="5221" xr:uid="{00000000-0005-0000-0000-000060320000}"/>
    <cellStyle name="40% - Accent3 39 6 2" xfId="16509" xr:uid="{00000000-0005-0000-0000-000061320000}"/>
    <cellStyle name="40% - Accent3 39 7" xfId="14515" xr:uid="{00000000-0005-0000-0000-000062320000}"/>
    <cellStyle name="40% - Accent3 39 8" xfId="13201" xr:uid="{00000000-0005-0000-0000-000063320000}"/>
    <cellStyle name="40% - Accent3 4" xfId="1266" xr:uid="{00000000-0005-0000-0000-000064320000}"/>
    <cellStyle name="40% - Accent3 4 10" xfId="24609" xr:uid="{00000000-0005-0000-0000-000065320000}"/>
    <cellStyle name="40% - Accent3 4 11" xfId="24999" xr:uid="{00000000-0005-0000-0000-000066320000}"/>
    <cellStyle name="40% - Accent3 4 2" xfId="4222" xr:uid="{00000000-0005-0000-0000-000067320000}"/>
    <cellStyle name="40% - Accent3 4 2 2" xfId="12201" xr:uid="{00000000-0005-0000-0000-000068320000}"/>
    <cellStyle name="40% - Accent3 4 2 2 2" xfId="23489" xr:uid="{00000000-0005-0000-0000-000069320000}"/>
    <cellStyle name="40% - Accent3 4 2 3" xfId="10207" xr:uid="{00000000-0005-0000-0000-00006A320000}"/>
    <cellStyle name="40% - Accent3 4 2 3 2" xfId="21495" xr:uid="{00000000-0005-0000-0000-00006B320000}"/>
    <cellStyle name="40% - Accent3 4 2 4" xfId="8213" xr:uid="{00000000-0005-0000-0000-00006C320000}"/>
    <cellStyle name="40% - Accent3 4 2 4 2" xfId="19501" xr:uid="{00000000-0005-0000-0000-00006D320000}"/>
    <cellStyle name="40% - Accent3 4 2 5" xfId="6219" xr:uid="{00000000-0005-0000-0000-00006E320000}"/>
    <cellStyle name="40% - Accent3 4 2 5 2" xfId="17507" xr:uid="{00000000-0005-0000-0000-00006F320000}"/>
    <cellStyle name="40% - Accent3 4 2 6" xfId="15513" xr:uid="{00000000-0005-0000-0000-000070320000}"/>
    <cellStyle name="40% - Accent3 4 2 7" xfId="24370" xr:uid="{00000000-0005-0000-0000-000071320000}"/>
    <cellStyle name="40% - Accent3 4 2 8" xfId="24834" xr:uid="{00000000-0005-0000-0000-000072320000}"/>
    <cellStyle name="40% - Accent3 4 2 9" xfId="25201" xr:uid="{00000000-0005-0000-0000-000073320000}"/>
    <cellStyle name="40% - Accent3 4 3" xfId="11204" xr:uid="{00000000-0005-0000-0000-000074320000}"/>
    <cellStyle name="40% - Accent3 4 3 2" xfId="22492" xr:uid="{00000000-0005-0000-0000-000075320000}"/>
    <cellStyle name="40% - Accent3 4 4" xfId="9210" xr:uid="{00000000-0005-0000-0000-000076320000}"/>
    <cellStyle name="40% - Accent3 4 4 2" xfId="20498" xr:uid="{00000000-0005-0000-0000-000077320000}"/>
    <cellStyle name="40% - Accent3 4 5" xfId="7216" xr:uid="{00000000-0005-0000-0000-000078320000}"/>
    <cellStyle name="40% - Accent3 4 5 2" xfId="18504" xr:uid="{00000000-0005-0000-0000-000079320000}"/>
    <cellStyle name="40% - Accent3 4 6" xfId="5222" xr:uid="{00000000-0005-0000-0000-00007A320000}"/>
    <cellStyle name="40% - Accent3 4 6 2" xfId="16510" xr:uid="{00000000-0005-0000-0000-00007B320000}"/>
    <cellStyle name="40% - Accent3 4 7" xfId="14516" xr:uid="{00000000-0005-0000-0000-00007C320000}"/>
    <cellStyle name="40% - Accent3 4 8" xfId="13202" xr:uid="{00000000-0005-0000-0000-00007D320000}"/>
    <cellStyle name="40% - Accent3 4 9" xfId="23982" xr:uid="{00000000-0005-0000-0000-00007E320000}"/>
    <cellStyle name="40% - Accent3 40" xfId="1267" xr:uid="{00000000-0005-0000-0000-00007F320000}"/>
    <cellStyle name="40% - Accent3 40 2" xfId="4223" xr:uid="{00000000-0005-0000-0000-000080320000}"/>
    <cellStyle name="40% - Accent3 40 2 2" xfId="12202" xr:uid="{00000000-0005-0000-0000-000081320000}"/>
    <cellStyle name="40% - Accent3 40 2 2 2" xfId="23490" xr:uid="{00000000-0005-0000-0000-000082320000}"/>
    <cellStyle name="40% - Accent3 40 2 3" xfId="10208" xr:uid="{00000000-0005-0000-0000-000083320000}"/>
    <cellStyle name="40% - Accent3 40 2 3 2" xfId="21496" xr:uid="{00000000-0005-0000-0000-000084320000}"/>
    <cellStyle name="40% - Accent3 40 2 4" xfId="8214" xr:uid="{00000000-0005-0000-0000-000085320000}"/>
    <cellStyle name="40% - Accent3 40 2 4 2" xfId="19502" xr:uid="{00000000-0005-0000-0000-000086320000}"/>
    <cellStyle name="40% - Accent3 40 2 5" xfId="6220" xr:uid="{00000000-0005-0000-0000-000087320000}"/>
    <cellStyle name="40% - Accent3 40 2 5 2" xfId="17508" xr:uid="{00000000-0005-0000-0000-000088320000}"/>
    <cellStyle name="40% - Accent3 40 2 6" xfId="15514" xr:uid="{00000000-0005-0000-0000-000089320000}"/>
    <cellStyle name="40% - Accent3 40 3" xfId="11205" xr:uid="{00000000-0005-0000-0000-00008A320000}"/>
    <cellStyle name="40% - Accent3 40 3 2" xfId="22493" xr:uid="{00000000-0005-0000-0000-00008B320000}"/>
    <cellStyle name="40% - Accent3 40 4" xfId="9211" xr:uid="{00000000-0005-0000-0000-00008C320000}"/>
    <cellStyle name="40% - Accent3 40 4 2" xfId="20499" xr:uid="{00000000-0005-0000-0000-00008D320000}"/>
    <cellStyle name="40% - Accent3 40 5" xfId="7217" xr:uid="{00000000-0005-0000-0000-00008E320000}"/>
    <cellStyle name="40% - Accent3 40 5 2" xfId="18505" xr:uid="{00000000-0005-0000-0000-00008F320000}"/>
    <cellStyle name="40% - Accent3 40 6" xfId="5223" xr:uid="{00000000-0005-0000-0000-000090320000}"/>
    <cellStyle name="40% - Accent3 40 6 2" xfId="16511" xr:uid="{00000000-0005-0000-0000-000091320000}"/>
    <cellStyle name="40% - Accent3 40 7" xfId="14517" xr:uid="{00000000-0005-0000-0000-000092320000}"/>
    <cellStyle name="40% - Accent3 40 8" xfId="13203" xr:uid="{00000000-0005-0000-0000-000093320000}"/>
    <cellStyle name="40% - Accent3 41" xfId="1268" xr:uid="{00000000-0005-0000-0000-000094320000}"/>
    <cellStyle name="40% - Accent3 41 2" xfId="4224" xr:uid="{00000000-0005-0000-0000-000095320000}"/>
    <cellStyle name="40% - Accent3 41 2 2" xfId="12203" xr:uid="{00000000-0005-0000-0000-000096320000}"/>
    <cellStyle name="40% - Accent3 41 2 2 2" xfId="23491" xr:uid="{00000000-0005-0000-0000-000097320000}"/>
    <cellStyle name="40% - Accent3 41 2 3" xfId="10209" xr:uid="{00000000-0005-0000-0000-000098320000}"/>
    <cellStyle name="40% - Accent3 41 2 3 2" xfId="21497" xr:uid="{00000000-0005-0000-0000-000099320000}"/>
    <cellStyle name="40% - Accent3 41 2 4" xfId="8215" xr:uid="{00000000-0005-0000-0000-00009A320000}"/>
    <cellStyle name="40% - Accent3 41 2 4 2" xfId="19503" xr:uid="{00000000-0005-0000-0000-00009B320000}"/>
    <cellStyle name="40% - Accent3 41 2 5" xfId="6221" xr:uid="{00000000-0005-0000-0000-00009C320000}"/>
    <cellStyle name="40% - Accent3 41 2 5 2" xfId="17509" xr:uid="{00000000-0005-0000-0000-00009D320000}"/>
    <cellStyle name="40% - Accent3 41 2 6" xfId="15515" xr:uid="{00000000-0005-0000-0000-00009E320000}"/>
    <cellStyle name="40% - Accent3 41 3" xfId="11206" xr:uid="{00000000-0005-0000-0000-00009F320000}"/>
    <cellStyle name="40% - Accent3 41 3 2" xfId="22494" xr:uid="{00000000-0005-0000-0000-0000A0320000}"/>
    <cellStyle name="40% - Accent3 41 4" xfId="9212" xr:uid="{00000000-0005-0000-0000-0000A1320000}"/>
    <cellStyle name="40% - Accent3 41 4 2" xfId="20500" xr:uid="{00000000-0005-0000-0000-0000A2320000}"/>
    <cellStyle name="40% - Accent3 41 5" xfId="7218" xr:uid="{00000000-0005-0000-0000-0000A3320000}"/>
    <cellStyle name="40% - Accent3 41 5 2" xfId="18506" xr:uid="{00000000-0005-0000-0000-0000A4320000}"/>
    <cellStyle name="40% - Accent3 41 6" xfId="5224" xr:uid="{00000000-0005-0000-0000-0000A5320000}"/>
    <cellStyle name="40% - Accent3 41 6 2" xfId="16512" xr:uid="{00000000-0005-0000-0000-0000A6320000}"/>
    <cellStyle name="40% - Accent3 41 7" xfId="14518" xr:uid="{00000000-0005-0000-0000-0000A7320000}"/>
    <cellStyle name="40% - Accent3 41 8" xfId="13204" xr:uid="{00000000-0005-0000-0000-0000A8320000}"/>
    <cellStyle name="40% - Accent3 42" xfId="1269" xr:uid="{00000000-0005-0000-0000-0000A9320000}"/>
    <cellStyle name="40% - Accent3 42 2" xfId="4225" xr:uid="{00000000-0005-0000-0000-0000AA320000}"/>
    <cellStyle name="40% - Accent3 42 2 2" xfId="12204" xr:uid="{00000000-0005-0000-0000-0000AB320000}"/>
    <cellStyle name="40% - Accent3 42 2 2 2" xfId="23492" xr:uid="{00000000-0005-0000-0000-0000AC320000}"/>
    <cellStyle name="40% - Accent3 42 2 3" xfId="10210" xr:uid="{00000000-0005-0000-0000-0000AD320000}"/>
    <cellStyle name="40% - Accent3 42 2 3 2" xfId="21498" xr:uid="{00000000-0005-0000-0000-0000AE320000}"/>
    <cellStyle name="40% - Accent3 42 2 4" xfId="8216" xr:uid="{00000000-0005-0000-0000-0000AF320000}"/>
    <cellStyle name="40% - Accent3 42 2 4 2" xfId="19504" xr:uid="{00000000-0005-0000-0000-0000B0320000}"/>
    <cellStyle name="40% - Accent3 42 2 5" xfId="6222" xr:uid="{00000000-0005-0000-0000-0000B1320000}"/>
    <cellStyle name="40% - Accent3 42 2 5 2" xfId="17510" xr:uid="{00000000-0005-0000-0000-0000B2320000}"/>
    <cellStyle name="40% - Accent3 42 2 6" xfId="15516" xr:uid="{00000000-0005-0000-0000-0000B3320000}"/>
    <cellStyle name="40% - Accent3 42 3" xfId="11207" xr:uid="{00000000-0005-0000-0000-0000B4320000}"/>
    <cellStyle name="40% - Accent3 42 3 2" xfId="22495" xr:uid="{00000000-0005-0000-0000-0000B5320000}"/>
    <cellStyle name="40% - Accent3 42 4" xfId="9213" xr:uid="{00000000-0005-0000-0000-0000B6320000}"/>
    <cellStyle name="40% - Accent3 42 4 2" xfId="20501" xr:uid="{00000000-0005-0000-0000-0000B7320000}"/>
    <cellStyle name="40% - Accent3 42 5" xfId="7219" xr:uid="{00000000-0005-0000-0000-0000B8320000}"/>
    <cellStyle name="40% - Accent3 42 5 2" xfId="18507" xr:uid="{00000000-0005-0000-0000-0000B9320000}"/>
    <cellStyle name="40% - Accent3 42 6" xfId="5225" xr:uid="{00000000-0005-0000-0000-0000BA320000}"/>
    <cellStyle name="40% - Accent3 42 6 2" xfId="16513" xr:uid="{00000000-0005-0000-0000-0000BB320000}"/>
    <cellStyle name="40% - Accent3 42 7" xfId="14519" xr:uid="{00000000-0005-0000-0000-0000BC320000}"/>
    <cellStyle name="40% - Accent3 42 8" xfId="13205" xr:uid="{00000000-0005-0000-0000-0000BD320000}"/>
    <cellStyle name="40% - Accent3 43" xfId="1270" xr:uid="{00000000-0005-0000-0000-0000BE320000}"/>
    <cellStyle name="40% - Accent3 43 2" xfId="4226" xr:uid="{00000000-0005-0000-0000-0000BF320000}"/>
    <cellStyle name="40% - Accent3 43 2 2" xfId="12205" xr:uid="{00000000-0005-0000-0000-0000C0320000}"/>
    <cellStyle name="40% - Accent3 43 2 2 2" xfId="23493" xr:uid="{00000000-0005-0000-0000-0000C1320000}"/>
    <cellStyle name="40% - Accent3 43 2 3" xfId="10211" xr:uid="{00000000-0005-0000-0000-0000C2320000}"/>
    <cellStyle name="40% - Accent3 43 2 3 2" xfId="21499" xr:uid="{00000000-0005-0000-0000-0000C3320000}"/>
    <cellStyle name="40% - Accent3 43 2 4" xfId="8217" xr:uid="{00000000-0005-0000-0000-0000C4320000}"/>
    <cellStyle name="40% - Accent3 43 2 4 2" xfId="19505" xr:uid="{00000000-0005-0000-0000-0000C5320000}"/>
    <cellStyle name="40% - Accent3 43 2 5" xfId="6223" xr:uid="{00000000-0005-0000-0000-0000C6320000}"/>
    <cellStyle name="40% - Accent3 43 2 5 2" xfId="17511" xr:uid="{00000000-0005-0000-0000-0000C7320000}"/>
    <cellStyle name="40% - Accent3 43 2 6" xfId="15517" xr:uid="{00000000-0005-0000-0000-0000C8320000}"/>
    <cellStyle name="40% - Accent3 43 3" xfId="11208" xr:uid="{00000000-0005-0000-0000-0000C9320000}"/>
    <cellStyle name="40% - Accent3 43 3 2" xfId="22496" xr:uid="{00000000-0005-0000-0000-0000CA320000}"/>
    <cellStyle name="40% - Accent3 43 4" xfId="9214" xr:uid="{00000000-0005-0000-0000-0000CB320000}"/>
    <cellStyle name="40% - Accent3 43 4 2" xfId="20502" xr:uid="{00000000-0005-0000-0000-0000CC320000}"/>
    <cellStyle name="40% - Accent3 43 5" xfId="7220" xr:uid="{00000000-0005-0000-0000-0000CD320000}"/>
    <cellStyle name="40% - Accent3 43 5 2" xfId="18508" xr:uid="{00000000-0005-0000-0000-0000CE320000}"/>
    <cellStyle name="40% - Accent3 43 6" xfId="5226" xr:uid="{00000000-0005-0000-0000-0000CF320000}"/>
    <cellStyle name="40% - Accent3 43 6 2" xfId="16514" xr:uid="{00000000-0005-0000-0000-0000D0320000}"/>
    <cellStyle name="40% - Accent3 43 7" xfId="14520" xr:uid="{00000000-0005-0000-0000-0000D1320000}"/>
    <cellStyle name="40% - Accent3 43 8" xfId="13206" xr:uid="{00000000-0005-0000-0000-0000D2320000}"/>
    <cellStyle name="40% - Accent3 44" xfId="1271" xr:uid="{00000000-0005-0000-0000-0000D3320000}"/>
    <cellStyle name="40% - Accent3 44 2" xfId="4227" xr:uid="{00000000-0005-0000-0000-0000D4320000}"/>
    <cellStyle name="40% - Accent3 44 2 2" xfId="12206" xr:uid="{00000000-0005-0000-0000-0000D5320000}"/>
    <cellStyle name="40% - Accent3 44 2 2 2" xfId="23494" xr:uid="{00000000-0005-0000-0000-0000D6320000}"/>
    <cellStyle name="40% - Accent3 44 2 3" xfId="10212" xr:uid="{00000000-0005-0000-0000-0000D7320000}"/>
    <cellStyle name="40% - Accent3 44 2 3 2" xfId="21500" xr:uid="{00000000-0005-0000-0000-0000D8320000}"/>
    <cellStyle name="40% - Accent3 44 2 4" xfId="8218" xr:uid="{00000000-0005-0000-0000-0000D9320000}"/>
    <cellStyle name="40% - Accent3 44 2 4 2" xfId="19506" xr:uid="{00000000-0005-0000-0000-0000DA320000}"/>
    <cellStyle name="40% - Accent3 44 2 5" xfId="6224" xr:uid="{00000000-0005-0000-0000-0000DB320000}"/>
    <cellStyle name="40% - Accent3 44 2 5 2" xfId="17512" xr:uid="{00000000-0005-0000-0000-0000DC320000}"/>
    <cellStyle name="40% - Accent3 44 2 6" xfId="15518" xr:uid="{00000000-0005-0000-0000-0000DD320000}"/>
    <cellStyle name="40% - Accent3 44 3" xfId="11209" xr:uid="{00000000-0005-0000-0000-0000DE320000}"/>
    <cellStyle name="40% - Accent3 44 3 2" xfId="22497" xr:uid="{00000000-0005-0000-0000-0000DF320000}"/>
    <cellStyle name="40% - Accent3 44 4" xfId="9215" xr:uid="{00000000-0005-0000-0000-0000E0320000}"/>
    <cellStyle name="40% - Accent3 44 4 2" xfId="20503" xr:uid="{00000000-0005-0000-0000-0000E1320000}"/>
    <cellStyle name="40% - Accent3 44 5" xfId="7221" xr:uid="{00000000-0005-0000-0000-0000E2320000}"/>
    <cellStyle name="40% - Accent3 44 5 2" xfId="18509" xr:uid="{00000000-0005-0000-0000-0000E3320000}"/>
    <cellStyle name="40% - Accent3 44 6" xfId="5227" xr:uid="{00000000-0005-0000-0000-0000E4320000}"/>
    <cellStyle name="40% - Accent3 44 6 2" xfId="16515" xr:uid="{00000000-0005-0000-0000-0000E5320000}"/>
    <cellStyle name="40% - Accent3 44 7" xfId="14521" xr:uid="{00000000-0005-0000-0000-0000E6320000}"/>
    <cellStyle name="40% - Accent3 44 8" xfId="13207" xr:uid="{00000000-0005-0000-0000-0000E7320000}"/>
    <cellStyle name="40% - Accent3 45" xfId="1272" xr:uid="{00000000-0005-0000-0000-0000E8320000}"/>
    <cellStyle name="40% - Accent3 45 2" xfId="4228" xr:uid="{00000000-0005-0000-0000-0000E9320000}"/>
    <cellStyle name="40% - Accent3 45 2 2" xfId="12207" xr:uid="{00000000-0005-0000-0000-0000EA320000}"/>
    <cellStyle name="40% - Accent3 45 2 2 2" xfId="23495" xr:uid="{00000000-0005-0000-0000-0000EB320000}"/>
    <cellStyle name="40% - Accent3 45 2 3" xfId="10213" xr:uid="{00000000-0005-0000-0000-0000EC320000}"/>
    <cellStyle name="40% - Accent3 45 2 3 2" xfId="21501" xr:uid="{00000000-0005-0000-0000-0000ED320000}"/>
    <cellStyle name="40% - Accent3 45 2 4" xfId="8219" xr:uid="{00000000-0005-0000-0000-0000EE320000}"/>
    <cellStyle name="40% - Accent3 45 2 4 2" xfId="19507" xr:uid="{00000000-0005-0000-0000-0000EF320000}"/>
    <cellStyle name="40% - Accent3 45 2 5" xfId="6225" xr:uid="{00000000-0005-0000-0000-0000F0320000}"/>
    <cellStyle name="40% - Accent3 45 2 5 2" xfId="17513" xr:uid="{00000000-0005-0000-0000-0000F1320000}"/>
    <cellStyle name="40% - Accent3 45 2 6" xfId="15519" xr:uid="{00000000-0005-0000-0000-0000F2320000}"/>
    <cellStyle name="40% - Accent3 45 3" xfId="11210" xr:uid="{00000000-0005-0000-0000-0000F3320000}"/>
    <cellStyle name="40% - Accent3 45 3 2" xfId="22498" xr:uid="{00000000-0005-0000-0000-0000F4320000}"/>
    <cellStyle name="40% - Accent3 45 4" xfId="9216" xr:uid="{00000000-0005-0000-0000-0000F5320000}"/>
    <cellStyle name="40% - Accent3 45 4 2" xfId="20504" xr:uid="{00000000-0005-0000-0000-0000F6320000}"/>
    <cellStyle name="40% - Accent3 45 5" xfId="7222" xr:uid="{00000000-0005-0000-0000-0000F7320000}"/>
    <cellStyle name="40% - Accent3 45 5 2" xfId="18510" xr:uid="{00000000-0005-0000-0000-0000F8320000}"/>
    <cellStyle name="40% - Accent3 45 6" xfId="5228" xr:uid="{00000000-0005-0000-0000-0000F9320000}"/>
    <cellStyle name="40% - Accent3 45 6 2" xfId="16516" xr:uid="{00000000-0005-0000-0000-0000FA320000}"/>
    <cellStyle name="40% - Accent3 45 7" xfId="14522" xr:uid="{00000000-0005-0000-0000-0000FB320000}"/>
    <cellStyle name="40% - Accent3 45 8" xfId="13208" xr:uid="{00000000-0005-0000-0000-0000FC320000}"/>
    <cellStyle name="40% - Accent3 46" xfId="1273" xr:uid="{00000000-0005-0000-0000-0000FD320000}"/>
    <cellStyle name="40% - Accent3 46 2" xfId="4229" xr:uid="{00000000-0005-0000-0000-0000FE320000}"/>
    <cellStyle name="40% - Accent3 46 2 2" xfId="12208" xr:uid="{00000000-0005-0000-0000-0000FF320000}"/>
    <cellStyle name="40% - Accent3 46 2 2 2" xfId="23496" xr:uid="{00000000-0005-0000-0000-000000330000}"/>
    <cellStyle name="40% - Accent3 46 2 3" xfId="10214" xr:uid="{00000000-0005-0000-0000-000001330000}"/>
    <cellStyle name="40% - Accent3 46 2 3 2" xfId="21502" xr:uid="{00000000-0005-0000-0000-000002330000}"/>
    <cellStyle name="40% - Accent3 46 2 4" xfId="8220" xr:uid="{00000000-0005-0000-0000-000003330000}"/>
    <cellStyle name="40% - Accent3 46 2 4 2" xfId="19508" xr:uid="{00000000-0005-0000-0000-000004330000}"/>
    <cellStyle name="40% - Accent3 46 2 5" xfId="6226" xr:uid="{00000000-0005-0000-0000-000005330000}"/>
    <cellStyle name="40% - Accent3 46 2 5 2" xfId="17514" xr:uid="{00000000-0005-0000-0000-000006330000}"/>
    <cellStyle name="40% - Accent3 46 2 6" xfId="15520" xr:uid="{00000000-0005-0000-0000-000007330000}"/>
    <cellStyle name="40% - Accent3 46 3" xfId="11211" xr:uid="{00000000-0005-0000-0000-000008330000}"/>
    <cellStyle name="40% - Accent3 46 3 2" xfId="22499" xr:uid="{00000000-0005-0000-0000-000009330000}"/>
    <cellStyle name="40% - Accent3 46 4" xfId="9217" xr:uid="{00000000-0005-0000-0000-00000A330000}"/>
    <cellStyle name="40% - Accent3 46 4 2" xfId="20505" xr:uid="{00000000-0005-0000-0000-00000B330000}"/>
    <cellStyle name="40% - Accent3 46 5" xfId="7223" xr:uid="{00000000-0005-0000-0000-00000C330000}"/>
    <cellStyle name="40% - Accent3 46 5 2" xfId="18511" xr:uid="{00000000-0005-0000-0000-00000D330000}"/>
    <cellStyle name="40% - Accent3 46 6" xfId="5229" xr:uid="{00000000-0005-0000-0000-00000E330000}"/>
    <cellStyle name="40% - Accent3 46 6 2" xfId="16517" xr:uid="{00000000-0005-0000-0000-00000F330000}"/>
    <cellStyle name="40% - Accent3 46 7" xfId="14523" xr:uid="{00000000-0005-0000-0000-000010330000}"/>
    <cellStyle name="40% - Accent3 46 8" xfId="13209" xr:uid="{00000000-0005-0000-0000-000011330000}"/>
    <cellStyle name="40% - Accent3 47" xfId="1274" xr:uid="{00000000-0005-0000-0000-000012330000}"/>
    <cellStyle name="40% - Accent3 47 2" xfId="4230" xr:uid="{00000000-0005-0000-0000-000013330000}"/>
    <cellStyle name="40% - Accent3 47 2 2" xfId="12209" xr:uid="{00000000-0005-0000-0000-000014330000}"/>
    <cellStyle name="40% - Accent3 47 2 2 2" xfId="23497" xr:uid="{00000000-0005-0000-0000-000015330000}"/>
    <cellStyle name="40% - Accent3 47 2 3" xfId="10215" xr:uid="{00000000-0005-0000-0000-000016330000}"/>
    <cellStyle name="40% - Accent3 47 2 3 2" xfId="21503" xr:uid="{00000000-0005-0000-0000-000017330000}"/>
    <cellStyle name="40% - Accent3 47 2 4" xfId="8221" xr:uid="{00000000-0005-0000-0000-000018330000}"/>
    <cellStyle name="40% - Accent3 47 2 4 2" xfId="19509" xr:uid="{00000000-0005-0000-0000-000019330000}"/>
    <cellStyle name="40% - Accent3 47 2 5" xfId="6227" xr:uid="{00000000-0005-0000-0000-00001A330000}"/>
    <cellStyle name="40% - Accent3 47 2 5 2" xfId="17515" xr:uid="{00000000-0005-0000-0000-00001B330000}"/>
    <cellStyle name="40% - Accent3 47 2 6" xfId="15521" xr:uid="{00000000-0005-0000-0000-00001C330000}"/>
    <cellStyle name="40% - Accent3 47 3" xfId="11212" xr:uid="{00000000-0005-0000-0000-00001D330000}"/>
    <cellStyle name="40% - Accent3 47 3 2" xfId="22500" xr:uid="{00000000-0005-0000-0000-00001E330000}"/>
    <cellStyle name="40% - Accent3 47 4" xfId="9218" xr:uid="{00000000-0005-0000-0000-00001F330000}"/>
    <cellStyle name="40% - Accent3 47 4 2" xfId="20506" xr:uid="{00000000-0005-0000-0000-000020330000}"/>
    <cellStyle name="40% - Accent3 47 5" xfId="7224" xr:uid="{00000000-0005-0000-0000-000021330000}"/>
    <cellStyle name="40% - Accent3 47 5 2" xfId="18512" xr:uid="{00000000-0005-0000-0000-000022330000}"/>
    <cellStyle name="40% - Accent3 47 6" xfId="5230" xr:uid="{00000000-0005-0000-0000-000023330000}"/>
    <cellStyle name="40% - Accent3 47 6 2" xfId="16518" xr:uid="{00000000-0005-0000-0000-000024330000}"/>
    <cellStyle name="40% - Accent3 47 7" xfId="14524" xr:uid="{00000000-0005-0000-0000-000025330000}"/>
    <cellStyle name="40% - Accent3 47 8" xfId="13210" xr:uid="{00000000-0005-0000-0000-000026330000}"/>
    <cellStyle name="40% - Accent3 48" xfId="1275" xr:uid="{00000000-0005-0000-0000-000027330000}"/>
    <cellStyle name="40% - Accent3 48 2" xfId="4231" xr:uid="{00000000-0005-0000-0000-000028330000}"/>
    <cellStyle name="40% - Accent3 48 2 2" xfId="12210" xr:uid="{00000000-0005-0000-0000-000029330000}"/>
    <cellStyle name="40% - Accent3 48 2 2 2" xfId="23498" xr:uid="{00000000-0005-0000-0000-00002A330000}"/>
    <cellStyle name="40% - Accent3 48 2 3" xfId="10216" xr:uid="{00000000-0005-0000-0000-00002B330000}"/>
    <cellStyle name="40% - Accent3 48 2 3 2" xfId="21504" xr:uid="{00000000-0005-0000-0000-00002C330000}"/>
    <cellStyle name="40% - Accent3 48 2 4" xfId="8222" xr:uid="{00000000-0005-0000-0000-00002D330000}"/>
    <cellStyle name="40% - Accent3 48 2 4 2" xfId="19510" xr:uid="{00000000-0005-0000-0000-00002E330000}"/>
    <cellStyle name="40% - Accent3 48 2 5" xfId="6228" xr:uid="{00000000-0005-0000-0000-00002F330000}"/>
    <cellStyle name="40% - Accent3 48 2 5 2" xfId="17516" xr:uid="{00000000-0005-0000-0000-000030330000}"/>
    <cellStyle name="40% - Accent3 48 2 6" xfId="15522" xr:uid="{00000000-0005-0000-0000-000031330000}"/>
    <cellStyle name="40% - Accent3 48 3" xfId="11213" xr:uid="{00000000-0005-0000-0000-000032330000}"/>
    <cellStyle name="40% - Accent3 48 3 2" xfId="22501" xr:uid="{00000000-0005-0000-0000-000033330000}"/>
    <cellStyle name="40% - Accent3 48 4" xfId="9219" xr:uid="{00000000-0005-0000-0000-000034330000}"/>
    <cellStyle name="40% - Accent3 48 4 2" xfId="20507" xr:uid="{00000000-0005-0000-0000-000035330000}"/>
    <cellStyle name="40% - Accent3 48 5" xfId="7225" xr:uid="{00000000-0005-0000-0000-000036330000}"/>
    <cellStyle name="40% - Accent3 48 5 2" xfId="18513" xr:uid="{00000000-0005-0000-0000-000037330000}"/>
    <cellStyle name="40% - Accent3 48 6" xfId="5231" xr:uid="{00000000-0005-0000-0000-000038330000}"/>
    <cellStyle name="40% - Accent3 48 6 2" xfId="16519" xr:uid="{00000000-0005-0000-0000-000039330000}"/>
    <cellStyle name="40% - Accent3 48 7" xfId="14525" xr:uid="{00000000-0005-0000-0000-00003A330000}"/>
    <cellStyle name="40% - Accent3 48 8" xfId="13211" xr:uid="{00000000-0005-0000-0000-00003B330000}"/>
    <cellStyle name="40% - Accent3 49" xfId="1276" xr:uid="{00000000-0005-0000-0000-00003C330000}"/>
    <cellStyle name="40% - Accent3 49 2" xfId="4232" xr:uid="{00000000-0005-0000-0000-00003D330000}"/>
    <cellStyle name="40% - Accent3 49 2 2" xfId="12211" xr:uid="{00000000-0005-0000-0000-00003E330000}"/>
    <cellStyle name="40% - Accent3 49 2 2 2" xfId="23499" xr:uid="{00000000-0005-0000-0000-00003F330000}"/>
    <cellStyle name="40% - Accent3 49 2 3" xfId="10217" xr:uid="{00000000-0005-0000-0000-000040330000}"/>
    <cellStyle name="40% - Accent3 49 2 3 2" xfId="21505" xr:uid="{00000000-0005-0000-0000-000041330000}"/>
    <cellStyle name="40% - Accent3 49 2 4" xfId="8223" xr:uid="{00000000-0005-0000-0000-000042330000}"/>
    <cellStyle name="40% - Accent3 49 2 4 2" xfId="19511" xr:uid="{00000000-0005-0000-0000-000043330000}"/>
    <cellStyle name="40% - Accent3 49 2 5" xfId="6229" xr:uid="{00000000-0005-0000-0000-000044330000}"/>
    <cellStyle name="40% - Accent3 49 2 5 2" xfId="17517" xr:uid="{00000000-0005-0000-0000-000045330000}"/>
    <cellStyle name="40% - Accent3 49 2 6" xfId="15523" xr:uid="{00000000-0005-0000-0000-000046330000}"/>
    <cellStyle name="40% - Accent3 49 3" xfId="11214" xr:uid="{00000000-0005-0000-0000-000047330000}"/>
    <cellStyle name="40% - Accent3 49 3 2" xfId="22502" xr:uid="{00000000-0005-0000-0000-000048330000}"/>
    <cellStyle name="40% - Accent3 49 4" xfId="9220" xr:uid="{00000000-0005-0000-0000-000049330000}"/>
    <cellStyle name="40% - Accent3 49 4 2" xfId="20508" xr:uid="{00000000-0005-0000-0000-00004A330000}"/>
    <cellStyle name="40% - Accent3 49 5" xfId="7226" xr:uid="{00000000-0005-0000-0000-00004B330000}"/>
    <cellStyle name="40% - Accent3 49 5 2" xfId="18514" xr:uid="{00000000-0005-0000-0000-00004C330000}"/>
    <cellStyle name="40% - Accent3 49 6" xfId="5232" xr:uid="{00000000-0005-0000-0000-00004D330000}"/>
    <cellStyle name="40% - Accent3 49 6 2" xfId="16520" xr:uid="{00000000-0005-0000-0000-00004E330000}"/>
    <cellStyle name="40% - Accent3 49 7" xfId="14526" xr:uid="{00000000-0005-0000-0000-00004F330000}"/>
    <cellStyle name="40% - Accent3 49 8" xfId="13212" xr:uid="{00000000-0005-0000-0000-000050330000}"/>
    <cellStyle name="40% - Accent3 5" xfId="1277" xr:uid="{00000000-0005-0000-0000-000051330000}"/>
    <cellStyle name="40% - Accent3 5 10" xfId="24610" xr:uid="{00000000-0005-0000-0000-000052330000}"/>
    <cellStyle name="40% - Accent3 5 11" xfId="25000" xr:uid="{00000000-0005-0000-0000-000053330000}"/>
    <cellStyle name="40% - Accent3 5 2" xfId="4233" xr:uid="{00000000-0005-0000-0000-000054330000}"/>
    <cellStyle name="40% - Accent3 5 2 2" xfId="12212" xr:uid="{00000000-0005-0000-0000-000055330000}"/>
    <cellStyle name="40% - Accent3 5 2 2 2" xfId="23500" xr:uid="{00000000-0005-0000-0000-000056330000}"/>
    <cellStyle name="40% - Accent3 5 2 3" xfId="10218" xr:uid="{00000000-0005-0000-0000-000057330000}"/>
    <cellStyle name="40% - Accent3 5 2 3 2" xfId="21506" xr:uid="{00000000-0005-0000-0000-000058330000}"/>
    <cellStyle name="40% - Accent3 5 2 4" xfId="8224" xr:uid="{00000000-0005-0000-0000-000059330000}"/>
    <cellStyle name="40% - Accent3 5 2 4 2" xfId="19512" xr:uid="{00000000-0005-0000-0000-00005A330000}"/>
    <cellStyle name="40% - Accent3 5 2 5" xfId="6230" xr:uid="{00000000-0005-0000-0000-00005B330000}"/>
    <cellStyle name="40% - Accent3 5 2 5 2" xfId="17518" xr:uid="{00000000-0005-0000-0000-00005C330000}"/>
    <cellStyle name="40% - Accent3 5 2 6" xfId="15524" xr:uid="{00000000-0005-0000-0000-00005D330000}"/>
    <cellStyle name="40% - Accent3 5 2 7" xfId="24371" xr:uid="{00000000-0005-0000-0000-00005E330000}"/>
    <cellStyle name="40% - Accent3 5 2 8" xfId="24835" xr:uid="{00000000-0005-0000-0000-00005F330000}"/>
    <cellStyle name="40% - Accent3 5 2 9" xfId="25202" xr:uid="{00000000-0005-0000-0000-000060330000}"/>
    <cellStyle name="40% - Accent3 5 3" xfId="11215" xr:uid="{00000000-0005-0000-0000-000061330000}"/>
    <cellStyle name="40% - Accent3 5 3 2" xfId="22503" xr:uid="{00000000-0005-0000-0000-000062330000}"/>
    <cellStyle name="40% - Accent3 5 4" xfId="9221" xr:uid="{00000000-0005-0000-0000-000063330000}"/>
    <cellStyle name="40% - Accent3 5 4 2" xfId="20509" xr:uid="{00000000-0005-0000-0000-000064330000}"/>
    <cellStyle name="40% - Accent3 5 5" xfId="7227" xr:uid="{00000000-0005-0000-0000-000065330000}"/>
    <cellStyle name="40% - Accent3 5 5 2" xfId="18515" xr:uid="{00000000-0005-0000-0000-000066330000}"/>
    <cellStyle name="40% - Accent3 5 6" xfId="5233" xr:uid="{00000000-0005-0000-0000-000067330000}"/>
    <cellStyle name="40% - Accent3 5 6 2" xfId="16521" xr:uid="{00000000-0005-0000-0000-000068330000}"/>
    <cellStyle name="40% - Accent3 5 7" xfId="14527" xr:uid="{00000000-0005-0000-0000-000069330000}"/>
    <cellStyle name="40% - Accent3 5 8" xfId="13213" xr:uid="{00000000-0005-0000-0000-00006A330000}"/>
    <cellStyle name="40% - Accent3 5 9" xfId="23983" xr:uid="{00000000-0005-0000-0000-00006B330000}"/>
    <cellStyle name="40% - Accent3 50" xfId="1278" xr:uid="{00000000-0005-0000-0000-00006C330000}"/>
    <cellStyle name="40% - Accent3 50 2" xfId="4234" xr:uid="{00000000-0005-0000-0000-00006D330000}"/>
    <cellStyle name="40% - Accent3 50 2 2" xfId="12213" xr:uid="{00000000-0005-0000-0000-00006E330000}"/>
    <cellStyle name="40% - Accent3 50 2 2 2" xfId="23501" xr:uid="{00000000-0005-0000-0000-00006F330000}"/>
    <cellStyle name="40% - Accent3 50 2 3" xfId="10219" xr:uid="{00000000-0005-0000-0000-000070330000}"/>
    <cellStyle name="40% - Accent3 50 2 3 2" xfId="21507" xr:uid="{00000000-0005-0000-0000-000071330000}"/>
    <cellStyle name="40% - Accent3 50 2 4" xfId="8225" xr:uid="{00000000-0005-0000-0000-000072330000}"/>
    <cellStyle name="40% - Accent3 50 2 4 2" xfId="19513" xr:uid="{00000000-0005-0000-0000-000073330000}"/>
    <cellStyle name="40% - Accent3 50 2 5" xfId="6231" xr:uid="{00000000-0005-0000-0000-000074330000}"/>
    <cellStyle name="40% - Accent3 50 2 5 2" xfId="17519" xr:uid="{00000000-0005-0000-0000-000075330000}"/>
    <cellStyle name="40% - Accent3 50 2 6" xfId="15525" xr:uid="{00000000-0005-0000-0000-000076330000}"/>
    <cellStyle name="40% - Accent3 50 3" xfId="11216" xr:uid="{00000000-0005-0000-0000-000077330000}"/>
    <cellStyle name="40% - Accent3 50 3 2" xfId="22504" xr:uid="{00000000-0005-0000-0000-000078330000}"/>
    <cellStyle name="40% - Accent3 50 4" xfId="9222" xr:uid="{00000000-0005-0000-0000-000079330000}"/>
    <cellStyle name="40% - Accent3 50 4 2" xfId="20510" xr:uid="{00000000-0005-0000-0000-00007A330000}"/>
    <cellStyle name="40% - Accent3 50 5" xfId="7228" xr:uid="{00000000-0005-0000-0000-00007B330000}"/>
    <cellStyle name="40% - Accent3 50 5 2" xfId="18516" xr:uid="{00000000-0005-0000-0000-00007C330000}"/>
    <cellStyle name="40% - Accent3 50 6" xfId="5234" xr:uid="{00000000-0005-0000-0000-00007D330000}"/>
    <cellStyle name="40% - Accent3 50 6 2" xfId="16522" xr:uid="{00000000-0005-0000-0000-00007E330000}"/>
    <cellStyle name="40% - Accent3 50 7" xfId="14528" xr:uid="{00000000-0005-0000-0000-00007F330000}"/>
    <cellStyle name="40% - Accent3 50 8" xfId="13214" xr:uid="{00000000-0005-0000-0000-000080330000}"/>
    <cellStyle name="40% - Accent3 51" xfId="1279" xr:uid="{00000000-0005-0000-0000-000081330000}"/>
    <cellStyle name="40% - Accent3 51 2" xfId="4235" xr:uid="{00000000-0005-0000-0000-000082330000}"/>
    <cellStyle name="40% - Accent3 51 2 2" xfId="12214" xr:uid="{00000000-0005-0000-0000-000083330000}"/>
    <cellStyle name="40% - Accent3 51 2 2 2" xfId="23502" xr:uid="{00000000-0005-0000-0000-000084330000}"/>
    <cellStyle name="40% - Accent3 51 2 3" xfId="10220" xr:uid="{00000000-0005-0000-0000-000085330000}"/>
    <cellStyle name="40% - Accent3 51 2 3 2" xfId="21508" xr:uid="{00000000-0005-0000-0000-000086330000}"/>
    <cellStyle name="40% - Accent3 51 2 4" xfId="8226" xr:uid="{00000000-0005-0000-0000-000087330000}"/>
    <cellStyle name="40% - Accent3 51 2 4 2" xfId="19514" xr:uid="{00000000-0005-0000-0000-000088330000}"/>
    <cellStyle name="40% - Accent3 51 2 5" xfId="6232" xr:uid="{00000000-0005-0000-0000-000089330000}"/>
    <cellStyle name="40% - Accent3 51 2 5 2" xfId="17520" xr:uid="{00000000-0005-0000-0000-00008A330000}"/>
    <cellStyle name="40% - Accent3 51 2 6" xfId="15526" xr:uid="{00000000-0005-0000-0000-00008B330000}"/>
    <cellStyle name="40% - Accent3 51 3" xfId="11217" xr:uid="{00000000-0005-0000-0000-00008C330000}"/>
    <cellStyle name="40% - Accent3 51 3 2" xfId="22505" xr:uid="{00000000-0005-0000-0000-00008D330000}"/>
    <cellStyle name="40% - Accent3 51 4" xfId="9223" xr:uid="{00000000-0005-0000-0000-00008E330000}"/>
    <cellStyle name="40% - Accent3 51 4 2" xfId="20511" xr:uid="{00000000-0005-0000-0000-00008F330000}"/>
    <cellStyle name="40% - Accent3 51 5" xfId="7229" xr:uid="{00000000-0005-0000-0000-000090330000}"/>
    <cellStyle name="40% - Accent3 51 5 2" xfId="18517" xr:uid="{00000000-0005-0000-0000-000091330000}"/>
    <cellStyle name="40% - Accent3 51 6" xfId="5235" xr:uid="{00000000-0005-0000-0000-000092330000}"/>
    <cellStyle name="40% - Accent3 51 6 2" xfId="16523" xr:uid="{00000000-0005-0000-0000-000093330000}"/>
    <cellStyle name="40% - Accent3 51 7" xfId="14529" xr:uid="{00000000-0005-0000-0000-000094330000}"/>
    <cellStyle name="40% - Accent3 51 8" xfId="13215" xr:uid="{00000000-0005-0000-0000-000095330000}"/>
    <cellStyle name="40% - Accent3 52" xfId="1280" xr:uid="{00000000-0005-0000-0000-000096330000}"/>
    <cellStyle name="40% - Accent3 52 2" xfId="4236" xr:uid="{00000000-0005-0000-0000-000097330000}"/>
    <cellStyle name="40% - Accent3 52 2 2" xfId="12215" xr:uid="{00000000-0005-0000-0000-000098330000}"/>
    <cellStyle name="40% - Accent3 52 2 2 2" xfId="23503" xr:uid="{00000000-0005-0000-0000-000099330000}"/>
    <cellStyle name="40% - Accent3 52 2 3" xfId="10221" xr:uid="{00000000-0005-0000-0000-00009A330000}"/>
    <cellStyle name="40% - Accent3 52 2 3 2" xfId="21509" xr:uid="{00000000-0005-0000-0000-00009B330000}"/>
    <cellStyle name="40% - Accent3 52 2 4" xfId="8227" xr:uid="{00000000-0005-0000-0000-00009C330000}"/>
    <cellStyle name="40% - Accent3 52 2 4 2" xfId="19515" xr:uid="{00000000-0005-0000-0000-00009D330000}"/>
    <cellStyle name="40% - Accent3 52 2 5" xfId="6233" xr:uid="{00000000-0005-0000-0000-00009E330000}"/>
    <cellStyle name="40% - Accent3 52 2 5 2" xfId="17521" xr:uid="{00000000-0005-0000-0000-00009F330000}"/>
    <cellStyle name="40% - Accent3 52 2 6" xfId="15527" xr:uid="{00000000-0005-0000-0000-0000A0330000}"/>
    <cellStyle name="40% - Accent3 52 3" xfId="11218" xr:uid="{00000000-0005-0000-0000-0000A1330000}"/>
    <cellStyle name="40% - Accent3 52 3 2" xfId="22506" xr:uid="{00000000-0005-0000-0000-0000A2330000}"/>
    <cellStyle name="40% - Accent3 52 4" xfId="9224" xr:uid="{00000000-0005-0000-0000-0000A3330000}"/>
    <cellStyle name="40% - Accent3 52 4 2" xfId="20512" xr:uid="{00000000-0005-0000-0000-0000A4330000}"/>
    <cellStyle name="40% - Accent3 52 5" xfId="7230" xr:uid="{00000000-0005-0000-0000-0000A5330000}"/>
    <cellStyle name="40% - Accent3 52 5 2" xfId="18518" xr:uid="{00000000-0005-0000-0000-0000A6330000}"/>
    <cellStyle name="40% - Accent3 52 6" xfId="5236" xr:uid="{00000000-0005-0000-0000-0000A7330000}"/>
    <cellStyle name="40% - Accent3 52 6 2" xfId="16524" xr:uid="{00000000-0005-0000-0000-0000A8330000}"/>
    <cellStyle name="40% - Accent3 52 7" xfId="14530" xr:uid="{00000000-0005-0000-0000-0000A9330000}"/>
    <cellStyle name="40% - Accent3 52 8" xfId="13216" xr:uid="{00000000-0005-0000-0000-0000AA330000}"/>
    <cellStyle name="40% - Accent3 53" xfId="1281" xr:uid="{00000000-0005-0000-0000-0000AB330000}"/>
    <cellStyle name="40% - Accent3 53 2" xfId="4237" xr:uid="{00000000-0005-0000-0000-0000AC330000}"/>
    <cellStyle name="40% - Accent3 53 2 2" xfId="12216" xr:uid="{00000000-0005-0000-0000-0000AD330000}"/>
    <cellStyle name="40% - Accent3 53 2 2 2" xfId="23504" xr:uid="{00000000-0005-0000-0000-0000AE330000}"/>
    <cellStyle name="40% - Accent3 53 2 3" xfId="10222" xr:uid="{00000000-0005-0000-0000-0000AF330000}"/>
    <cellStyle name="40% - Accent3 53 2 3 2" xfId="21510" xr:uid="{00000000-0005-0000-0000-0000B0330000}"/>
    <cellStyle name="40% - Accent3 53 2 4" xfId="8228" xr:uid="{00000000-0005-0000-0000-0000B1330000}"/>
    <cellStyle name="40% - Accent3 53 2 4 2" xfId="19516" xr:uid="{00000000-0005-0000-0000-0000B2330000}"/>
    <cellStyle name="40% - Accent3 53 2 5" xfId="6234" xr:uid="{00000000-0005-0000-0000-0000B3330000}"/>
    <cellStyle name="40% - Accent3 53 2 5 2" xfId="17522" xr:uid="{00000000-0005-0000-0000-0000B4330000}"/>
    <cellStyle name="40% - Accent3 53 2 6" xfId="15528" xr:uid="{00000000-0005-0000-0000-0000B5330000}"/>
    <cellStyle name="40% - Accent3 53 3" xfId="11219" xr:uid="{00000000-0005-0000-0000-0000B6330000}"/>
    <cellStyle name="40% - Accent3 53 3 2" xfId="22507" xr:uid="{00000000-0005-0000-0000-0000B7330000}"/>
    <cellStyle name="40% - Accent3 53 4" xfId="9225" xr:uid="{00000000-0005-0000-0000-0000B8330000}"/>
    <cellStyle name="40% - Accent3 53 4 2" xfId="20513" xr:uid="{00000000-0005-0000-0000-0000B9330000}"/>
    <cellStyle name="40% - Accent3 53 5" xfId="7231" xr:uid="{00000000-0005-0000-0000-0000BA330000}"/>
    <cellStyle name="40% - Accent3 53 5 2" xfId="18519" xr:uid="{00000000-0005-0000-0000-0000BB330000}"/>
    <cellStyle name="40% - Accent3 53 6" xfId="5237" xr:uid="{00000000-0005-0000-0000-0000BC330000}"/>
    <cellStyle name="40% - Accent3 53 6 2" xfId="16525" xr:uid="{00000000-0005-0000-0000-0000BD330000}"/>
    <cellStyle name="40% - Accent3 53 7" xfId="14531" xr:uid="{00000000-0005-0000-0000-0000BE330000}"/>
    <cellStyle name="40% - Accent3 53 8" xfId="13217" xr:uid="{00000000-0005-0000-0000-0000BF330000}"/>
    <cellStyle name="40% - Accent3 54" xfId="1282" xr:uid="{00000000-0005-0000-0000-0000C0330000}"/>
    <cellStyle name="40% - Accent3 54 2" xfId="4238" xr:uid="{00000000-0005-0000-0000-0000C1330000}"/>
    <cellStyle name="40% - Accent3 54 2 2" xfId="12217" xr:uid="{00000000-0005-0000-0000-0000C2330000}"/>
    <cellStyle name="40% - Accent3 54 2 2 2" xfId="23505" xr:uid="{00000000-0005-0000-0000-0000C3330000}"/>
    <cellStyle name="40% - Accent3 54 2 3" xfId="10223" xr:uid="{00000000-0005-0000-0000-0000C4330000}"/>
    <cellStyle name="40% - Accent3 54 2 3 2" xfId="21511" xr:uid="{00000000-0005-0000-0000-0000C5330000}"/>
    <cellStyle name="40% - Accent3 54 2 4" xfId="8229" xr:uid="{00000000-0005-0000-0000-0000C6330000}"/>
    <cellStyle name="40% - Accent3 54 2 4 2" xfId="19517" xr:uid="{00000000-0005-0000-0000-0000C7330000}"/>
    <cellStyle name="40% - Accent3 54 2 5" xfId="6235" xr:uid="{00000000-0005-0000-0000-0000C8330000}"/>
    <cellStyle name="40% - Accent3 54 2 5 2" xfId="17523" xr:uid="{00000000-0005-0000-0000-0000C9330000}"/>
    <cellStyle name="40% - Accent3 54 2 6" xfId="15529" xr:uid="{00000000-0005-0000-0000-0000CA330000}"/>
    <cellStyle name="40% - Accent3 54 3" xfId="11220" xr:uid="{00000000-0005-0000-0000-0000CB330000}"/>
    <cellStyle name="40% - Accent3 54 3 2" xfId="22508" xr:uid="{00000000-0005-0000-0000-0000CC330000}"/>
    <cellStyle name="40% - Accent3 54 4" xfId="9226" xr:uid="{00000000-0005-0000-0000-0000CD330000}"/>
    <cellStyle name="40% - Accent3 54 4 2" xfId="20514" xr:uid="{00000000-0005-0000-0000-0000CE330000}"/>
    <cellStyle name="40% - Accent3 54 5" xfId="7232" xr:uid="{00000000-0005-0000-0000-0000CF330000}"/>
    <cellStyle name="40% - Accent3 54 5 2" xfId="18520" xr:uid="{00000000-0005-0000-0000-0000D0330000}"/>
    <cellStyle name="40% - Accent3 54 6" xfId="5238" xr:uid="{00000000-0005-0000-0000-0000D1330000}"/>
    <cellStyle name="40% - Accent3 54 6 2" xfId="16526" xr:uid="{00000000-0005-0000-0000-0000D2330000}"/>
    <cellStyle name="40% - Accent3 54 7" xfId="14532" xr:uid="{00000000-0005-0000-0000-0000D3330000}"/>
    <cellStyle name="40% - Accent3 54 8" xfId="13218" xr:uid="{00000000-0005-0000-0000-0000D4330000}"/>
    <cellStyle name="40% - Accent3 55" xfId="1283" xr:uid="{00000000-0005-0000-0000-0000D5330000}"/>
    <cellStyle name="40% - Accent3 55 2" xfId="4239" xr:uid="{00000000-0005-0000-0000-0000D6330000}"/>
    <cellStyle name="40% - Accent3 55 2 2" xfId="12218" xr:uid="{00000000-0005-0000-0000-0000D7330000}"/>
    <cellStyle name="40% - Accent3 55 2 2 2" xfId="23506" xr:uid="{00000000-0005-0000-0000-0000D8330000}"/>
    <cellStyle name="40% - Accent3 55 2 3" xfId="10224" xr:uid="{00000000-0005-0000-0000-0000D9330000}"/>
    <cellStyle name="40% - Accent3 55 2 3 2" xfId="21512" xr:uid="{00000000-0005-0000-0000-0000DA330000}"/>
    <cellStyle name="40% - Accent3 55 2 4" xfId="8230" xr:uid="{00000000-0005-0000-0000-0000DB330000}"/>
    <cellStyle name="40% - Accent3 55 2 4 2" xfId="19518" xr:uid="{00000000-0005-0000-0000-0000DC330000}"/>
    <cellStyle name="40% - Accent3 55 2 5" xfId="6236" xr:uid="{00000000-0005-0000-0000-0000DD330000}"/>
    <cellStyle name="40% - Accent3 55 2 5 2" xfId="17524" xr:uid="{00000000-0005-0000-0000-0000DE330000}"/>
    <cellStyle name="40% - Accent3 55 2 6" xfId="15530" xr:uid="{00000000-0005-0000-0000-0000DF330000}"/>
    <cellStyle name="40% - Accent3 55 3" xfId="11221" xr:uid="{00000000-0005-0000-0000-0000E0330000}"/>
    <cellStyle name="40% - Accent3 55 3 2" xfId="22509" xr:uid="{00000000-0005-0000-0000-0000E1330000}"/>
    <cellStyle name="40% - Accent3 55 4" xfId="9227" xr:uid="{00000000-0005-0000-0000-0000E2330000}"/>
    <cellStyle name="40% - Accent3 55 4 2" xfId="20515" xr:uid="{00000000-0005-0000-0000-0000E3330000}"/>
    <cellStyle name="40% - Accent3 55 5" xfId="7233" xr:uid="{00000000-0005-0000-0000-0000E4330000}"/>
    <cellStyle name="40% - Accent3 55 5 2" xfId="18521" xr:uid="{00000000-0005-0000-0000-0000E5330000}"/>
    <cellStyle name="40% - Accent3 55 6" xfId="5239" xr:uid="{00000000-0005-0000-0000-0000E6330000}"/>
    <cellStyle name="40% - Accent3 55 6 2" xfId="16527" xr:uid="{00000000-0005-0000-0000-0000E7330000}"/>
    <cellStyle name="40% - Accent3 55 7" xfId="14533" xr:uid="{00000000-0005-0000-0000-0000E8330000}"/>
    <cellStyle name="40% - Accent3 55 8" xfId="13219" xr:uid="{00000000-0005-0000-0000-0000E9330000}"/>
    <cellStyle name="40% - Accent3 56" xfId="1284" xr:uid="{00000000-0005-0000-0000-0000EA330000}"/>
    <cellStyle name="40% - Accent3 56 2" xfId="4240" xr:uid="{00000000-0005-0000-0000-0000EB330000}"/>
    <cellStyle name="40% - Accent3 56 2 2" xfId="12219" xr:uid="{00000000-0005-0000-0000-0000EC330000}"/>
    <cellStyle name="40% - Accent3 56 2 2 2" xfId="23507" xr:uid="{00000000-0005-0000-0000-0000ED330000}"/>
    <cellStyle name="40% - Accent3 56 2 3" xfId="10225" xr:uid="{00000000-0005-0000-0000-0000EE330000}"/>
    <cellStyle name="40% - Accent3 56 2 3 2" xfId="21513" xr:uid="{00000000-0005-0000-0000-0000EF330000}"/>
    <cellStyle name="40% - Accent3 56 2 4" xfId="8231" xr:uid="{00000000-0005-0000-0000-0000F0330000}"/>
    <cellStyle name="40% - Accent3 56 2 4 2" xfId="19519" xr:uid="{00000000-0005-0000-0000-0000F1330000}"/>
    <cellStyle name="40% - Accent3 56 2 5" xfId="6237" xr:uid="{00000000-0005-0000-0000-0000F2330000}"/>
    <cellStyle name="40% - Accent3 56 2 5 2" xfId="17525" xr:uid="{00000000-0005-0000-0000-0000F3330000}"/>
    <cellStyle name="40% - Accent3 56 2 6" xfId="15531" xr:uid="{00000000-0005-0000-0000-0000F4330000}"/>
    <cellStyle name="40% - Accent3 56 3" xfId="11222" xr:uid="{00000000-0005-0000-0000-0000F5330000}"/>
    <cellStyle name="40% - Accent3 56 3 2" xfId="22510" xr:uid="{00000000-0005-0000-0000-0000F6330000}"/>
    <cellStyle name="40% - Accent3 56 4" xfId="9228" xr:uid="{00000000-0005-0000-0000-0000F7330000}"/>
    <cellStyle name="40% - Accent3 56 4 2" xfId="20516" xr:uid="{00000000-0005-0000-0000-0000F8330000}"/>
    <cellStyle name="40% - Accent3 56 5" xfId="7234" xr:uid="{00000000-0005-0000-0000-0000F9330000}"/>
    <cellStyle name="40% - Accent3 56 5 2" xfId="18522" xr:uid="{00000000-0005-0000-0000-0000FA330000}"/>
    <cellStyle name="40% - Accent3 56 6" xfId="5240" xr:uid="{00000000-0005-0000-0000-0000FB330000}"/>
    <cellStyle name="40% - Accent3 56 6 2" xfId="16528" xr:uid="{00000000-0005-0000-0000-0000FC330000}"/>
    <cellStyle name="40% - Accent3 56 7" xfId="14534" xr:uid="{00000000-0005-0000-0000-0000FD330000}"/>
    <cellStyle name="40% - Accent3 56 8" xfId="13220" xr:uid="{00000000-0005-0000-0000-0000FE330000}"/>
    <cellStyle name="40% - Accent3 57" xfId="1285" xr:uid="{00000000-0005-0000-0000-0000FF330000}"/>
    <cellStyle name="40% - Accent3 57 2" xfId="4241" xr:uid="{00000000-0005-0000-0000-000000340000}"/>
    <cellStyle name="40% - Accent3 57 2 2" xfId="12220" xr:uid="{00000000-0005-0000-0000-000001340000}"/>
    <cellStyle name="40% - Accent3 57 2 2 2" xfId="23508" xr:uid="{00000000-0005-0000-0000-000002340000}"/>
    <cellStyle name="40% - Accent3 57 2 3" xfId="10226" xr:uid="{00000000-0005-0000-0000-000003340000}"/>
    <cellStyle name="40% - Accent3 57 2 3 2" xfId="21514" xr:uid="{00000000-0005-0000-0000-000004340000}"/>
    <cellStyle name="40% - Accent3 57 2 4" xfId="8232" xr:uid="{00000000-0005-0000-0000-000005340000}"/>
    <cellStyle name="40% - Accent3 57 2 4 2" xfId="19520" xr:uid="{00000000-0005-0000-0000-000006340000}"/>
    <cellStyle name="40% - Accent3 57 2 5" xfId="6238" xr:uid="{00000000-0005-0000-0000-000007340000}"/>
    <cellStyle name="40% - Accent3 57 2 5 2" xfId="17526" xr:uid="{00000000-0005-0000-0000-000008340000}"/>
    <cellStyle name="40% - Accent3 57 2 6" xfId="15532" xr:uid="{00000000-0005-0000-0000-000009340000}"/>
    <cellStyle name="40% - Accent3 57 3" xfId="11223" xr:uid="{00000000-0005-0000-0000-00000A340000}"/>
    <cellStyle name="40% - Accent3 57 3 2" xfId="22511" xr:uid="{00000000-0005-0000-0000-00000B340000}"/>
    <cellStyle name="40% - Accent3 57 4" xfId="9229" xr:uid="{00000000-0005-0000-0000-00000C340000}"/>
    <cellStyle name="40% - Accent3 57 4 2" xfId="20517" xr:uid="{00000000-0005-0000-0000-00000D340000}"/>
    <cellStyle name="40% - Accent3 57 5" xfId="7235" xr:uid="{00000000-0005-0000-0000-00000E340000}"/>
    <cellStyle name="40% - Accent3 57 5 2" xfId="18523" xr:uid="{00000000-0005-0000-0000-00000F340000}"/>
    <cellStyle name="40% - Accent3 57 6" xfId="5241" xr:uid="{00000000-0005-0000-0000-000010340000}"/>
    <cellStyle name="40% - Accent3 57 6 2" xfId="16529" xr:uid="{00000000-0005-0000-0000-000011340000}"/>
    <cellStyle name="40% - Accent3 57 7" xfId="14535" xr:uid="{00000000-0005-0000-0000-000012340000}"/>
    <cellStyle name="40% - Accent3 57 8" xfId="13221" xr:uid="{00000000-0005-0000-0000-000013340000}"/>
    <cellStyle name="40% - Accent3 58" xfId="1286" xr:uid="{00000000-0005-0000-0000-000014340000}"/>
    <cellStyle name="40% - Accent3 58 2" xfId="4242" xr:uid="{00000000-0005-0000-0000-000015340000}"/>
    <cellStyle name="40% - Accent3 58 2 2" xfId="12221" xr:uid="{00000000-0005-0000-0000-000016340000}"/>
    <cellStyle name="40% - Accent3 58 2 2 2" xfId="23509" xr:uid="{00000000-0005-0000-0000-000017340000}"/>
    <cellStyle name="40% - Accent3 58 2 3" xfId="10227" xr:uid="{00000000-0005-0000-0000-000018340000}"/>
    <cellStyle name="40% - Accent3 58 2 3 2" xfId="21515" xr:uid="{00000000-0005-0000-0000-000019340000}"/>
    <cellStyle name="40% - Accent3 58 2 4" xfId="8233" xr:uid="{00000000-0005-0000-0000-00001A340000}"/>
    <cellStyle name="40% - Accent3 58 2 4 2" xfId="19521" xr:uid="{00000000-0005-0000-0000-00001B340000}"/>
    <cellStyle name="40% - Accent3 58 2 5" xfId="6239" xr:uid="{00000000-0005-0000-0000-00001C340000}"/>
    <cellStyle name="40% - Accent3 58 2 5 2" xfId="17527" xr:uid="{00000000-0005-0000-0000-00001D340000}"/>
    <cellStyle name="40% - Accent3 58 2 6" xfId="15533" xr:uid="{00000000-0005-0000-0000-00001E340000}"/>
    <cellStyle name="40% - Accent3 58 3" xfId="11224" xr:uid="{00000000-0005-0000-0000-00001F340000}"/>
    <cellStyle name="40% - Accent3 58 3 2" xfId="22512" xr:uid="{00000000-0005-0000-0000-000020340000}"/>
    <cellStyle name="40% - Accent3 58 4" xfId="9230" xr:uid="{00000000-0005-0000-0000-000021340000}"/>
    <cellStyle name="40% - Accent3 58 4 2" xfId="20518" xr:uid="{00000000-0005-0000-0000-000022340000}"/>
    <cellStyle name="40% - Accent3 58 5" xfId="7236" xr:uid="{00000000-0005-0000-0000-000023340000}"/>
    <cellStyle name="40% - Accent3 58 5 2" xfId="18524" xr:uid="{00000000-0005-0000-0000-000024340000}"/>
    <cellStyle name="40% - Accent3 58 6" xfId="5242" xr:uid="{00000000-0005-0000-0000-000025340000}"/>
    <cellStyle name="40% - Accent3 58 6 2" xfId="16530" xr:uid="{00000000-0005-0000-0000-000026340000}"/>
    <cellStyle name="40% - Accent3 58 7" xfId="14536" xr:uid="{00000000-0005-0000-0000-000027340000}"/>
    <cellStyle name="40% - Accent3 58 8" xfId="13222" xr:uid="{00000000-0005-0000-0000-000028340000}"/>
    <cellStyle name="40% - Accent3 59" xfId="1287" xr:uid="{00000000-0005-0000-0000-000029340000}"/>
    <cellStyle name="40% - Accent3 59 2" xfId="4243" xr:uid="{00000000-0005-0000-0000-00002A340000}"/>
    <cellStyle name="40% - Accent3 59 2 2" xfId="12222" xr:uid="{00000000-0005-0000-0000-00002B340000}"/>
    <cellStyle name="40% - Accent3 59 2 2 2" xfId="23510" xr:uid="{00000000-0005-0000-0000-00002C340000}"/>
    <cellStyle name="40% - Accent3 59 2 3" xfId="10228" xr:uid="{00000000-0005-0000-0000-00002D340000}"/>
    <cellStyle name="40% - Accent3 59 2 3 2" xfId="21516" xr:uid="{00000000-0005-0000-0000-00002E340000}"/>
    <cellStyle name="40% - Accent3 59 2 4" xfId="8234" xr:uid="{00000000-0005-0000-0000-00002F340000}"/>
    <cellStyle name="40% - Accent3 59 2 4 2" xfId="19522" xr:uid="{00000000-0005-0000-0000-000030340000}"/>
    <cellStyle name="40% - Accent3 59 2 5" xfId="6240" xr:uid="{00000000-0005-0000-0000-000031340000}"/>
    <cellStyle name="40% - Accent3 59 2 5 2" xfId="17528" xr:uid="{00000000-0005-0000-0000-000032340000}"/>
    <cellStyle name="40% - Accent3 59 2 6" xfId="15534" xr:uid="{00000000-0005-0000-0000-000033340000}"/>
    <cellStyle name="40% - Accent3 59 3" xfId="11225" xr:uid="{00000000-0005-0000-0000-000034340000}"/>
    <cellStyle name="40% - Accent3 59 3 2" xfId="22513" xr:uid="{00000000-0005-0000-0000-000035340000}"/>
    <cellStyle name="40% - Accent3 59 4" xfId="9231" xr:uid="{00000000-0005-0000-0000-000036340000}"/>
    <cellStyle name="40% - Accent3 59 4 2" xfId="20519" xr:uid="{00000000-0005-0000-0000-000037340000}"/>
    <cellStyle name="40% - Accent3 59 5" xfId="7237" xr:uid="{00000000-0005-0000-0000-000038340000}"/>
    <cellStyle name="40% - Accent3 59 5 2" xfId="18525" xr:uid="{00000000-0005-0000-0000-000039340000}"/>
    <cellStyle name="40% - Accent3 59 6" xfId="5243" xr:uid="{00000000-0005-0000-0000-00003A340000}"/>
    <cellStyle name="40% - Accent3 59 6 2" xfId="16531" xr:uid="{00000000-0005-0000-0000-00003B340000}"/>
    <cellStyle name="40% - Accent3 59 7" xfId="14537" xr:uid="{00000000-0005-0000-0000-00003C340000}"/>
    <cellStyle name="40% - Accent3 59 8" xfId="13223" xr:uid="{00000000-0005-0000-0000-00003D340000}"/>
    <cellStyle name="40% - Accent3 6" xfId="1288" xr:uid="{00000000-0005-0000-0000-00003E340000}"/>
    <cellStyle name="40% - Accent3 6 10" xfId="24611" xr:uid="{00000000-0005-0000-0000-00003F340000}"/>
    <cellStyle name="40% - Accent3 6 11" xfId="25001" xr:uid="{00000000-0005-0000-0000-000040340000}"/>
    <cellStyle name="40% - Accent3 6 2" xfId="4244" xr:uid="{00000000-0005-0000-0000-000041340000}"/>
    <cellStyle name="40% - Accent3 6 2 2" xfId="12223" xr:uid="{00000000-0005-0000-0000-000042340000}"/>
    <cellStyle name="40% - Accent3 6 2 2 2" xfId="23511" xr:uid="{00000000-0005-0000-0000-000043340000}"/>
    <cellStyle name="40% - Accent3 6 2 3" xfId="10229" xr:uid="{00000000-0005-0000-0000-000044340000}"/>
    <cellStyle name="40% - Accent3 6 2 3 2" xfId="21517" xr:uid="{00000000-0005-0000-0000-000045340000}"/>
    <cellStyle name="40% - Accent3 6 2 4" xfId="8235" xr:uid="{00000000-0005-0000-0000-000046340000}"/>
    <cellStyle name="40% - Accent3 6 2 4 2" xfId="19523" xr:uid="{00000000-0005-0000-0000-000047340000}"/>
    <cellStyle name="40% - Accent3 6 2 5" xfId="6241" xr:uid="{00000000-0005-0000-0000-000048340000}"/>
    <cellStyle name="40% - Accent3 6 2 5 2" xfId="17529" xr:uid="{00000000-0005-0000-0000-000049340000}"/>
    <cellStyle name="40% - Accent3 6 2 6" xfId="15535" xr:uid="{00000000-0005-0000-0000-00004A340000}"/>
    <cellStyle name="40% - Accent3 6 2 7" xfId="24372" xr:uid="{00000000-0005-0000-0000-00004B340000}"/>
    <cellStyle name="40% - Accent3 6 2 8" xfId="24836" xr:uid="{00000000-0005-0000-0000-00004C340000}"/>
    <cellStyle name="40% - Accent3 6 2 9" xfId="25203" xr:uid="{00000000-0005-0000-0000-00004D340000}"/>
    <cellStyle name="40% - Accent3 6 3" xfId="11226" xr:uid="{00000000-0005-0000-0000-00004E340000}"/>
    <cellStyle name="40% - Accent3 6 3 2" xfId="22514" xr:uid="{00000000-0005-0000-0000-00004F340000}"/>
    <cellStyle name="40% - Accent3 6 4" xfId="9232" xr:uid="{00000000-0005-0000-0000-000050340000}"/>
    <cellStyle name="40% - Accent3 6 4 2" xfId="20520" xr:uid="{00000000-0005-0000-0000-000051340000}"/>
    <cellStyle name="40% - Accent3 6 5" xfId="7238" xr:uid="{00000000-0005-0000-0000-000052340000}"/>
    <cellStyle name="40% - Accent3 6 5 2" xfId="18526" xr:uid="{00000000-0005-0000-0000-000053340000}"/>
    <cellStyle name="40% - Accent3 6 6" xfId="5244" xr:uid="{00000000-0005-0000-0000-000054340000}"/>
    <cellStyle name="40% - Accent3 6 6 2" xfId="16532" xr:uid="{00000000-0005-0000-0000-000055340000}"/>
    <cellStyle name="40% - Accent3 6 7" xfId="14538" xr:uid="{00000000-0005-0000-0000-000056340000}"/>
    <cellStyle name="40% - Accent3 6 8" xfId="13224" xr:uid="{00000000-0005-0000-0000-000057340000}"/>
    <cellStyle name="40% - Accent3 6 9" xfId="23984" xr:uid="{00000000-0005-0000-0000-000058340000}"/>
    <cellStyle name="40% - Accent3 60" xfId="1289" xr:uid="{00000000-0005-0000-0000-000059340000}"/>
    <cellStyle name="40% - Accent3 60 2" xfId="4245" xr:uid="{00000000-0005-0000-0000-00005A340000}"/>
    <cellStyle name="40% - Accent3 60 2 2" xfId="12224" xr:uid="{00000000-0005-0000-0000-00005B340000}"/>
    <cellStyle name="40% - Accent3 60 2 2 2" xfId="23512" xr:uid="{00000000-0005-0000-0000-00005C340000}"/>
    <cellStyle name="40% - Accent3 60 2 3" xfId="10230" xr:uid="{00000000-0005-0000-0000-00005D340000}"/>
    <cellStyle name="40% - Accent3 60 2 3 2" xfId="21518" xr:uid="{00000000-0005-0000-0000-00005E340000}"/>
    <cellStyle name="40% - Accent3 60 2 4" xfId="8236" xr:uid="{00000000-0005-0000-0000-00005F340000}"/>
    <cellStyle name="40% - Accent3 60 2 4 2" xfId="19524" xr:uid="{00000000-0005-0000-0000-000060340000}"/>
    <cellStyle name="40% - Accent3 60 2 5" xfId="6242" xr:uid="{00000000-0005-0000-0000-000061340000}"/>
    <cellStyle name="40% - Accent3 60 2 5 2" xfId="17530" xr:uid="{00000000-0005-0000-0000-000062340000}"/>
    <cellStyle name="40% - Accent3 60 2 6" xfId="15536" xr:uid="{00000000-0005-0000-0000-000063340000}"/>
    <cellStyle name="40% - Accent3 60 3" xfId="11227" xr:uid="{00000000-0005-0000-0000-000064340000}"/>
    <cellStyle name="40% - Accent3 60 3 2" xfId="22515" xr:uid="{00000000-0005-0000-0000-000065340000}"/>
    <cellStyle name="40% - Accent3 60 4" xfId="9233" xr:uid="{00000000-0005-0000-0000-000066340000}"/>
    <cellStyle name="40% - Accent3 60 4 2" xfId="20521" xr:uid="{00000000-0005-0000-0000-000067340000}"/>
    <cellStyle name="40% - Accent3 60 5" xfId="7239" xr:uid="{00000000-0005-0000-0000-000068340000}"/>
    <cellStyle name="40% - Accent3 60 5 2" xfId="18527" xr:uid="{00000000-0005-0000-0000-000069340000}"/>
    <cellStyle name="40% - Accent3 60 6" xfId="5245" xr:uid="{00000000-0005-0000-0000-00006A340000}"/>
    <cellStyle name="40% - Accent3 60 6 2" xfId="16533" xr:uid="{00000000-0005-0000-0000-00006B340000}"/>
    <cellStyle name="40% - Accent3 60 7" xfId="14539" xr:uid="{00000000-0005-0000-0000-00006C340000}"/>
    <cellStyle name="40% - Accent3 60 8" xfId="13225" xr:uid="{00000000-0005-0000-0000-00006D340000}"/>
    <cellStyle name="40% - Accent3 61" xfId="1290" xr:uid="{00000000-0005-0000-0000-00006E340000}"/>
    <cellStyle name="40% - Accent3 61 2" xfId="4246" xr:uid="{00000000-0005-0000-0000-00006F340000}"/>
    <cellStyle name="40% - Accent3 61 2 2" xfId="12225" xr:uid="{00000000-0005-0000-0000-000070340000}"/>
    <cellStyle name="40% - Accent3 61 2 2 2" xfId="23513" xr:uid="{00000000-0005-0000-0000-000071340000}"/>
    <cellStyle name="40% - Accent3 61 2 3" xfId="10231" xr:uid="{00000000-0005-0000-0000-000072340000}"/>
    <cellStyle name="40% - Accent3 61 2 3 2" xfId="21519" xr:uid="{00000000-0005-0000-0000-000073340000}"/>
    <cellStyle name="40% - Accent3 61 2 4" xfId="8237" xr:uid="{00000000-0005-0000-0000-000074340000}"/>
    <cellStyle name="40% - Accent3 61 2 4 2" xfId="19525" xr:uid="{00000000-0005-0000-0000-000075340000}"/>
    <cellStyle name="40% - Accent3 61 2 5" xfId="6243" xr:uid="{00000000-0005-0000-0000-000076340000}"/>
    <cellStyle name="40% - Accent3 61 2 5 2" xfId="17531" xr:uid="{00000000-0005-0000-0000-000077340000}"/>
    <cellStyle name="40% - Accent3 61 2 6" xfId="15537" xr:uid="{00000000-0005-0000-0000-000078340000}"/>
    <cellStyle name="40% - Accent3 61 3" xfId="11228" xr:uid="{00000000-0005-0000-0000-000079340000}"/>
    <cellStyle name="40% - Accent3 61 3 2" xfId="22516" xr:uid="{00000000-0005-0000-0000-00007A340000}"/>
    <cellStyle name="40% - Accent3 61 4" xfId="9234" xr:uid="{00000000-0005-0000-0000-00007B340000}"/>
    <cellStyle name="40% - Accent3 61 4 2" xfId="20522" xr:uid="{00000000-0005-0000-0000-00007C340000}"/>
    <cellStyle name="40% - Accent3 61 5" xfId="7240" xr:uid="{00000000-0005-0000-0000-00007D340000}"/>
    <cellStyle name="40% - Accent3 61 5 2" xfId="18528" xr:uid="{00000000-0005-0000-0000-00007E340000}"/>
    <cellStyle name="40% - Accent3 61 6" xfId="5246" xr:uid="{00000000-0005-0000-0000-00007F340000}"/>
    <cellStyle name="40% - Accent3 61 6 2" xfId="16534" xr:uid="{00000000-0005-0000-0000-000080340000}"/>
    <cellStyle name="40% - Accent3 61 7" xfId="14540" xr:uid="{00000000-0005-0000-0000-000081340000}"/>
    <cellStyle name="40% - Accent3 61 8" xfId="13226" xr:uid="{00000000-0005-0000-0000-000082340000}"/>
    <cellStyle name="40% - Accent3 62" xfId="1291" xr:uid="{00000000-0005-0000-0000-000083340000}"/>
    <cellStyle name="40% - Accent3 62 2" xfId="4247" xr:uid="{00000000-0005-0000-0000-000084340000}"/>
    <cellStyle name="40% - Accent3 62 2 2" xfId="12226" xr:uid="{00000000-0005-0000-0000-000085340000}"/>
    <cellStyle name="40% - Accent3 62 2 2 2" xfId="23514" xr:uid="{00000000-0005-0000-0000-000086340000}"/>
    <cellStyle name="40% - Accent3 62 2 3" xfId="10232" xr:uid="{00000000-0005-0000-0000-000087340000}"/>
    <cellStyle name="40% - Accent3 62 2 3 2" xfId="21520" xr:uid="{00000000-0005-0000-0000-000088340000}"/>
    <cellStyle name="40% - Accent3 62 2 4" xfId="8238" xr:uid="{00000000-0005-0000-0000-000089340000}"/>
    <cellStyle name="40% - Accent3 62 2 4 2" xfId="19526" xr:uid="{00000000-0005-0000-0000-00008A340000}"/>
    <cellStyle name="40% - Accent3 62 2 5" xfId="6244" xr:uid="{00000000-0005-0000-0000-00008B340000}"/>
    <cellStyle name="40% - Accent3 62 2 5 2" xfId="17532" xr:uid="{00000000-0005-0000-0000-00008C340000}"/>
    <cellStyle name="40% - Accent3 62 2 6" xfId="15538" xr:uid="{00000000-0005-0000-0000-00008D340000}"/>
    <cellStyle name="40% - Accent3 62 3" xfId="11229" xr:uid="{00000000-0005-0000-0000-00008E340000}"/>
    <cellStyle name="40% - Accent3 62 3 2" xfId="22517" xr:uid="{00000000-0005-0000-0000-00008F340000}"/>
    <cellStyle name="40% - Accent3 62 4" xfId="9235" xr:uid="{00000000-0005-0000-0000-000090340000}"/>
    <cellStyle name="40% - Accent3 62 4 2" xfId="20523" xr:uid="{00000000-0005-0000-0000-000091340000}"/>
    <cellStyle name="40% - Accent3 62 5" xfId="7241" xr:uid="{00000000-0005-0000-0000-000092340000}"/>
    <cellStyle name="40% - Accent3 62 5 2" xfId="18529" xr:uid="{00000000-0005-0000-0000-000093340000}"/>
    <cellStyle name="40% - Accent3 62 6" xfId="5247" xr:uid="{00000000-0005-0000-0000-000094340000}"/>
    <cellStyle name="40% - Accent3 62 6 2" xfId="16535" xr:uid="{00000000-0005-0000-0000-000095340000}"/>
    <cellStyle name="40% - Accent3 62 7" xfId="14541" xr:uid="{00000000-0005-0000-0000-000096340000}"/>
    <cellStyle name="40% - Accent3 62 8" xfId="13227" xr:uid="{00000000-0005-0000-0000-000097340000}"/>
    <cellStyle name="40% - Accent3 63" xfId="1292" xr:uid="{00000000-0005-0000-0000-000098340000}"/>
    <cellStyle name="40% - Accent3 63 2" xfId="4248" xr:uid="{00000000-0005-0000-0000-000099340000}"/>
    <cellStyle name="40% - Accent3 63 2 2" xfId="12227" xr:uid="{00000000-0005-0000-0000-00009A340000}"/>
    <cellStyle name="40% - Accent3 63 2 2 2" xfId="23515" xr:uid="{00000000-0005-0000-0000-00009B340000}"/>
    <cellStyle name="40% - Accent3 63 2 3" xfId="10233" xr:uid="{00000000-0005-0000-0000-00009C340000}"/>
    <cellStyle name="40% - Accent3 63 2 3 2" xfId="21521" xr:uid="{00000000-0005-0000-0000-00009D340000}"/>
    <cellStyle name="40% - Accent3 63 2 4" xfId="8239" xr:uid="{00000000-0005-0000-0000-00009E340000}"/>
    <cellStyle name="40% - Accent3 63 2 4 2" xfId="19527" xr:uid="{00000000-0005-0000-0000-00009F340000}"/>
    <cellStyle name="40% - Accent3 63 2 5" xfId="6245" xr:uid="{00000000-0005-0000-0000-0000A0340000}"/>
    <cellStyle name="40% - Accent3 63 2 5 2" xfId="17533" xr:uid="{00000000-0005-0000-0000-0000A1340000}"/>
    <cellStyle name="40% - Accent3 63 2 6" xfId="15539" xr:uid="{00000000-0005-0000-0000-0000A2340000}"/>
    <cellStyle name="40% - Accent3 63 3" xfId="11230" xr:uid="{00000000-0005-0000-0000-0000A3340000}"/>
    <cellStyle name="40% - Accent3 63 3 2" xfId="22518" xr:uid="{00000000-0005-0000-0000-0000A4340000}"/>
    <cellStyle name="40% - Accent3 63 4" xfId="9236" xr:uid="{00000000-0005-0000-0000-0000A5340000}"/>
    <cellStyle name="40% - Accent3 63 4 2" xfId="20524" xr:uid="{00000000-0005-0000-0000-0000A6340000}"/>
    <cellStyle name="40% - Accent3 63 5" xfId="7242" xr:uid="{00000000-0005-0000-0000-0000A7340000}"/>
    <cellStyle name="40% - Accent3 63 5 2" xfId="18530" xr:uid="{00000000-0005-0000-0000-0000A8340000}"/>
    <cellStyle name="40% - Accent3 63 6" xfId="5248" xr:uid="{00000000-0005-0000-0000-0000A9340000}"/>
    <cellStyle name="40% - Accent3 63 6 2" xfId="16536" xr:uid="{00000000-0005-0000-0000-0000AA340000}"/>
    <cellStyle name="40% - Accent3 63 7" xfId="14542" xr:uid="{00000000-0005-0000-0000-0000AB340000}"/>
    <cellStyle name="40% - Accent3 63 8" xfId="13228" xr:uid="{00000000-0005-0000-0000-0000AC340000}"/>
    <cellStyle name="40% - Accent3 64" xfId="1293" xr:uid="{00000000-0005-0000-0000-0000AD340000}"/>
    <cellStyle name="40% - Accent3 64 2" xfId="4249" xr:uid="{00000000-0005-0000-0000-0000AE340000}"/>
    <cellStyle name="40% - Accent3 64 2 2" xfId="12228" xr:uid="{00000000-0005-0000-0000-0000AF340000}"/>
    <cellStyle name="40% - Accent3 64 2 2 2" xfId="23516" xr:uid="{00000000-0005-0000-0000-0000B0340000}"/>
    <cellStyle name="40% - Accent3 64 2 3" xfId="10234" xr:uid="{00000000-0005-0000-0000-0000B1340000}"/>
    <cellStyle name="40% - Accent3 64 2 3 2" xfId="21522" xr:uid="{00000000-0005-0000-0000-0000B2340000}"/>
    <cellStyle name="40% - Accent3 64 2 4" xfId="8240" xr:uid="{00000000-0005-0000-0000-0000B3340000}"/>
    <cellStyle name="40% - Accent3 64 2 4 2" xfId="19528" xr:uid="{00000000-0005-0000-0000-0000B4340000}"/>
    <cellStyle name="40% - Accent3 64 2 5" xfId="6246" xr:uid="{00000000-0005-0000-0000-0000B5340000}"/>
    <cellStyle name="40% - Accent3 64 2 5 2" xfId="17534" xr:uid="{00000000-0005-0000-0000-0000B6340000}"/>
    <cellStyle name="40% - Accent3 64 2 6" xfId="15540" xr:uid="{00000000-0005-0000-0000-0000B7340000}"/>
    <cellStyle name="40% - Accent3 64 3" xfId="11231" xr:uid="{00000000-0005-0000-0000-0000B8340000}"/>
    <cellStyle name="40% - Accent3 64 3 2" xfId="22519" xr:uid="{00000000-0005-0000-0000-0000B9340000}"/>
    <cellStyle name="40% - Accent3 64 4" xfId="9237" xr:uid="{00000000-0005-0000-0000-0000BA340000}"/>
    <cellStyle name="40% - Accent3 64 4 2" xfId="20525" xr:uid="{00000000-0005-0000-0000-0000BB340000}"/>
    <cellStyle name="40% - Accent3 64 5" xfId="7243" xr:uid="{00000000-0005-0000-0000-0000BC340000}"/>
    <cellStyle name="40% - Accent3 64 5 2" xfId="18531" xr:uid="{00000000-0005-0000-0000-0000BD340000}"/>
    <cellStyle name="40% - Accent3 64 6" xfId="5249" xr:uid="{00000000-0005-0000-0000-0000BE340000}"/>
    <cellStyle name="40% - Accent3 64 6 2" xfId="16537" xr:uid="{00000000-0005-0000-0000-0000BF340000}"/>
    <cellStyle name="40% - Accent3 64 7" xfId="14543" xr:uid="{00000000-0005-0000-0000-0000C0340000}"/>
    <cellStyle name="40% - Accent3 64 8" xfId="13229" xr:uid="{00000000-0005-0000-0000-0000C1340000}"/>
    <cellStyle name="40% - Accent3 65" xfId="1294" xr:uid="{00000000-0005-0000-0000-0000C2340000}"/>
    <cellStyle name="40% - Accent3 65 2" xfId="4250" xr:uid="{00000000-0005-0000-0000-0000C3340000}"/>
    <cellStyle name="40% - Accent3 65 2 2" xfId="12229" xr:uid="{00000000-0005-0000-0000-0000C4340000}"/>
    <cellStyle name="40% - Accent3 65 2 2 2" xfId="23517" xr:uid="{00000000-0005-0000-0000-0000C5340000}"/>
    <cellStyle name="40% - Accent3 65 2 3" xfId="10235" xr:uid="{00000000-0005-0000-0000-0000C6340000}"/>
    <cellStyle name="40% - Accent3 65 2 3 2" xfId="21523" xr:uid="{00000000-0005-0000-0000-0000C7340000}"/>
    <cellStyle name="40% - Accent3 65 2 4" xfId="8241" xr:uid="{00000000-0005-0000-0000-0000C8340000}"/>
    <cellStyle name="40% - Accent3 65 2 4 2" xfId="19529" xr:uid="{00000000-0005-0000-0000-0000C9340000}"/>
    <cellStyle name="40% - Accent3 65 2 5" xfId="6247" xr:uid="{00000000-0005-0000-0000-0000CA340000}"/>
    <cellStyle name="40% - Accent3 65 2 5 2" xfId="17535" xr:uid="{00000000-0005-0000-0000-0000CB340000}"/>
    <cellStyle name="40% - Accent3 65 2 6" xfId="15541" xr:uid="{00000000-0005-0000-0000-0000CC340000}"/>
    <cellStyle name="40% - Accent3 65 3" xfId="11232" xr:uid="{00000000-0005-0000-0000-0000CD340000}"/>
    <cellStyle name="40% - Accent3 65 3 2" xfId="22520" xr:uid="{00000000-0005-0000-0000-0000CE340000}"/>
    <cellStyle name="40% - Accent3 65 4" xfId="9238" xr:uid="{00000000-0005-0000-0000-0000CF340000}"/>
    <cellStyle name="40% - Accent3 65 4 2" xfId="20526" xr:uid="{00000000-0005-0000-0000-0000D0340000}"/>
    <cellStyle name="40% - Accent3 65 5" xfId="7244" xr:uid="{00000000-0005-0000-0000-0000D1340000}"/>
    <cellStyle name="40% - Accent3 65 5 2" xfId="18532" xr:uid="{00000000-0005-0000-0000-0000D2340000}"/>
    <cellStyle name="40% - Accent3 65 6" xfId="5250" xr:uid="{00000000-0005-0000-0000-0000D3340000}"/>
    <cellStyle name="40% - Accent3 65 6 2" xfId="16538" xr:uid="{00000000-0005-0000-0000-0000D4340000}"/>
    <cellStyle name="40% - Accent3 65 7" xfId="14544" xr:uid="{00000000-0005-0000-0000-0000D5340000}"/>
    <cellStyle name="40% - Accent3 65 8" xfId="13230" xr:uid="{00000000-0005-0000-0000-0000D6340000}"/>
    <cellStyle name="40% - Accent3 66" xfId="1295" xr:uid="{00000000-0005-0000-0000-0000D7340000}"/>
    <cellStyle name="40% - Accent3 66 2" xfId="4251" xr:uid="{00000000-0005-0000-0000-0000D8340000}"/>
    <cellStyle name="40% - Accent3 66 2 2" xfId="12230" xr:uid="{00000000-0005-0000-0000-0000D9340000}"/>
    <cellStyle name="40% - Accent3 66 2 2 2" xfId="23518" xr:uid="{00000000-0005-0000-0000-0000DA340000}"/>
    <cellStyle name="40% - Accent3 66 2 3" xfId="10236" xr:uid="{00000000-0005-0000-0000-0000DB340000}"/>
    <cellStyle name="40% - Accent3 66 2 3 2" xfId="21524" xr:uid="{00000000-0005-0000-0000-0000DC340000}"/>
    <cellStyle name="40% - Accent3 66 2 4" xfId="8242" xr:uid="{00000000-0005-0000-0000-0000DD340000}"/>
    <cellStyle name="40% - Accent3 66 2 4 2" xfId="19530" xr:uid="{00000000-0005-0000-0000-0000DE340000}"/>
    <cellStyle name="40% - Accent3 66 2 5" xfId="6248" xr:uid="{00000000-0005-0000-0000-0000DF340000}"/>
    <cellStyle name="40% - Accent3 66 2 5 2" xfId="17536" xr:uid="{00000000-0005-0000-0000-0000E0340000}"/>
    <cellStyle name="40% - Accent3 66 2 6" xfId="15542" xr:uid="{00000000-0005-0000-0000-0000E1340000}"/>
    <cellStyle name="40% - Accent3 66 3" xfId="11233" xr:uid="{00000000-0005-0000-0000-0000E2340000}"/>
    <cellStyle name="40% - Accent3 66 3 2" xfId="22521" xr:uid="{00000000-0005-0000-0000-0000E3340000}"/>
    <cellStyle name="40% - Accent3 66 4" xfId="9239" xr:uid="{00000000-0005-0000-0000-0000E4340000}"/>
    <cellStyle name="40% - Accent3 66 4 2" xfId="20527" xr:uid="{00000000-0005-0000-0000-0000E5340000}"/>
    <cellStyle name="40% - Accent3 66 5" xfId="7245" xr:uid="{00000000-0005-0000-0000-0000E6340000}"/>
    <cellStyle name="40% - Accent3 66 5 2" xfId="18533" xr:uid="{00000000-0005-0000-0000-0000E7340000}"/>
    <cellStyle name="40% - Accent3 66 6" xfId="5251" xr:uid="{00000000-0005-0000-0000-0000E8340000}"/>
    <cellStyle name="40% - Accent3 66 6 2" xfId="16539" xr:uid="{00000000-0005-0000-0000-0000E9340000}"/>
    <cellStyle name="40% - Accent3 66 7" xfId="14545" xr:uid="{00000000-0005-0000-0000-0000EA340000}"/>
    <cellStyle name="40% - Accent3 66 8" xfId="13231" xr:uid="{00000000-0005-0000-0000-0000EB340000}"/>
    <cellStyle name="40% - Accent3 67" xfId="1296" xr:uid="{00000000-0005-0000-0000-0000EC340000}"/>
    <cellStyle name="40% - Accent3 67 2" xfId="4252" xr:uid="{00000000-0005-0000-0000-0000ED340000}"/>
    <cellStyle name="40% - Accent3 67 2 2" xfId="12231" xr:uid="{00000000-0005-0000-0000-0000EE340000}"/>
    <cellStyle name="40% - Accent3 67 2 2 2" xfId="23519" xr:uid="{00000000-0005-0000-0000-0000EF340000}"/>
    <cellStyle name="40% - Accent3 67 2 3" xfId="10237" xr:uid="{00000000-0005-0000-0000-0000F0340000}"/>
    <cellStyle name="40% - Accent3 67 2 3 2" xfId="21525" xr:uid="{00000000-0005-0000-0000-0000F1340000}"/>
    <cellStyle name="40% - Accent3 67 2 4" xfId="8243" xr:uid="{00000000-0005-0000-0000-0000F2340000}"/>
    <cellStyle name="40% - Accent3 67 2 4 2" xfId="19531" xr:uid="{00000000-0005-0000-0000-0000F3340000}"/>
    <cellStyle name="40% - Accent3 67 2 5" xfId="6249" xr:uid="{00000000-0005-0000-0000-0000F4340000}"/>
    <cellStyle name="40% - Accent3 67 2 5 2" xfId="17537" xr:uid="{00000000-0005-0000-0000-0000F5340000}"/>
    <cellStyle name="40% - Accent3 67 2 6" xfId="15543" xr:uid="{00000000-0005-0000-0000-0000F6340000}"/>
    <cellStyle name="40% - Accent3 67 3" xfId="11234" xr:uid="{00000000-0005-0000-0000-0000F7340000}"/>
    <cellStyle name="40% - Accent3 67 3 2" xfId="22522" xr:uid="{00000000-0005-0000-0000-0000F8340000}"/>
    <cellStyle name="40% - Accent3 67 4" xfId="9240" xr:uid="{00000000-0005-0000-0000-0000F9340000}"/>
    <cellStyle name="40% - Accent3 67 4 2" xfId="20528" xr:uid="{00000000-0005-0000-0000-0000FA340000}"/>
    <cellStyle name="40% - Accent3 67 5" xfId="7246" xr:uid="{00000000-0005-0000-0000-0000FB340000}"/>
    <cellStyle name="40% - Accent3 67 5 2" xfId="18534" xr:uid="{00000000-0005-0000-0000-0000FC340000}"/>
    <cellStyle name="40% - Accent3 67 6" xfId="5252" xr:uid="{00000000-0005-0000-0000-0000FD340000}"/>
    <cellStyle name="40% - Accent3 67 6 2" xfId="16540" xr:uid="{00000000-0005-0000-0000-0000FE340000}"/>
    <cellStyle name="40% - Accent3 67 7" xfId="14546" xr:uid="{00000000-0005-0000-0000-0000FF340000}"/>
    <cellStyle name="40% - Accent3 67 8" xfId="13232" xr:uid="{00000000-0005-0000-0000-000000350000}"/>
    <cellStyle name="40% - Accent3 68" xfId="1297" xr:uid="{00000000-0005-0000-0000-000001350000}"/>
    <cellStyle name="40% - Accent3 68 2" xfId="4253" xr:uid="{00000000-0005-0000-0000-000002350000}"/>
    <cellStyle name="40% - Accent3 68 2 2" xfId="12232" xr:uid="{00000000-0005-0000-0000-000003350000}"/>
    <cellStyle name="40% - Accent3 68 2 2 2" xfId="23520" xr:uid="{00000000-0005-0000-0000-000004350000}"/>
    <cellStyle name="40% - Accent3 68 2 3" xfId="10238" xr:uid="{00000000-0005-0000-0000-000005350000}"/>
    <cellStyle name="40% - Accent3 68 2 3 2" xfId="21526" xr:uid="{00000000-0005-0000-0000-000006350000}"/>
    <cellStyle name="40% - Accent3 68 2 4" xfId="8244" xr:uid="{00000000-0005-0000-0000-000007350000}"/>
    <cellStyle name="40% - Accent3 68 2 4 2" xfId="19532" xr:uid="{00000000-0005-0000-0000-000008350000}"/>
    <cellStyle name="40% - Accent3 68 2 5" xfId="6250" xr:uid="{00000000-0005-0000-0000-000009350000}"/>
    <cellStyle name="40% - Accent3 68 2 5 2" xfId="17538" xr:uid="{00000000-0005-0000-0000-00000A350000}"/>
    <cellStyle name="40% - Accent3 68 2 6" xfId="15544" xr:uid="{00000000-0005-0000-0000-00000B350000}"/>
    <cellStyle name="40% - Accent3 68 3" xfId="11235" xr:uid="{00000000-0005-0000-0000-00000C350000}"/>
    <cellStyle name="40% - Accent3 68 3 2" xfId="22523" xr:uid="{00000000-0005-0000-0000-00000D350000}"/>
    <cellStyle name="40% - Accent3 68 4" xfId="9241" xr:uid="{00000000-0005-0000-0000-00000E350000}"/>
    <cellStyle name="40% - Accent3 68 4 2" xfId="20529" xr:uid="{00000000-0005-0000-0000-00000F350000}"/>
    <cellStyle name="40% - Accent3 68 5" xfId="7247" xr:uid="{00000000-0005-0000-0000-000010350000}"/>
    <cellStyle name="40% - Accent3 68 5 2" xfId="18535" xr:uid="{00000000-0005-0000-0000-000011350000}"/>
    <cellStyle name="40% - Accent3 68 6" xfId="5253" xr:uid="{00000000-0005-0000-0000-000012350000}"/>
    <cellStyle name="40% - Accent3 68 6 2" xfId="16541" xr:uid="{00000000-0005-0000-0000-000013350000}"/>
    <cellStyle name="40% - Accent3 68 7" xfId="14547" xr:uid="{00000000-0005-0000-0000-000014350000}"/>
    <cellStyle name="40% - Accent3 68 8" xfId="13233" xr:uid="{00000000-0005-0000-0000-000015350000}"/>
    <cellStyle name="40% - Accent3 69" xfId="1298" xr:uid="{00000000-0005-0000-0000-000016350000}"/>
    <cellStyle name="40% - Accent3 69 2" xfId="4254" xr:uid="{00000000-0005-0000-0000-000017350000}"/>
    <cellStyle name="40% - Accent3 69 2 2" xfId="12233" xr:uid="{00000000-0005-0000-0000-000018350000}"/>
    <cellStyle name="40% - Accent3 69 2 2 2" xfId="23521" xr:uid="{00000000-0005-0000-0000-000019350000}"/>
    <cellStyle name="40% - Accent3 69 2 3" xfId="10239" xr:uid="{00000000-0005-0000-0000-00001A350000}"/>
    <cellStyle name="40% - Accent3 69 2 3 2" xfId="21527" xr:uid="{00000000-0005-0000-0000-00001B350000}"/>
    <cellStyle name="40% - Accent3 69 2 4" xfId="8245" xr:uid="{00000000-0005-0000-0000-00001C350000}"/>
    <cellStyle name="40% - Accent3 69 2 4 2" xfId="19533" xr:uid="{00000000-0005-0000-0000-00001D350000}"/>
    <cellStyle name="40% - Accent3 69 2 5" xfId="6251" xr:uid="{00000000-0005-0000-0000-00001E350000}"/>
    <cellStyle name="40% - Accent3 69 2 5 2" xfId="17539" xr:uid="{00000000-0005-0000-0000-00001F350000}"/>
    <cellStyle name="40% - Accent3 69 2 6" xfId="15545" xr:uid="{00000000-0005-0000-0000-000020350000}"/>
    <cellStyle name="40% - Accent3 69 3" xfId="11236" xr:uid="{00000000-0005-0000-0000-000021350000}"/>
    <cellStyle name="40% - Accent3 69 3 2" xfId="22524" xr:uid="{00000000-0005-0000-0000-000022350000}"/>
    <cellStyle name="40% - Accent3 69 4" xfId="9242" xr:uid="{00000000-0005-0000-0000-000023350000}"/>
    <cellStyle name="40% - Accent3 69 4 2" xfId="20530" xr:uid="{00000000-0005-0000-0000-000024350000}"/>
    <cellStyle name="40% - Accent3 69 5" xfId="7248" xr:uid="{00000000-0005-0000-0000-000025350000}"/>
    <cellStyle name="40% - Accent3 69 5 2" xfId="18536" xr:uid="{00000000-0005-0000-0000-000026350000}"/>
    <cellStyle name="40% - Accent3 69 6" xfId="5254" xr:uid="{00000000-0005-0000-0000-000027350000}"/>
    <cellStyle name="40% - Accent3 69 6 2" xfId="16542" xr:uid="{00000000-0005-0000-0000-000028350000}"/>
    <cellStyle name="40% - Accent3 69 7" xfId="14548" xr:uid="{00000000-0005-0000-0000-000029350000}"/>
    <cellStyle name="40% - Accent3 69 8" xfId="13234" xr:uid="{00000000-0005-0000-0000-00002A350000}"/>
    <cellStyle name="40% - Accent3 7" xfId="1299" xr:uid="{00000000-0005-0000-0000-00002B350000}"/>
    <cellStyle name="40% - Accent3 7 10" xfId="24612" xr:uid="{00000000-0005-0000-0000-00002C350000}"/>
    <cellStyle name="40% - Accent3 7 11" xfId="25002" xr:uid="{00000000-0005-0000-0000-00002D350000}"/>
    <cellStyle name="40% - Accent3 7 2" xfId="4255" xr:uid="{00000000-0005-0000-0000-00002E350000}"/>
    <cellStyle name="40% - Accent3 7 2 2" xfId="12234" xr:uid="{00000000-0005-0000-0000-00002F350000}"/>
    <cellStyle name="40% - Accent3 7 2 2 2" xfId="23522" xr:uid="{00000000-0005-0000-0000-000030350000}"/>
    <cellStyle name="40% - Accent3 7 2 3" xfId="10240" xr:uid="{00000000-0005-0000-0000-000031350000}"/>
    <cellStyle name="40% - Accent3 7 2 3 2" xfId="21528" xr:uid="{00000000-0005-0000-0000-000032350000}"/>
    <cellStyle name="40% - Accent3 7 2 4" xfId="8246" xr:uid="{00000000-0005-0000-0000-000033350000}"/>
    <cellStyle name="40% - Accent3 7 2 4 2" xfId="19534" xr:uid="{00000000-0005-0000-0000-000034350000}"/>
    <cellStyle name="40% - Accent3 7 2 5" xfId="6252" xr:uid="{00000000-0005-0000-0000-000035350000}"/>
    <cellStyle name="40% - Accent3 7 2 5 2" xfId="17540" xr:uid="{00000000-0005-0000-0000-000036350000}"/>
    <cellStyle name="40% - Accent3 7 2 6" xfId="15546" xr:uid="{00000000-0005-0000-0000-000037350000}"/>
    <cellStyle name="40% - Accent3 7 2 7" xfId="24373" xr:uid="{00000000-0005-0000-0000-000038350000}"/>
    <cellStyle name="40% - Accent3 7 2 8" xfId="24837" xr:uid="{00000000-0005-0000-0000-000039350000}"/>
    <cellStyle name="40% - Accent3 7 2 9" xfId="25204" xr:uid="{00000000-0005-0000-0000-00003A350000}"/>
    <cellStyle name="40% - Accent3 7 3" xfId="11237" xr:uid="{00000000-0005-0000-0000-00003B350000}"/>
    <cellStyle name="40% - Accent3 7 3 2" xfId="22525" xr:uid="{00000000-0005-0000-0000-00003C350000}"/>
    <cellStyle name="40% - Accent3 7 4" xfId="9243" xr:uid="{00000000-0005-0000-0000-00003D350000}"/>
    <cellStyle name="40% - Accent3 7 4 2" xfId="20531" xr:uid="{00000000-0005-0000-0000-00003E350000}"/>
    <cellStyle name="40% - Accent3 7 5" xfId="7249" xr:uid="{00000000-0005-0000-0000-00003F350000}"/>
    <cellStyle name="40% - Accent3 7 5 2" xfId="18537" xr:uid="{00000000-0005-0000-0000-000040350000}"/>
    <cellStyle name="40% - Accent3 7 6" xfId="5255" xr:uid="{00000000-0005-0000-0000-000041350000}"/>
    <cellStyle name="40% - Accent3 7 6 2" xfId="16543" xr:uid="{00000000-0005-0000-0000-000042350000}"/>
    <cellStyle name="40% - Accent3 7 7" xfId="14549" xr:uid="{00000000-0005-0000-0000-000043350000}"/>
    <cellStyle name="40% - Accent3 7 8" xfId="13235" xr:uid="{00000000-0005-0000-0000-000044350000}"/>
    <cellStyle name="40% - Accent3 7 9" xfId="23985" xr:uid="{00000000-0005-0000-0000-000045350000}"/>
    <cellStyle name="40% - Accent3 70" xfId="1300" xr:uid="{00000000-0005-0000-0000-000046350000}"/>
    <cellStyle name="40% - Accent3 70 2" xfId="4256" xr:uid="{00000000-0005-0000-0000-000047350000}"/>
    <cellStyle name="40% - Accent3 70 2 2" xfId="12235" xr:uid="{00000000-0005-0000-0000-000048350000}"/>
    <cellStyle name="40% - Accent3 70 2 2 2" xfId="23523" xr:uid="{00000000-0005-0000-0000-000049350000}"/>
    <cellStyle name="40% - Accent3 70 2 3" xfId="10241" xr:uid="{00000000-0005-0000-0000-00004A350000}"/>
    <cellStyle name="40% - Accent3 70 2 3 2" xfId="21529" xr:uid="{00000000-0005-0000-0000-00004B350000}"/>
    <cellStyle name="40% - Accent3 70 2 4" xfId="8247" xr:uid="{00000000-0005-0000-0000-00004C350000}"/>
    <cellStyle name="40% - Accent3 70 2 4 2" xfId="19535" xr:uid="{00000000-0005-0000-0000-00004D350000}"/>
    <cellStyle name="40% - Accent3 70 2 5" xfId="6253" xr:uid="{00000000-0005-0000-0000-00004E350000}"/>
    <cellStyle name="40% - Accent3 70 2 5 2" xfId="17541" xr:uid="{00000000-0005-0000-0000-00004F350000}"/>
    <cellStyle name="40% - Accent3 70 2 6" xfId="15547" xr:uid="{00000000-0005-0000-0000-000050350000}"/>
    <cellStyle name="40% - Accent3 70 3" xfId="11238" xr:uid="{00000000-0005-0000-0000-000051350000}"/>
    <cellStyle name="40% - Accent3 70 3 2" xfId="22526" xr:uid="{00000000-0005-0000-0000-000052350000}"/>
    <cellStyle name="40% - Accent3 70 4" xfId="9244" xr:uid="{00000000-0005-0000-0000-000053350000}"/>
    <cellStyle name="40% - Accent3 70 4 2" xfId="20532" xr:uid="{00000000-0005-0000-0000-000054350000}"/>
    <cellStyle name="40% - Accent3 70 5" xfId="7250" xr:uid="{00000000-0005-0000-0000-000055350000}"/>
    <cellStyle name="40% - Accent3 70 5 2" xfId="18538" xr:uid="{00000000-0005-0000-0000-000056350000}"/>
    <cellStyle name="40% - Accent3 70 6" xfId="5256" xr:uid="{00000000-0005-0000-0000-000057350000}"/>
    <cellStyle name="40% - Accent3 70 6 2" xfId="16544" xr:uid="{00000000-0005-0000-0000-000058350000}"/>
    <cellStyle name="40% - Accent3 70 7" xfId="14550" xr:uid="{00000000-0005-0000-0000-000059350000}"/>
    <cellStyle name="40% - Accent3 70 8" xfId="13236" xr:uid="{00000000-0005-0000-0000-00005A350000}"/>
    <cellStyle name="40% - Accent3 71" xfId="1301" xr:uid="{00000000-0005-0000-0000-00005B350000}"/>
    <cellStyle name="40% - Accent3 71 2" xfId="4257" xr:uid="{00000000-0005-0000-0000-00005C350000}"/>
    <cellStyle name="40% - Accent3 71 2 2" xfId="12236" xr:uid="{00000000-0005-0000-0000-00005D350000}"/>
    <cellStyle name="40% - Accent3 71 2 2 2" xfId="23524" xr:uid="{00000000-0005-0000-0000-00005E350000}"/>
    <cellStyle name="40% - Accent3 71 2 3" xfId="10242" xr:uid="{00000000-0005-0000-0000-00005F350000}"/>
    <cellStyle name="40% - Accent3 71 2 3 2" xfId="21530" xr:uid="{00000000-0005-0000-0000-000060350000}"/>
    <cellStyle name="40% - Accent3 71 2 4" xfId="8248" xr:uid="{00000000-0005-0000-0000-000061350000}"/>
    <cellStyle name="40% - Accent3 71 2 4 2" xfId="19536" xr:uid="{00000000-0005-0000-0000-000062350000}"/>
    <cellStyle name="40% - Accent3 71 2 5" xfId="6254" xr:uid="{00000000-0005-0000-0000-000063350000}"/>
    <cellStyle name="40% - Accent3 71 2 5 2" xfId="17542" xr:uid="{00000000-0005-0000-0000-000064350000}"/>
    <cellStyle name="40% - Accent3 71 2 6" xfId="15548" xr:uid="{00000000-0005-0000-0000-000065350000}"/>
    <cellStyle name="40% - Accent3 71 3" xfId="11239" xr:uid="{00000000-0005-0000-0000-000066350000}"/>
    <cellStyle name="40% - Accent3 71 3 2" xfId="22527" xr:uid="{00000000-0005-0000-0000-000067350000}"/>
    <cellStyle name="40% - Accent3 71 4" xfId="9245" xr:uid="{00000000-0005-0000-0000-000068350000}"/>
    <cellStyle name="40% - Accent3 71 4 2" xfId="20533" xr:uid="{00000000-0005-0000-0000-000069350000}"/>
    <cellStyle name="40% - Accent3 71 5" xfId="7251" xr:uid="{00000000-0005-0000-0000-00006A350000}"/>
    <cellStyle name="40% - Accent3 71 5 2" xfId="18539" xr:uid="{00000000-0005-0000-0000-00006B350000}"/>
    <cellStyle name="40% - Accent3 71 6" xfId="5257" xr:uid="{00000000-0005-0000-0000-00006C350000}"/>
    <cellStyle name="40% - Accent3 71 6 2" xfId="16545" xr:uid="{00000000-0005-0000-0000-00006D350000}"/>
    <cellStyle name="40% - Accent3 71 7" xfId="14551" xr:uid="{00000000-0005-0000-0000-00006E350000}"/>
    <cellStyle name="40% - Accent3 71 8" xfId="13237" xr:uid="{00000000-0005-0000-0000-00006F350000}"/>
    <cellStyle name="40% - Accent3 72" xfId="1302" xr:uid="{00000000-0005-0000-0000-000070350000}"/>
    <cellStyle name="40% - Accent3 72 2" xfId="4258" xr:uid="{00000000-0005-0000-0000-000071350000}"/>
    <cellStyle name="40% - Accent3 72 2 2" xfId="12237" xr:uid="{00000000-0005-0000-0000-000072350000}"/>
    <cellStyle name="40% - Accent3 72 2 2 2" xfId="23525" xr:uid="{00000000-0005-0000-0000-000073350000}"/>
    <cellStyle name="40% - Accent3 72 2 3" xfId="10243" xr:uid="{00000000-0005-0000-0000-000074350000}"/>
    <cellStyle name="40% - Accent3 72 2 3 2" xfId="21531" xr:uid="{00000000-0005-0000-0000-000075350000}"/>
    <cellStyle name="40% - Accent3 72 2 4" xfId="8249" xr:uid="{00000000-0005-0000-0000-000076350000}"/>
    <cellStyle name="40% - Accent3 72 2 4 2" xfId="19537" xr:uid="{00000000-0005-0000-0000-000077350000}"/>
    <cellStyle name="40% - Accent3 72 2 5" xfId="6255" xr:uid="{00000000-0005-0000-0000-000078350000}"/>
    <cellStyle name="40% - Accent3 72 2 5 2" xfId="17543" xr:uid="{00000000-0005-0000-0000-000079350000}"/>
    <cellStyle name="40% - Accent3 72 2 6" xfId="15549" xr:uid="{00000000-0005-0000-0000-00007A350000}"/>
    <cellStyle name="40% - Accent3 72 3" xfId="11240" xr:uid="{00000000-0005-0000-0000-00007B350000}"/>
    <cellStyle name="40% - Accent3 72 3 2" xfId="22528" xr:uid="{00000000-0005-0000-0000-00007C350000}"/>
    <cellStyle name="40% - Accent3 72 4" xfId="9246" xr:uid="{00000000-0005-0000-0000-00007D350000}"/>
    <cellStyle name="40% - Accent3 72 4 2" xfId="20534" xr:uid="{00000000-0005-0000-0000-00007E350000}"/>
    <cellStyle name="40% - Accent3 72 5" xfId="7252" xr:uid="{00000000-0005-0000-0000-00007F350000}"/>
    <cellStyle name="40% - Accent3 72 5 2" xfId="18540" xr:uid="{00000000-0005-0000-0000-000080350000}"/>
    <cellStyle name="40% - Accent3 72 6" xfId="5258" xr:uid="{00000000-0005-0000-0000-000081350000}"/>
    <cellStyle name="40% - Accent3 72 6 2" xfId="16546" xr:uid="{00000000-0005-0000-0000-000082350000}"/>
    <cellStyle name="40% - Accent3 72 7" xfId="14552" xr:uid="{00000000-0005-0000-0000-000083350000}"/>
    <cellStyle name="40% - Accent3 72 8" xfId="13238" xr:uid="{00000000-0005-0000-0000-000084350000}"/>
    <cellStyle name="40% - Accent3 8" xfId="1303" xr:uid="{00000000-0005-0000-0000-000085350000}"/>
    <cellStyle name="40% - Accent3 8 2" xfId="4259" xr:uid="{00000000-0005-0000-0000-000086350000}"/>
    <cellStyle name="40% - Accent3 8 2 2" xfId="12238" xr:uid="{00000000-0005-0000-0000-000087350000}"/>
    <cellStyle name="40% - Accent3 8 2 2 2" xfId="23526" xr:uid="{00000000-0005-0000-0000-000088350000}"/>
    <cellStyle name="40% - Accent3 8 2 3" xfId="10244" xr:uid="{00000000-0005-0000-0000-000089350000}"/>
    <cellStyle name="40% - Accent3 8 2 3 2" xfId="21532" xr:uid="{00000000-0005-0000-0000-00008A350000}"/>
    <cellStyle name="40% - Accent3 8 2 4" xfId="8250" xr:uid="{00000000-0005-0000-0000-00008B350000}"/>
    <cellStyle name="40% - Accent3 8 2 4 2" xfId="19538" xr:uid="{00000000-0005-0000-0000-00008C350000}"/>
    <cellStyle name="40% - Accent3 8 2 5" xfId="6256" xr:uid="{00000000-0005-0000-0000-00008D350000}"/>
    <cellStyle name="40% - Accent3 8 2 5 2" xfId="17544" xr:uid="{00000000-0005-0000-0000-00008E350000}"/>
    <cellStyle name="40% - Accent3 8 2 6" xfId="15550" xr:uid="{00000000-0005-0000-0000-00008F350000}"/>
    <cellStyle name="40% - Accent3 8 3" xfId="11241" xr:uid="{00000000-0005-0000-0000-000090350000}"/>
    <cellStyle name="40% - Accent3 8 3 2" xfId="22529" xr:uid="{00000000-0005-0000-0000-000091350000}"/>
    <cellStyle name="40% - Accent3 8 4" xfId="9247" xr:uid="{00000000-0005-0000-0000-000092350000}"/>
    <cellStyle name="40% - Accent3 8 4 2" xfId="20535" xr:uid="{00000000-0005-0000-0000-000093350000}"/>
    <cellStyle name="40% - Accent3 8 5" xfId="7253" xr:uid="{00000000-0005-0000-0000-000094350000}"/>
    <cellStyle name="40% - Accent3 8 5 2" xfId="18541" xr:uid="{00000000-0005-0000-0000-000095350000}"/>
    <cellStyle name="40% - Accent3 8 6" xfId="5259" xr:uid="{00000000-0005-0000-0000-000096350000}"/>
    <cellStyle name="40% - Accent3 8 6 2" xfId="16547" xr:uid="{00000000-0005-0000-0000-000097350000}"/>
    <cellStyle name="40% - Accent3 8 7" xfId="14553" xr:uid="{00000000-0005-0000-0000-000098350000}"/>
    <cellStyle name="40% - Accent3 8 8" xfId="13239" xr:uid="{00000000-0005-0000-0000-000099350000}"/>
    <cellStyle name="40% - Accent3 9" xfId="1304" xr:uid="{00000000-0005-0000-0000-00009A350000}"/>
    <cellStyle name="40% - Accent3 9 2" xfId="4260" xr:uid="{00000000-0005-0000-0000-00009B350000}"/>
    <cellStyle name="40% - Accent3 9 2 2" xfId="12239" xr:uid="{00000000-0005-0000-0000-00009C350000}"/>
    <cellStyle name="40% - Accent3 9 2 2 2" xfId="23527" xr:uid="{00000000-0005-0000-0000-00009D350000}"/>
    <cellStyle name="40% - Accent3 9 2 3" xfId="10245" xr:uid="{00000000-0005-0000-0000-00009E350000}"/>
    <cellStyle name="40% - Accent3 9 2 3 2" xfId="21533" xr:uid="{00000000-0005-0000-0000-00009F350000}"/>
    <cellStyle name="40% - Accent3 9 2 4" xfId="8251" xr:uid="{00000000-0005-0000-0000-0000A0350000}"/>
    <cellStyle name="40% - Accent3 9 2 4 2" xfId="19539" xr:uid="{00000000-0005-0000-0000-0000A1350000}"/>
    <cellStyle name="40% - Accent3 9 2 5" xfId="6257" xr:uid="{00000000-0005-0000-0000-0000A2350000}"/>
    <cellStyle name="40% - Accent3 9 2 5 2" xfId="17545" xr:uid="{00000000-0005-0000-0000-0000A3350000}"/>
    <cellStyle name="40% - Accent3 9 2 6" xfId="15551" xr:uid="{00000000-0005-0000-0000-0000A4350000}"/>
    <cellStyle name="40% - Accent3 9 3" xfId="11242" xr:uid="{00000000-0005-0000-0000-0000A5350000}"/>
    <cellStyle name="40% - Accent3 9 3 2" xfId="22530" xr:uid="{00000000-0005-0000-0000-0000A6350000}"/>
    <cellStyle name="40% - Accent3 9 4" xfId="9248" xr:uid="{00000000-0005-0000-0000-0000A7350000}"/>
    <cellStyle name="40% - Accent3 9 4 2" xfId="20536" xr:uid="{00000000-0005-0000-0000-0000A8350000}"/>
    <cellStyle name="40% - Accent3 9 5" xfId="7254" xr:uid="{00000000-0005-0000-0000-0000A9350000}"/>
    <cellStyle name="40% - Accent3 9 5 2" xfId="18542" xr:uid="{00000000-0005-0000-0000-0000AA350000}"/>
    <cellStyle name="40% - Accent3 9 6" xfId="5260" xr:uid="{00000000-0005-0000-0000-0000AB350000}"/>
    <cellStyle name="40% - Accent3 9 6 2" xfId="16548" xr:uid="{00000000-0005-0000-0000-0000AC350000}"/>
    <cellStyle name="40% - Accent3 9 7" xfId="14554" xr:uid="{00000000-0005-0000-0000-0000AD350000}"/>
    <cellStyle name="40% - Accent3 9 8" xfId="13240" xr:uid="{00000000-0005-0000-0000-0000AE350000}"/>
    <cellStyle name="40% - Accent4 10" xfId="1305" xr:uid="{00000000-0005-0000-0000-0000AF350000}"/>
    <cellStyle name="40% - Accent4 10 2" xfId="4261" xr:uid="{00000000-0005-0000-0000-0000B0350000}"/>
    <cellStyle name="40% - Accent4 10 2 2" xfId="12240" xr:uid="{00000000-0005-0000-0000-0000B1350000}"/>
    <cellStyle name="40% - Accent4 10 2 2 2" xfId="23528" xr:uid="{00000000-0005-0000-0000-0000B2350000}"/>
    <cellStyle name="40% - Accent4 10 2 3" xfId="10246" xr:uid="{00000000-0005-0000-0000-0000B3350000}"/>
    <cellStyle name="40% - Accent4 10 2 3 2" xfId="21534" xr:uid="{00000000-0005-0000-0000-0000B4350000}"/>
    <cellStyle name="40% - Accent4 10 2 4" xfId="8252" xr:uid="{00000000-0005-0000-0000-0000B5350000}"/>
    <cellStyle name="40% - Accent4 10 2 4 2" xfId="19540" xr:uid="{00000000-0005-0000-0000-0000B6350000}"/>
    <cellStyle name="40% - Accent4 10 2 5" xfId="6258" xr:uid="{00000000-0005-0000-0000-0000B7350000}"/>
    <cellStyle name="40% - Accent4 10 2 5 2" xfId="17546" xr:uid="{00000000-0005-0000-0000-0000B8350000}"/>
    <cellStyle name="40% - Accent4 10 2 6" xfId="15552" xr:uid="{00000000-0005-0000-0000-0000B9350000}"/>
    <cellStyle name="40% - Accent4 10 3" xfId="11243" xr:uid="{00000000-0005-0000-0000-0000BA350000}"/>
    <cellStyle name="40% - Accent4 10 3 2" xfId="22531" xr:uid="{00000000-0005-0000-0000-0000BB350000}"/>
    <cellStyle name="40% - Accent4 10 4" xfId="9249" xr:uid="{00000000-0005-0000-0000-0000BC350000}"/>
    <cellStyle name="40% - Accent4 10 4 2" xfId="20537" xr:uid="{00000000-0005-0000-0000-0000BD350000}"/>
    <cellStyle name="40% - Accent4 10 5" xfId="7255" xr:uid="{00000000-0005-0000-0000-0000BE350000}"/>
    <cellStyle name="40% - Accent4 10 5 2" xfId="18543" xr:uid="{00000000-0005-0000-0000-0000BF350000}"/>
    <cellStyle name="40% - Accent4 10 6" xfId="5261" xr:uid="{00000000-0005-0000-0000-0000C0350000}"/>
    <cellStyle name="40% - Accent4 10 6 2" xfId="16549" xr:uid="{00000000-0005-0000-0000-0000C1350000}"/>
    <cellStyle name="40% - Accent4 10 7" xfId="14555" xr:uid="{00000000-0005-0000-0000-0000C2350000}"/>
    <cellStyle name="40% - Accent4 10 8" xfId="13241" xr:uid="{00000000-0005-0000-0000-0000C3350000}"/>
    <cellStyle name="40% - Accent4 11" xfId="1306" xr:uid="{00000000-0005-0000-0000-0000C4350000}"/>
    <cellStyle name="40% - Accent4 11 2" xfId="4262" xr:uid="{00000000-0005-0000-0000-0000C5350000}"/>
    <cellStyle name="40% - Accent4 11 2 2" xfId="12241" xr:uid="{00000000-0005-0000-0000-0000C6350000}"/>
    <cellStyle name="40% - Accent4 11 2 2 2" xfId="23529" xr:uid="{00000000-0005-0000-0000-0000C7350000}"/>
    <cellStyle name="40% - Accent4 11 2 3" xfId="10247" xr:uid="{00000000-0005-0000-0000-0000C8350000}"/>
    <cellStyle name="40% - Accent4 11 2 3 2" xfId="21535" xr:uid="{00000000-0005-0000-0000-0000C9350000}"/>
    <cellStyle name="40% - Accent4 11 2 4" xfId="8253" xr:uid="{00000000-0005-0000-0000-0000CA350000}"/>
    <cellStyle name="40% - Accent4 11 2 4 2" xfId="19541" xr:uid="{00000000-0005-0000-0000-0000CB350000}"/>
    <cellStyle name="40% - Accent4 11 2 5" xfId="6259" xr:uid="{00000000-0005-0000-0000-0000CC350000}"/>
    <cellStyle name="40% - Accent4 11 2 5 2" xfId="17547" xr:uid="{00000000-0005-0000-0000-0000CD350000}"/>
    <cellStyle name="40% - Accent4 11 2 6" xfId="15553" xr:uid="{00000000-0005-0000-0000-0000CE350000}"/>
    <cellStyle name="40% - Accent4 11 3" xfId="11244" xr:uid="{00000000-0005-0000-0000-0000CF350000}"/>
    <cellStyle name="40% - Accent4 11 3 2" xfId="22532" xr:uid="{00000000-0005-0000-0000-0000D0350000}"/>
    <cellStyle name="40% - Accent4 11 4" xfId="9250" xr:uid="{00000000-0005-0000-0000-0000D1350000}"/>
    <cellStyle name="40% - Accent4 11 4 2" xfId="20538" xr:uid="{00000000-0005-0000-0000-0000D2350000}"/>
    <cellStyle name="40% - Accent4 11 5" xfId="7256" xr:uid="{00000000-0005-0000-0000-0000D3350000}"/>
    <cellStyle name="40% - Accent4 11 5 2" xfId="18544" xr:uid="{00000000-0005-0000-0000-0000D4350000}"/>
    <cellStyle name="40% - Accent4 11 6" xfId="5262" xr:uid="{00000000-0005-0000-0000-0000D5350000}"/>
    <cellStyle name="40% - Accent4 11 6 2" xfId="16550" xr:uid="{00000000-0005-0000-0000-0000D6350000}"/>
    <cellStyle name="40% - Accent4 11 7" xfId="14556" xr:uid="{00000000-0005-0000-0000-0000D7350000}"/>
    <cellStyle name="40% - Accent4 11 8" xfId="13242" xr:uid="{00000000-0005-0000-0000-0000D8350000}"/>
    <cellStyle name="40% - Accent4 12" xfId="1307" xr:uid="{00000000-0005-0000-0000-0000D9350000}"/>
    <cellStyle name="40% - Accent4 12 2" xfId="4263" xr:uid="{00000000-0005-0000-0000-0000DA350000}"/>
    <cellStyle name="40% - Accent4 12 2 2" xfId="12242" xr:uid="{00000000-0005-0000-0000-0000DB350000}"/>
    <cellStyle name="40% - Accent4 12 2 2 2" xfId="23530" xr:uid="{00000000-0005-0000-0000-0000DC350000}"/>
    <cellStyle name="40% - Accent4 12 2 3" xfId="10248" xr:uid="{00000000-0005-0000-0000-0000DD350000}"/>
    <cellStyle name="40% - Accent4 12 2 3 2" xfId="21536" xr:uid="{00000000-0005-0000-0000-0000DE350000}"/>
    <cellStyle name="40% - Accent4 12 2 4" xfId="8254" xr:uid="{00000000-0005-0000-0000-0000DF350000}"/>
    <cellStyle name="40% - Accent4 12 2 4 2" xfId="19542" xr:uid="{00000000-0005-0000-0000-0000E0350000}"/>
    <cellStyle name="40% - Accent4 12 2 5" xfId="6260" xr:uid="{00000000-0005-0000-0000-0000E1350000}"/>
    <cellStyle name="40% - Accent4 12 2 5 2" xfId="17548" xr:uid="{00000000-0005-0000-0000-0000E2350000}"/>
    <cellStyle name="40% - Accent4 12 2 6" xfId="15554" xr:uid="{00000000-0005-0000-0000-0000E3350000}"/>
    <cellStyle name="40% - Accent4 12 3" xfId="11245" xr:uid="{00000000-0005-0000-0000-0000E4350000}"/>
    <cellStyle name="40% - Accent4 12 3 2" xfId="22533" xr:uid="{00000000-0005-0000-0000-0000E5350000}"/>
    <cellStyle name="40% - Accent4 12 4" xfId="9251" xr:uid="{00000000-0005-0000-0000-0000E6350000}"/>
    <cellStyle name="40% - Accent4 12 4 2" xfId="20539" xr:uid="{00000000-0005-0000-0000-0000E7350000}"/>
    <cellStyle name="40% - Accent4 12 5" xfId="7257" xr:uid="{00000000-0005-0000-0000-0000E8350000}"/>
    <cellStyle name="40% - Accent4 12 5 2" xfId="18545" xr:uid="{00000000-0005-0000-0000-0000E9350000}"/>
    <cellStyle name="40% - Accent4 12 6" xfId="5263" xr:uid="{00000000-0005-0000-0000-0000EA350000}"/>
    <cellStyle name="40% - Accent4 12 6 2" xfId="16551" xr:uid="{00000000-0005-0000-0000-0000EB350000}"/>
    <cellStyle name="40% - Accent4 12 7" xfId="14557" xr:uid="{00000000-0005-0000-0000-0000EC350000}"/>
    <cellStyle name="40% - Accent4 12 8" xfId="13243" xr:uid="{00000000-0005-0000-0000-0000ED350000}"/>
    <cellStyle name="40% - Accent4 13" xfId="1308" xr:uid="{00000000-0005-0000-0000-0000EE350000}"/>
    <cellStyle name="40% - Accent4 13 2" xfId="4264" xr:uid="{00000000-0005-0000-0000-0000EF350000}"/>
    <cellStyle name="40% - Accent4 13 2 2" xfId="12243" xr:uid="{00000000-0005-0000-0000-0000F0350000}"/>
    <cellStyle name="40% - Accent4 13 2 2 2" xfId="23531" xr:uid="{00000000-0005-0000-0000-0000F1350000}"/>
    <cellStyle name="40% - Accent4 13 2 3" xfId="10249" xr:uid="{00000000-0005-0000-0000-0000F2350000}"/>
    <cellStyle name="40% - Accent4 13 2 3 2" xfId="21537" xr:uid="{00000000-0005-0000-0000-0000F3350000}"/>
    <cellStyle name="40% - Accent4 13 2 4" xfId="8255" xr:uid="{00000000-0005-0000-0000-0000F4350000}"/>
    <cellStyle name="40% - Accent4 13 2 4 2" xfId="19543" xr:uid="{00000000-0005-0000-0000-0000F5350000}"/>
    <cellStyle name="40% - Accent4 13 2 5" xfId="6261" xr:uid="{00000000-0005-0000-0000-0000F6350000}"/>
    <cellStyle name="40% - Accent4 13 2 5 2" xfId="17549" xr:uid="{00000000-0005-0000-0000-0000F7350000}"/>
    <cellStyle name="40% - Accent4 13 2 6" xfId="15555" xr:uid="{00000000-0005-0000-0000-0000F8350000}"/>
    <cellStyle name="40% - Accent4 13 3" xfId="11246" xr:uid="{00000000-0005-0000-0000-0000F9350000}"/>
    <cellStyle name="40% - Accent4 13 3 2" xfId="22534" xr:uid="{00000000-0005-0000-0000-0000FA350000}"/>
    <cellStyle name="40% - Accent4 13 4" xfId="9252" xr:uid="{00000000-0005-0000-0000-0000FB350000}"/>
    <cellStyle name="40% - Accent4 13 4 2" xfId="20540" xr:uid="{00000000-0005-0000-0000-0000FC350000}"/>
    <cellStyle name="40% - Accent4 13 5" xfId="7258" xr:uid="{00000000-0005-0000-0000-0000FD350000}"/>
    <cellStyle name="40% - Accent4 13 5 2" xfId="18546" xr:uid="{00000000-0005-0000-0000-0000FE350000}"/>
    <cellStyle name="40% - Accent4 13 6" xfId="5264" xr:uid="{00000000-0005-0000-0000-0000FF350000}"/>
    <cellStyle name="40% - Accent4 13 6 2" xfId="16552" xr:uid="{00000000-0005-0000-0000-000000360000}"/>
    <cellStyle name="40% - Accent4 13 7" xfId="14558" xr:uid="{00000000-0005-0000-0000-000001360000}"/>
    <cellStyle name="40% - Accent4 13 8" xfId="13244" xr:uid="{00000000-0005-0000-0000-000002360000}"/>
    <cellStyle name="40% - Accent4 14" xfId="1309" xr:uid="{00000000-0005-0000-0000-000003360000}"/>
    <cellStyle name="40% - Accent4 14 2" xfId="4265" xr:uid="{00000000-0005-0000-0000-000004360000}"/>
    <cellStyle name="40% - Accent4 14 2 2" xfId="12244" xr:uid="{00000000-0005-0000-0000-000005360000}"/>
    <cellStyle name="40% - Accent4 14 2 2 2" xfId="23532" xr:uid="{00000000-0005-0000-0000-000006360000}"/>
    <cellStyle name="40% - Accent4 14 2 3" xfId="10250" xr:uid="{00000000-0005-0000-0000-000007360000}"/>
    <cellStyle name="40% - Accent4 14 2 3 2" xfId="21538" xr:uid="{00000000-0005-0000-0000-000008360000}"/>
    <cellStyle name="40% - Accent4 14 2 4" xfId="8256" xr:uid="{00000000-0005-0000-0000-000009360000}"/>
    <cellStyle name="40% - Accent4 14 2 4 2" xfId="19544" xr:uid="{00000000-0005-0000-0000-00000A360000}"/>
    <cellStyle name="40% - Accent4 14 2 5" xfId="6262" xr:uid="{00000000-0005-0000-0000-00000B360000}"/>
    <cellStyle name="40% - Accent4 14 2 5 2" xfId="17550" xr:uid="{00000000-0005-0000-0000-00000C360000}"/>
    <cellStyle name="40% - Accent4 14 2 6" xfId="15556" xr:uid="{00000000-0005-0000-0000-00000D360000}"/>
    <cellStyle name="40% - Accent4 14 3" xfId="11247" xr:uid="{00000000-0005-0000-0000-00000E360000}"/>
    <cellStyle name="40% - Accent4 14 3 2" xfId="22535" xr:uid="{00000000-0005-0000-0000-00000F360000}"/>
    <cellStyle name="40% - Accent4 14 4" xfId="9253" xr:uid="{00000000-0005-0000-0000-000010360000}"/>
    <cellStyle name="40% - Accent4 14 4 2" xfId="20541" xr:uid="{00000000-0005-0000-0000-000011360000}"/>
    <cellStyle name="40% - Accent4 14 5" xfId="7259" xr:uid="{00000000-0005-0000-0000-000012360000}"/>
    <cellStyle name="40% - Accent4 14 5 2" xfId="18547" xr:uid="{00000000-0005-0000-0000-000013360000}"/>
    <cellStyle name="40% - Accent4 14 6" xfId="5265" xr:uid="{00000000-0005-0000-0000-000014360000}"/>
    <cellStyle name="40% - Accent4 14 6 2" xfId="16553" xr:uid="{00000000-0005-0000-0000-000015360000}"/>
    <cellStyle name="40% - Accent4 14 7" xfId="14559" xr:uid="{00000000-0005-0000-0000-000016360000}"/>
    <cellStyle name="40% - Accent4 14 8" xfId="13245" xr:uid="{00000000-0005-0000-0000-000017360000}"/>
    <cellStyle name="40% - Accent4 15" xfId="1310" xr:uid="{00000000-0005-0000-0000-000018360000}"/>
    <cellStyle name="40% - Accent4 15 2" xfId="4266" xr:uid="{00000000-0005-0000-0000-000019360000}"/>
    <cellStyle name="40% - Accent4 15 2 2" xfId="12245" xr:uid="{00000000-0005-0000-0000-00001A360000}"/>
    <cellStyle name="40% - Accent4 15 2 2 2" xfId="23533" xr:uid="{00000000-0005-0000-0000-00001B360000}"/>
    <cellStyle name="40% - Accent4 15 2 3" xfId="10251" xr:uid="{00000000-0005-0000-0000-00001C360000}"/>
    <cellStyle name="40% - Accent4 15 2 3 2" xfId="21539" xr:uid="{00000000-0005-0000-0000-00001D360000}"/>
    <cellStyle name="40% - Accent4 15 2 4" xfId="8257" xr:uid="{00000000-0005-0000-0000-00001E360000}"/>
    <cellStyle name="40% - Accent4 15 2 4 2" xfId="19545" xr:uid="{00000000-0005-0000-0000-00001F360000}"/>
    <cellStyle name="40% - Accent4 15 2 5" xfId="6263" xr:uid="{00000000-0005-0000-0000-000020360000}"/>
    <cellStyle name="40% - Accent4 15 2 5 2" xfId="17551" xr:uid="{00000000-0005-0000-0000-000021360000}"/>
    <cellStyle name="40% - Accent4 15 2 6" xfId="15557" xr:uid="{00000000-0005-0000-0000-000022360000}"/>
    <cellStyle name="40% - Accent4 15 3" xfId="11248" xr:uid="{00000000-0005-0000-0000-000023360000}"/>
    <cellStyle name="40% - Accent4 15 3 2" xfId="22536" xr:uid="{00000000-0005-0000-0000-000024360000}"/>
    <cellStyle name="40% - Accent4 15 4" xfId="9254" xr:uid="{00000000-0005-0000-0000-000025360000}"/>
    <cellStyle name="40% - Accent4 15 4 2" xfId="20542" xr:uid="{00000000-0005-0000-0000-000026360000}"/>
    <cellStyle name="40% - Accent4 15 5" xfId="7260" xr:uid="{00000000-0005-0000-0000-000027360000}"/>
    <cellStyle name="40% - Accent4 15 5 2" xfId="18548" xr:uid="{00000000-0005-0000-0000-000028360000}"/>
    <cellStyle name="40% - Accent4 15 6" xfId="5266" xr:uid="{00000000-0005-0000-0000-000029360000}"/>
    <cellStyle name="40% - Accent4 15 6 2" xfId="16554" xr:uid="{00000000-0005-0000-0000-00002A360000}"/>
    <cellStyle name="40% - Accent4 15 7" xfId="14560" xr:uid="{00000000-0005-0000-0000-00002B360000}"/>
    <cellStyle name="40% - Accent4 15 8" xfId="13246" xr:uid="{00000000-0005-0000-0000-00002C360000}"/>
    <cellStyle name="40% - Accent4 16" xfId="1311" xr:uid="{00000000-0005-0000-0000-00002D360000}"/>
    <cellStyle name="40% - Accent4 16 2" xfId="4267" xr:uid="{00000000-0005-0000-0000-00002E360000}"/>
    <cellStyle name="40% - Accent4 16 2 2" xfId="12246" xr:uid="{00000000-0005-0000-0000-00002F360000}"/>
    <cellStyle name="40% - Accent4 16 2 2 2" xfId="23534" xr:uid="{00000000-0005-0000-0000-000030360000}"/>
    <cellStyle name="40% - Accent4 16 2 3" xfId="10252" xr:uid="{00000000-0005-0000-0000-000031360000}"/>
    <cellStyle name="40% - Accent4 16 2 3 2" xfId="21540" xr:uid="{00000000-0005-0000-0000-000032360000}"/>
    <cellStyle name="40% - Accent4 16 2 4" xfId="8258" xr:uid="{00000000-0005-0000-0000-000033360000}"/>
    <cellStyle name="40% - Accent4 16 2 4 2" xfId="19546" xr:uid="{00000000-0005-0000-0000-000034360000}"/>
    <cellStyle name="40% - Accent4 16 2 5" xfId="6264" xr:uid="{00000000-0005-0000-0000-000035360000}"/>
    <cellStyle name="40% - Accent4 16 2 5 2" xfId="17552" xr:uid="{00000000-0005-0000-0000-000036360000}"/>
    <cellStyle name="40% - Accent4 16 2 6" xfId="15558" xr:uid="{00000000-0005-0000-0000-000037360000}"/>
    <cellStyle name="40% - Accent4 16 3" xfId="11249" xr:uid="{00000000-0005-0000-0000-000038360000}"/>
    <cellStyle name="40% - Accent4 16 3 2" xfId="22537" xr:uid="{00000000-0005-0000-0000-000039360000}"/>
    <cellStyle name="40% - Accent4 16 4" xfId="9255" xr:uid="{00000000-0005-0000-0000-00003A360000}"/>
    <cellStyle name="40% - Accent4 16 4 2" xfId="20543" xr:uid="{00000000-0005-0000-0000-00003B360000}"/>
    <cellStyle name="40% - Accent4 16 5" xfId="7261" xr:uid="{00000000-0005-0000-0000-00003C360000}"/>
    <cellStyle name="40% - Accent4 16 5 2" xfId="18549" xr:uid="{00000000-0005-0000-0000-00003D360000}"/>
    <cellStyle name="40% - Accent4 16 6" xfId="5267" xr:uid="{00000000-0005-0000-0000-00003E360000}"/>
    <cellStyle name="40% - Accent4 16 6 2" xfId="16555" xr:uid="{00000000-0005-0000-0000-00003F360000}"/>
    <cellStyle name="40% - Accent4 16 7" xfId="14561" xr:uid="{00000000-0005-0000-0000-000040360000}"/>
    <cellStyle name="40% - Accent4 16 8" xfId="13247" xr:uid="{00000000-0005-0000-0000-000041360000}"/>
    <cellStyle name="40% - Accent4 17" xfId="1312" xr:uid="{00000000-0005-0000-0000-000042360000}"/>
    <cellStyle name="40% - Accent4 17 2" xfId="4268" xr:uid="{00000000-0005-0000-0000-000043360000}"/>
    <cellStyle name="40% - Accent4 17 2 2" xfId="12247" xr:uid="{00000000-0005-0000-0000-000044360000}"/>
    <cellStyle name="40% - Accent4 17 2 2 2" xfId="23535" xr:uid="{00000000-0005-0000-0000-000045360000}"/>
    <cellStyle name="40% - Accent4 17 2 3" xfId="10253" xr:uid="{00000000-0005-0000-0000-000046360000}"/>
    <cellStyle name="40% - Accent4 17 2 3 2" xfId="21541" xr:uid="{00000000-0005-0000-0000-000047360000}"/>
    <cellStyle name="40% - Accent4 17 2 4" xfId="8259" xr:uid="{00000000-0005-0000-0000-000048360000}"/>
    <cellStyle name="40% - Accent4 17 2 4 2" xfId="19547" xr:uid="{00000000-0005-0000-0000-000049360000}"/>
    <cellStyle name="40% - Accent4 17 2 5" xfId="6265" xr:uid="{00000000-0005-0000-0000-00004A360000}"/>
    <cellStyle name="40% - Accent4 17 2 5 2" xfId="17553" xr:uid="{00000000-0005-0000-0000-00004B360000}"/>
    <cellStyle name="40% - Accent4 17 2 6" xfId="15559" xr:uid="{00000000-0005-0000-0000-00004C360000}"/>
    <cellStyle name="40% - Accent4 17 3" xfId="11250" xr:uid="{00000000-0005-0000-0000-00004D360000}"/>
    <cellStyle name="40% - Accent4 17 3 2" xfId="22538" xr:uid="{00000000-0005-0000-0000-00004E360000}"/>
    <cellStyle name="40% - Accent4 17 4" xfId="9256" xr:uid="{00000000-0005-0000-0000-00004F360000}"/>
    <cellStyle name="40% - Accent4 17 4 2" xfId="20544" xr:uid="{00000000-0005-0000-0000-000050360000}"/>
    <cellStyle name="40% - Accent4 17 5" xfId="7262" xr:uid="{00000000-0005-0000-0000-000051360000}"/>
    <cellStyle name="40% - Accent4 17 5 2" xfId="18550" xr:uid="{00000000-0005-0000-0000-000052360000}"/>
    <cellStyle name="40% - Accent4 17 6" xfId="5268" xr:uid="{00000000-0005-0000-0000-000053360000}"/>
    <cellStyle name="40% - Accent4 17 6 2" xfId="16556" xr:uid="{00000000-0005-0000-0000-000054360000}"/>
    <cellStyle name="40% - Accent4 17 7" xfId="14562" xr:uid="{00000000-0005-0000-0000-000055360000}"/>
    <cellStyle name="40% - Accent4 17 8" xfId="13248" xr:uid="{00000000-0005-0000-0000-000056360000}"/>
    <cellStyle name="40% - Accent4 18" xfId="1313" xr:uid="{00000000-0005-0000-0000-000057360000}"/>
    <cellStyle name="40% - Accent4 18 2" xfId="4269" xr:uid="{00000000-0005-0000-0000-000058360000}"/>
    <cellStyle name="40% - Accent4 18 2 2" xfId="12248" xr:uid="{00000000-0005-0000-0000-000059360000}"/>
    <cellStyle name="40% - Accent4 18 2 2 2" xfId="23536" xr:uid="{00000000-0005-0000-0000-00005A360000}"/>
    <cellStyle name="40% - Accent4 18 2 3" xfId="10254" xr:uid="{00000000-0005-0000-0000-00005B360000}"/>
    <cellStyle name="40% - Accent4 18 2 3 2" xfId="21542" xr:uid="{00000000-0005-0000-0000-00005C360000}"/>
    <cellStyle name="40% - Accent4 18 2 4" xfId="8260" xr:uid="{00000000-0005-0000-0000-00005D360000}"/>
    <cellStyle name="40% - Accent4 18 2 4 2" xfId="19548" xr:uid="{00000000-0005-0000-0000-00005E360000}"/>
    <cellStyle name="40% - Accent4 18 2 5" xfId="6266" xr:uid="{00000000-0005-0000-0000-00005F360000}"/>
    <cellStyle name="40% - Accent4 18 2 5 2" xfId="17554" xr:uid="{00000000-0005-0000-0000-000060360000}"/>
    <cellStyle name="40% - Accent4 18 2 6" xfId="15560" xr:uid="{00000000-0005-0000-0000-000061360000}"/>
    <cellStyle name="40% - Accent4 18 3" xfId="11251" xr:uid="{00000000-0005-0000-0000-000062360000}"/>
    <cellStyle name="40% - Accent4 18 3 2" xfId="22539" xr:uid="{00000000-0005-0000-0000-000063360000}"/>
    <cellStyle name="40% - Accent4 18 4" xfId="9257" xr:uid="{00000000-0005-0000-0000-000064360000}"/>
    <cellStyle name="40% - Accent4 18 4 2" xfId="20545" xr:uid="{00000000-0005-0000-0000-000065360000}"/>
    <cellStyle name="40% - Accent4 18 5" xfId="7263" xr:uid="{00000000-0005-0000-0000-000066360000}"/>
    <cellStyle name="40% - Accent4 18 5 2" xfId="18551" xr:uid="{00000000-0005-0000-0000-000067360000}"/>
    <cellStyle name="40% - Accent4 18 6" xfId="5269" xr:uid="{00000000-0005-0000-0000-000068360000}"/>
    <cellStyle name="40% - Accent4 18 6 2" xfId="16557" xr:uid="{00000000-0005-0000-0000-000069360000}"/>
    <cellStyle name="40% - Accent4 18 7" xfId="14563" xr:uid="{00000000-0005-0000-0000-00006A360000}"/>
    <cellStyle name="40% - Accent4 18 8" xfId="13249" xr:uid="{00000000-0005-0000-0000-00006B360000}"/>
    <cellStyle name="40% - Accent4 19" xfId="1314" xr:uid="{00000000-0005-0000-0000-00006C360000}"/>
    <cellStyle name="40% - Accent4 19 2" xfId="4270" xr:uid="{00000000-0005-0000-0000-00006D360000}"/>
    <cellStyle name="40% - Accent4 19 2 2" xfId="12249" xr:uid="{00000000-0005-0000-0000-00006E360000}"/>
    <cellStyle name="40% - Accent4 19 2 2 2" xfId="23537" xr:uid="{00000000-0005-0000-0000-00006F360000}"/>
    <cellStyle name="40% - Accent4 19 2 3" xfId="10255" xr:uid="{00000000-0005-0000-0000-000070360000}"/>
    <cellStyle name="40% - Accent4 19 2 3 2" xfId="21543" xr:uid="{00000000-0005-0000-0000-000071360000}"/>
    <cellStyle name="40% - Accent4 19 2 4" xfId="8261" xr:uid="{00000000-0005-0000-0000-000072360000}"/>
    <cellStyle name="40% - Accent4 19 2 4 2" xfId="19549" xr:uid="{00000000-0005-0000-0000-000073360000}"/>
    <cellStyle name="40% - Accent4 19 2 5" xfId="6267" xr:uid="{00000000-0005-0000-0000-000074360000}"/>
    <cellStyle name="40% - Accent4 19 2 5 2" xfId="17555" xr:uid="{00000000-0005-0000-0000-000075360000}"/>
    <cellStyle name="40% - Accent4 19 2 6" xfId="15561" xr:uid="{00000000-0005-0000-0000-000076360000}"/>
    <cellStyle name="40% - Accent4 19 3" xfId="11252" xr:uid="{00000000-0005-0000-0000-000077360000}"/>
    <cellStyle name="40% - Accent4 19 3 2" xfId="22540" xr:uid="{00000000-0005-0000-0000-000078360000}"/>
    <cellStyle name="40% - Accent4 19 4" xfId="9258" xr:uid="{00000000-0005-0000-0000-000079360000}"/>
    <cellStyle name="40% - Accent4 19 4 2" xfId="20546" xr:uid="{00000000-0005-0000-0000-00007A360000}"/>
    <cellStyle name="40% - Accent4 19 5" xfId="7264" xr:uid="{00000000-0005-0000-0000-00007B360000}"/>
    <cellStyle name="40% - Accent4 19 5 2" xfId="18552" xr:uid="{00000000-0005-0000-0000-00007C360000}"/>
    <cellStyle name="40% - Accent4 19 6" xfId="5270" xr:uid="{00000000-0005-0000-0000-00007D360000}"/>
    <cellStyle name="40% - Accent4 19 6 2" xfId="16558" xr:uid="{00000000-0005-0000-0000-00007E360000}"/>
    <cellStyle name="40% - Accent4 19 7" xfId="14564" xr:uid="{00000000-0005-0000-0000-00007F360000}"/>
    <cellStyle name="40% - Accent4 19 8" xfId="13250" xr:uid="{00000000-0005-0000-0000-000080360000}"/>
    <cellStyle name="40% - Accent4 2" xfId="1315" xr:uid="{00000000-0005-0000-0000-000081360000}"/>
    <cellStyle name="40% - Accent4 2 10" xfId="24613" xr:uid="{00000000-0005-0000-0000-000082360000}"/>
    <cellStyle name="40% - Accent4 2 11" xfId="25003" xr:uid="{00000000-0005-0000-0000-000083360000}"/>
    <cellStyle name="40% - Accent4 2 2" xfId="4271" xr:uid="{00000000-0005-0000-0000-000084360000}"/>
    <cellStyle name="40% - Accent4 2 2 2" xfId="12250" xr:uid="{00000000-0005-0000-0000-000085360000}"/>
    <cellStyle name="40% - Accent4 2 2 2 2" xfId="23538" xr:uid="{00000000-0005-0000-0000-000086360000}"/>
    <cellStyle name="40% - Accent4 2 2 3" xfId="10256" xr:uid="{00000000-0005-0000-0000-000087360000}"/>
    <cellStyle name="40% - Accent4 2 2 3 2" xfId="21544" xr:uid="{00000000-0005-0000-0000-000088360000}"/>
    <cellStyle name="40% - Accent4 2 2 4" xfId="8262" xr:uid="{00000000-0005-0000-0000-000089360000}"/>
    <cellStyle name="40% - Accent4 2 2 4 2" xfId="19550" xr:uid="{00000000-0005-0000-0000-00008A360000}"/>
    <cellStyle name="40% - Accent4 2 2 5" xfId="6268" xr:uid="{00000000-0005-0000-0000-00008B360000}"/>
    <cellStyle name="40% - Accent4 2 2 5 2" xfId="17556" xr:uid="{00000000-0005-0000-0000-00008C360000}"/>
    <cellStyle name="40% - Accent4 2 2 6" xfId="15562" xr:uid="{00000000-0005-0000-0000-00008D360000}"/>
    <cellStyle name="40% - Accent4 2 2 7" xfId="24374" xr:uid="{00000000-0005-0000-0000-00008E360000}"/>
    <cellStyle name="40% - Accent4 2 2 8" xfId="24838" xr:uid="{00000000-0005-0000-0000-00008F360000}"/>
    <cellStyle name="40% - Accent4 2 2 9" xfId="25205" xr:uid="{00000000-0005-0000-0000-000090360000}"/>
    <cellStyle name="40% - Accent4 2 3" xfId="11253" xr:uid="{00000000-0005-0000-0000-000091360000}"/>
    <cellStyle name="40% - Accent4 2 3 2" xfId="22541" xr:uid="{00000000-0005-0000-0000-000092360000}"/>
    <cellStyle name="40% - Accent4 2 4" xfId="9259" xr:uid="{00000000-0005-0000-0000-000093360000}"/>
    <cellStyle name="40% - Accent4 2 4 2" xfId="20547" xr:uid="{00000000-0005-0000-0000-000094360000}"/>
    <cellStyle name="40% - Accent4 2 5" xfId="7265" xr:uid="{00000000-0005-0000-0000-000095360000}"/>
    <cellStyle name="40% - Accent4 2 5 2" xfId="18553" xr:uid="{00000000-0005-0000-0000-000096360000}"/>
    <cellStyle name="40% - Accent4 2 6" xfId="5271" xr:uid="{00000000-0005-0000-0000-000097360000}"/>
    <cellStyle name="40% - Accent4 2 6 2" xfId="16559" xr:uid="{00000000-0005-0000-0000-000098360000}"/>
    <cellStyle name="40% - Accent4 2 7" xfId="14565" xr:uid="{00000000-0005-0000-0000-000099360000}"/>
    <cellStyle name="40% - Accent4 2 8" xfId="13251" xr:uid="{00000000-0005-0000-0000-00009A360000}"/>
    <cellStyle name="40% - Accent4 2 9" xfId="23986" xr:uid="{00000000-0005-0000-0000-00009B360000}"/>
    <cellStyle name="40% - Accent4 20" xfId="1316" xr:uid="{00000000-0005-0000-0000-00009C360000}"/>
    <cellStyle name="40% - Accent4 20 2" xfId="4272" xr:uid="{00000000-0005-0000-0000-00009D360000}"/>
    <cellStyle name="40% - Accent4 20 2 2" xfId="12251" xr:uid="{00000000-0005-0000-0000-00009E360000}"/>
    <cellStyle name="40% - Accent4 20 2 2 2" xfId="23539" xr:uid="{00000000-0005-0000-0000-00009F360000}"/>
    <cellStyle name="40% - Accent4 20 2 3" xfId="10257" xr:uid="{00000000-0005-0000-0000-0000A0360000}"/>
    <cellStyle name="40% - Accent4 20 2 3 2" xfId="21545" xr:uid="{00000000-0005-0000-0000-0000A1360000}"/>
    <cellStyle name="40% - Accent4 20 2 4" xfId="8263" xr:uid="{00000000-0005-0000-0000-0000A2360000}"/>
    <cellStyle name="40% - Accent4 20 2 4 2" xfId="19551" xr:uid="{00000000-0005-0000-0000-0000A3360000}"/>
    <cellStyle name="40% - Accent4 20 2 5" xfId="6269" xr:uid="{00000000-0005-0000-0000-0000A4360000}"/>
    <cellStyle name="40% - Accent4 20 2 5 2" xfId="17557" xr:uid="{00000000-0005-0000-0000-0000A5360000}"/>
    <cellStyle name="40% - Accent4 20 2 6" xfId="15563" xr:uid="{00000000-0005-0000-0000-0000A6360000}"/>
    <cellStyle name="40% - Accent4 20 3" xfId="11254" xr:uid="{00000000-0005-0000-0000-0000A7360000}"/>
    <cellStyle name="40% - Accent4 20 3 2" xfId="22542" xr:uid="{00000000-0005-0000-0000-0000A8360000}"/>
    <cellStyle name="40% - Accent4 20 4" xfId="9260" xr:uid="{00000000-0005-0000-0000-0000A9360000}"/>
    <cellStyle name="40% - Accent4 20 4 2" xfId="20548" xr:uid="{00000000-0005-0000-0000-0000AA360000}"/>
    <cellStyle name="40% - Accent4 20 5" xfId="7266" xr:uid="{00000000-0005-0000-0000-0000AB360000}"/>
    <cellStyle name="40% - Accent4 20 5 2" xfId="18554" xr:uid="{00000000-0005-0000-0000-0000AC360000}"/>
    <cellStyle name="40% - Accent4 20 6" xfId="5272" xr:uid="{00000000-0005-0000-0000-0000AD360000}"/>
    <cellStyle name="40% - Accent4 20 6 2" xfId="16560" xr:uid="{00000000-0005-0000-0000-0000AE360000}"/>
    <cellStyle name="40% - Accent4 20 7" xfId="14566" xr:uid="{00000000-0005-0000-0000-0000AF360000}"/>
    <cellStyle name="40% - Accent4 20 8" xfId="13252" xr:uid="{00000000-0005-0000-0000-0000B0360000}"/>
    <cellStyle name="40% - Accent4 21" xfId="1317" xr:uid="{00000000-0005-0000-0000-0000B1360000}"/>
    <cellStyle name="40% - Accent4 21 2" xfId="4273" xr:uid="{00000000-0005-0000-0000-0000B2360000}"/>
    <cellStyle name="40% - Accent4 21 2 2" xfId="12252" xr:uid="{00000000-0005-0000-0000-0000B3360000}"/>
    <cellStyle name="40% - Accent4 21 2 2 2" xfId="23540" xr:uid="{00000000-0005-0000-0000-0000B4360000}"/>
    <cellStyle name="40% - Accent4 21 2 3" xfId="10258" xr:uid="{00000000-0005-0000-0000-0000B5360000}"/>
    <cellStyle name="40% - Accent4 21 2 3 2" xfId="21546" xr:uid="{00000000-0005-0000-0000-0000B6360000}"/>
    <cellStyle name="40% - Accent4 21 2 4" xfId="8264" xr:uid="{00000000-0005-0000-0000-0000B7360000}"/>
    <cellStyle name="40% - Accent4 21 2 4 2" xfId="19552" xr:uid="{00000000-0005-0000-0000-0000B8360000}"/>
    <cellStyle name="40% - Accent4 21 2 5" xfId="6270" xr:uid="{00000000-0005-0000-0000-0000B9360000}"/>
    <cellStyle name="40% - Accent4 21 2 5 2" xfId="17558" xr:uid="{00000000-0005-0000-0000-0000BA360000}"/>
    <cellStyle name="40% - Accent4 21 2 6" xfId="15564" xr:uid="{00000000-0005-0000-0000-0000BB360000}"/>
    <cellStyle name="40% - Accent4 21 3" xfId="11255" xr:uid="{00000000-0005-0000-0000-0000BC360000}"/>
    <cellStyle name="40% - Accent4 21 3 2" xfId="22543" xr:uid="{00000000-0005-0000-0000-0000BD360000}"/>
    <cellStyle name="40% - Accent4 21 4" xfId="9261" xr:uid="{00000000-0005-0000-0000-0000BE360000}"/>
    <cellStyle name="40% - Accent4 21 4 2" xfId="20549" xr:uid="{00000000-0005-0000-0000-0000BF360000}"/>
    <cellStyle name="40% - Accent4 21 5" xfId="7267" xr:uid="{00000000-0005-0000-0000-0000C0360000}"/>
    <cellStyle name="40% - Accent4 21 5 2" xfId="18555" xr:uid="{00000000-0005-0000-0000-0000C1360000}"/>
    <cellStyle name="40% - Accent4 21 6" xfId="5273" xr:uid="{00000000-0005-0000-0000-0000C2360000}"/>
    <cellStyle name="40% - Accent4 21 6 2" xfId="16561" xr:uid="{00000000-0005-0000-0000-0000C3360000}"/>
    <cellStyle name="40% - Accent4 21 7" xfId="14567" xr:uid="{00000000-0005-0000-0000-0000C4360000}"/>
    <cellStyle name="40% - Accent4 21 8" xfId="13253" xr:uid="{00000000-0005-0000-0000-0000C5360000}"/>
    <cellStyle name="40% - Accent4 22" xfId="1318" xr:uid="{00000000-0005-0000-0000-0000C6360000}"/>
    <cellStyle name="40% - Accent4 22 2" xfId="4274" xr:uid="{00000000-0005-0000-0000-0000C7360000}"/>
    <cellStyle name="40% - Accent4 22 2 2" xfId="12253" xr:uid="{00000000-0005-0000-0000-0000C8360000}"/>
    <cellStyle name="40% - Accent4 22 2 2 2" xfId="23541" xr:uid="{00000000-0005-0000-0000-0000C9360000}"/>
    <cellStyle name="40% - Accent4 22 2 3" xfId="10259" xr:uid="{00000000-0005-0000-0000-0000CA360000}"/>
    <cellStyle name="40% - Accent4 22 2 3 2" xfId="21547" xr:uid="{00000000-0005-0000-0000-0000CB360000}"/>
    <cellStyle name="40% - Accent4 22 2 4" xfId="8265" xr:uid="{00000000-0005-0000-0000-0000CC360000}"/>
    <cellStyle name="40% - Accent4 22 2 4 2" xfId="19553" xr:uid="{00000000-0005-0000-0000-0000CD360000}"/>
    <cellStyle name="40% - Accent4 22 2 5" xfId="6271" xr:uid="{00000000-0005-0000-0000-0000CE360000}"/>
    <cellStyle name="40% - Accent4 22 2 5 2" xfId="17559" xr:uid="{00000000-0005-0000-0000-0000CF360000}"/>
    <cellStyle name="40% - Accent4 22 2 6" xfId="15565" xr:uid="{00000000-0005-0000-0000-0000D0360000}"/>
    <cellStyle name="40% - Accent4 22 3" xfId="11256" xr:uid="{00000000-0005-0000-0000-0000D1360000}"/>
    <cellStyle name="40% - Accent4 22 3 2" xfId="22544" xr:uid="{00000000-0005-0000-0000-0000D2360000}"/>
    <cellStyle name="40% - Accent4 22 4" xfId="9262" xr:uid="{00000000-0005-0000-0000-0000D3360000}"/>
    <cellStyle name="40% - Accent4 22 4 2" xfId="20550" xr:uid="{00000000-0005-0000-0000-0000D4360000}"/>
    <cellStyle name="40% - Accent4 22 5" xfId="7268" xr:uid="{00000000-0005-0000-0000-0000D5360000}"/>
    <cellStyle name="40% - Accent4 22 5 2" xfId="18556" xr:uid="{00000000-0005-0000-0000-0000D6360000}"/>
    <cellStyle name="40% - Accent4 22 6" xfId="5274" xr:uid="{00000000-0005-0000-0000-0000D7360000}"/>
    <cellStyle name="40% - Accent4 22 6 2" xfId="16562" xr:uid="{00000000-0005-0000-0000-0000D8360000}"/>
    <cellStyle name="40% - Accent4 22 7" xfId="14568" xr:uid="{00000000-0005-0000-0000-0000D9360000}"/>
    <cellStyle name="40% - Accent4 22 8" xfId="13254" xr:uid="{00000000-0005-0000-0000-0000DA360000}"/>
    <cellStyle name="40% - Accent4 23" xfId="1319" xr:uid="{00000000-0005-0000-0000-0000DB360000}"/>
    <cellStyle name="40% - Accent4 23 2" xfId="4275" xr:uid="{00000000-0005-0000-0000-0000DC360000}"/>
    <cellStyle name="40% - Accent4 23 2 2" xfId="12254" xr:uid="{00000000-0005-0000-0000-0000DD360000}"/>
    <cellStyle name="40% - Accent4 23 2 2 2" xfId="23542" xr:uid="{00000000-0005-0000-0000-0000DE360000}"/>
    <cellStyle name="40% - Accent4 23 2 3" xfId="10260" xr:uid="{00000000-0005-0000-0000-0000DF360000}"/>
    <cellStyle name="40% - Accent4 23 2 3 2" xfId="21548" xr:uid="{00000000-0005-0000-0000-0000E0360000}"/>
    <cellStyle name="40% - Accent4 23 2 4" xfId="8266" xr:uid="{00000000-0005-0000-0000-0000E1360000}"/>
    <cellStyle name="40% - Accent4 23 2 4 2" xfId="19554" xr:uid="{00000000-0005-0000-0000-0000E2360000}"/>
    <cellStyle name="40% - Accent4 23 2 5" xfId="6272" xr:uid="{00000000-0005-0000-0000-0000E3360000}"/>
    <cellStyle name="40% - Accent4 23 2 5 2" xfId="17560" xr:uid="{00000000-0005-0000-0000-0000E4360000}"/>
    <cellStyle name="40% - Accent4 23 2 6" xfId="15566" xr:uid="{00000000-0005-0000-0000-0000E5360000}"/>
    <cellStyle name="40% - Accent4 23 3" xfId="11257" xr:uid="{00000000-0005-0000-0000-0000E6360000}"/>
    <cellStyle name="40% - Accent4 23 3 2" xfId="22545" xr:uid="{00000000-0005-0000-0000-0000E7360000}"/>
    <cellStyle name="40% - Accent4 23 4" xfId="9263" xr:uid="{00000000-0005-0000-0000-0000E8360000}"/>
    <cellStyle name="40% - Accent4 23 4 2" xfId="20551" xr:uid="{00000000-0005-0000-0000-0000E9360000}"/>
    <cellStyle name="40% - Accent4 23 5" xfId="7269" xr:uid="{00000000-0005-0000-0000-0000EA360000}"/>
    <cellStyle name="40% - Accent4 23 5 2" xfId="18557" xr:uid="{00000000-0005-0000-0000-0000EB360000}"/>
    <cellStyle name="40% - Accent4 23 6" xfId="5275" xr:uid="{00000000-0005-0000-0000-0000EC360000}"/>
    <cellStyle name="40% - Accent4 23 6 2" xfId="16563" xr:uid="{00000000-0005-0000-0000-0000ED360000}"/>
    <cellStyle name="40% - Accent4 23 7" xfId="14569" xr:uid="{00000000-0005-0000-0000-0000EE360000}"/>
    <cellStyle name="40% - Accent4 23 8" xfId="13255" xr:uid="{00000000-0005-0000-0000-0000EF360000}"/>
    <cellStyle name="40% - Accent4 24" xfId="1320" xr:uid="{00000000-0005-0000-0000-0000F0360000}"/>
    <cellStyle name="40% - Accent4 24 2" xfId="4276" xr:uid="{00000000-0005-0000-0000-0000F1360000}"/>
    <cellStyle name="40% - Accent4 24 2 2" xfId="12255" xr:uid="{00000000-0005-0000-0000-0000F2360000}"/>
    <cellStyle name="40% - Accent4 24 2 2 2" xfId="23543" xr:uid="{00000000-0005-0000-0000-0000F3360000}"/>
    <cellStyle name="40% - Accent4 24 2 3" xfId="10261" xr:uid="{00000000-0005-0000-0000-0000F4360000}"/>
    <cellStyle name="40% - Accent4 24 2 3 2" xfId="21549" xr:uid="{00000000-0005-0000-0000-0000F5360000}"/>
    <cellStyle name="40% - Accent4 24 2 4" xfId="8267" xr:uid="{00000000-0005-0000-0000-0000F6360000}"/>
    <cellStyle name="40% - Accent4 24 2 4 2" xfId="19555" xr:uid="{00000000-0005-0000-0000-0000F7360000}"/>
    <cellStyle name="40% - Accent4 24 2 5" xfId="6273" xr:uid="{00000000-0005-0000-0000-0000F8360000}"/>
    <cellStyle name="40% - Accent4 24 2 5 2" xfId="17561" xr:uid="{00000000-0005-0000-0000-0000F9360000}"/>
    <cellStyle name="40% - Accent4 24 2 6" xfId="15567" xr:uid="{00000000-0005-0000-0000-0000FA360000}"/>
    <cellStyle name="40% - Accent4 24 3" xfId="11258" xr:uid="{00000000-0005-0000-0000-0000FB360000}"/>
    <cellStyle name="40% - Accent4 24 3 2" xfId="22546" xr:uid="{00000000-0005-0000-0000-0000FC360000}"/>
    <cellStyle name="40% - Accent4 24 4" xfId="9264" xr:uid="{00000000-0005-0000-0000-0000FD360000}"/>
    <cellStyle name="40% - Accent4 24 4 2" xfId="20552" xr:uid="{00000000-0005-0000-0000-0000FE360000}"/>
    <cellStyle name="40% - Accent4 24 5" xfId="7270" xr:uid="{00000000-0005-0000-0000-0000FF360000}"/>
    <cellStyle name="40% - Accent4 24 5 2" xfId="18558" xr:uid="{00000000-0005-0000-0000-000000370000}"/>
    <cellStyle name="40% - Accent4 24 6" xfId="5276" xr:uid="{00000000-0005-0000-0000-000001370000}"/>
    <cellStyle name="40% - Accent4 24 6 2" xfId="16564" xr:uid="{00000000-0005-0000-0000-000002370000}"/>
    <cellStyle name="40% - Accent4 24 7" xfId="14570" xr:uid="{00000000-0005-0000-0000-000003370000}"/>
    <cellStyle name="40% - Accent4 24 8" xfId="13256" xr:uid="{00000000-0005-0000-0000-000004370000}"/>
    <cellStyle name="40% - Accent4 25" xfId="1321" xr:uid="{00000000-0005-0000-0000-000005370000}"/>
    <cellStyle name="40% - Accent4 25 2" xfId="4277" xr:uid="{00000000-0005-0000-0000-000006370000}"/>
    <cellStyle name="40% - Accent4 25 2 2" xfId="12256" xr:uid="{00000000-0005-0000-0000-000007370000}"/>
    <cellStyle name="40% - Accent4 25 2 2 2" xfId="23544" xr:uid="{00000000-0005-0000-0000-000008370000}"/>
    <cellStyle name="40% - Accent4 25 2 3" xfId="10262" xr:uid="{00000000-0005-0000-0000-000009370000}"/>
    <cellStyle name="40% - Accent4 25 2 3 2" xfId="21550" xr:uid="{00000000-0005-0000-0000-00000A370000}"/>
    <cellStyle name="40% - Accent4 25 2 4" xfId="8268" xr:uid="{00000000-0005-0000-0000-00000B370000}"/>
    <cellStyle name="40% - Accent4 25 2 4 2" xfId="19556" xr:uid="{00000000-0005-0000-0000-00000C370000}"/>
    <cellStyle name="40% - Accent4 25 2 5" xfId="6274" xr:uid="{00000000-0005-0000-0000-00000D370000}"/>
    <cellStyle name="40% - Accent4 25 2 5 2" xfId="17562" xr:uid="{00000000-0005-0000-0000-00000E370000}"/>
    <cellStyle name="40% - Accent4 25 2 6" xfId="15568" xr:uid="{00000000-0005-0000-0000-00000F370000}"/>
    <cellStyle name="40% - Accent4 25 3" xfId="11259" xr:uid="{00000000-0005-0000-0000-000010370000}"/>
    <cellStyle name="40% - Accent4 25 3 2" xfId="22547" xr:uid="{00000000-0005-0000-0000-000011370000}"/>
    <cellStyle name="40% - Accent4 25 4" xfId="9265" xr:uid="{00000000-0005-0000-0000-000012370000}"/>
    <cellStyle name="40% - Accent4 25 4 2" xfId="20553" xr:uid="{00000000-0005-0000-0000-000013370000}"/>
    <cellStyle name="40% - Accent4 25 5" xfId="7271" xr:uid="{00000000-0005-0000-0000-000014370000}"/>
    <cellStyle name="40% - Accent4 25 5 2" xfId="18559" xr:uid="{00000000-0005-0000-0000-000015370000}"/>
    <cellStyle name="40% - Accent4 25 6" xfId="5277" xr:uid="{00000000-0005-0000-0000-000016370000}"/>
    <cellStyle name="40% - Accent4 25 6 2" xfId="16565" xr:uid="{00000000-0005-0000-0000-000017370000}"/>
    <cellStyle name="40% - Accent4 25 7" xfId="14571" xr:uid="{00000000-0005-0000-0000-000018370000}"/>
    <cellStyle name="40% - Accent4 25 8" xfId="13257" xr:uid="{00000000-0005-0000-0000-000019370000}"/>
    <cellStyle name="40% - Accent4 26" xfId="1322" xr:uid="{00000000-0005-0000-0000-00001A370000}"/>
    <cellStyle name="40% - Accent4 26 2" xfId="4278" xr:uid="{00000000-0005-0000-0000-00001B370000}"/>
    <cellStyle name="40% - Accent4 26 2 2" xfId="12257" xr:uid="{00000000-0005-0000-0000-00001C370000}"/>
    <cellStyle name="40% - Accent4 26 2 2 2" xfId="23545" xr:uid="{00000000-0005-0000-0000-00001D370000}"/>
    <cellStyle name="40% - Accent4 26 2 3" xfId="10263" xr:uid="{00000000-0005-0000-0000-00001E370000}"/>
    <cellStyle name="40% - Accent4 26 2 3 2" xfId="21551" xr:uid="{00000000-0005-0000-0000-00001F370000}"/>
    <cellStyle name="40% - Accent4 26 2 4" xfId="8269" xr:uid="{00000000-0005-0000-0000-000020370000}"/>
    <cellStyle name="40% - Accent4 26 2 4 2" xfId="19557" xr:uid="{00000000-0005-0000-0000-000021370000}"/>
    <cellStyle name="40% - Accent4 26 2 5" xfId="6275" xr:uid="{00000000-0005-0000-0000-000022370000}"/>
    <cellStyle name="40% - Accent4 26 2 5 2" xfId="17563" xr:uid="{00000000-0005-0000-0000-000023370000}"/>
    <cellStyle name="40% - Accent4 26 2 6" xfId="15569" xr:uid="{00000000-0005-0000-0000-000024370000}"/>
    <cellStyle name="40% - Accent4 26 3" xfId="11260" xr:uid="{00000000-0005-0000-0000-000025370000}"/>
    <cellStyle name="40% - Accent4 26 3 2" xfId="22548" xr:uid="{00000000-0005-0000-0000-000026370000}"/>
    <cellStyle name="40% - Accent4 26 4" xfId="9266" xr:uid="{00000000-0005-0000-0000-000027370000}"/>
    <cellStyle name="40% - Accent4 26 4 2" xfId="20554" xr:uid="{00000000-0005-0000-0000-000028370000}"/>
    <cellStyle name="40% - Accent4 26 5" xfId="7272" xr:uid="{00000000-0005-0000-0000-000029370000}"/>
    <cellStyle name="40% - Accent4 26 5 2" xfId="18560" xr:uid="{00000000-0005-0000-0000-00002A370000}"/>
    <cellStyle name="40% - Accent4 26 6" xfId="5278" xr:uid="{00000000-0005-0000-0000-00002B370000}"/>
    <cellStyle name="40% - Accent4 26 6 2" xfId="16566" xr:uid="{00000000-0005-0000-0000-00002C370000}"/>
    <cellStyle name="40% - Accent4 26 7" xfId="14572" xr:uid="{00000000-0005-0000-0000-00002D370000}"/>
    <cellStyle name="40% - Accent4 26 8" xfId="13258" xr:uid="{00000000-0005-0000-0000-00002E370000}"/>
    <cellStyle name="40% - Accent4 27" xfId="1323" xr:uid="{00000000-0005-0000-0000-00002F370000}"/>
    <cellStyle name="40% - Accent4 27 2" xfId="4279" xr:uid="{00000000-0005-0000-0000-000030370000}"/>
    <cellStyle name="40% - Accent4 27 2 2" xfId="12258" xr:uid="{00000000-0005-0000-0000-000031370000}"/>
    <cellStyle name="40% - Accent4 27 2 2 2" xfId="23546" xr:uid="{00000000-0005-0000-0000-000032370000}"/>
    <cellStyle name="40% - Accent4 27 2 3" xfId="10264" xr:uid="{00000000-0005-0000-0000-000033370000}"/>
    <cellStyle name="40% - Accent4 27 2 3 2" xfId="21552" xr:uid="{00000000-0005-0000-0000-000034370000}"/>
    <cellStyle name="40% - Accent4 27 2 4" xfId="8270" xr:uid="{00000000-0005-0000-0000-000035370000}"/>
    <cellStyle name="40% - Accent4 27 2 4 2" xfId="19558" xr:uid="{00000000-0005-0000-0000-000036370000}"/>
    <cellStyle name="40% - Accent4 27 2 5" xfId="6276" xr:uid="{00000000-0005-0000-0000-000037370000}"/>
    <cellStyle name="40% - Accent4 27 2 5 2" xfId="17564" xr:uid="{00000000-0005-0000-0000-000038370000}"/>
    <cellStyle name="40% - Accent4 27 2 6" xfId="15570" xr:uid="{00000000-0005-0000-0000-000039370000}"/>
    <cellStyle name="40% - Accent4 27 3" xfId="11261" xr:uid="{00000000-0005-0000-0000-00003A370000}"/>
    <cellStyle name="40% - Accent4 27 3 2" xfId="22549" xr:uid="{00000000-0005-0000-0000-00003B370000}"/>
    <cellStyle name="40% - Accent4 27 4" xfId="9267" xr:uid="{00000000-0005-0000-0000-00003C370000}"/>
    <cellStyle name="40% - Accent4 27 4 2" xfId="20555" xr:uid="{00000000-0005-0000-0000-00003D370000}"/>
    <cellStyle name="40% - Accent4 27 5" xfId="7273" xr:uid="{00000000-0005-0000-0000-00003E370000}"/>
    <cellStyle name="40% - Accent4 27 5 2" xfId="18561" xr:uid="{00000000-0005-0000-0000-00003F370000}"/>
    <cellStyle name="40% - Accent4 27 6" xfId="5279" xr:uid="{00000000-0005-0000-0000-000040370000}"/>
    <cellStyle name="40% - Accent4 27 6 2" xfId="16567" xr:uid="{00000000-0005-0000-0000-000041370000}"/>
    <cellStyle name="40% - Accent4 27 7" xfId="14573" xr:uid="{00000000-0005-0000-0000-000042370000}"/>
    <cellStyle name="40% - Accent4 27 8" xfId="13259" xr:uid="{00000000-0005-0000-0000-000043370000}"/>
    <cellStyle name="40% - Accent4 28" xfId="1324" xr:uid="{00000000-0005-0000-0000-000044370000}"/>
    <cellStyle name="40% - Accent4 28 2" xfId="4280" xr:uid="{00000000-0005-0000-0000-000045370000}"/>
    <cellStyle name="40% - Accent4 28 2 2" xfId="12259" xr:uid="{00000000-0005-0000-0000-000046370000}"/>
    <cellStyle name="40% - Accent4 28 2 2 2" xfId="23547" xr:uid="{00000000-0005-0000-0000-000047370000}"/>
    <cellStyle name="40% - Accent4 28 2 3" xfId="10265" xr:uid="{00000000-0005-0000-0000-000048370000}"/>
    <cellStyle name="40% - Accent4 28 2 3 2" xfId="21553" xr:uid="{00000000-0005-0000-0000-000049370000}"/>
    <cellStyle name="40% - Accent4 28 2 4" xfId="8271" xr:uid="{00000000-0005-0000-0000-00004A370000}"/>
    <cellStyle name="40% - Accent4 28 2 4 2" xfId="19559" xr:uid="{00000000-0005-0000-0000-00004B370000}"/>
    <cellStyle name="40% - Accent4 28 2 5" xfId="6277" xr:uid="{00000000-0005-0000-0000-00004C370000}"/>
    <cellStyle name="40% - Accent4 28 2 5 2" xfId="17565" xr:uid="{00000000-0005-0000-0000-00004D370000}"/>
    <cellStyle name="40% - Accent4 28 2 6" xfId="15571" xr:uid="{00000000-0005-0000-0000-00004E370000}"/>
    <cellStyle name="40% - Accent4 28 3" xfId="11262" xr:uid="{00000000-0005-0000-0000-00004F370000}"/>
    <cellStyle name="40% - Accent4 28 3 2" xfId="22550" xr:uid="{00000000-0005-0000-0000-000050370000}"/>
    <cellStyle name="40% - Accent4 28 4" xfId="9268" xr:uid="{00000000-0005-0000-0000-000051370000}"/>
    <cellStyle name="40% - Accent4 28 4 2" xfId="20556" xr:uid="{00000000-0005-0000-0000-000052370000}"/>
    <cellStyle name="40% - Accent4 28 5" xfId="7274" xr:uid="{00000000-0005-0000-0000-000053370000}"/>
    <cellStyle name="40% - Accent4 28 5 2" xfId="18562" xr:uid="{00000000-0005-0000-0000-000054370000}"/>
    <cellStyle name="40% - Accent4 28 6" xfId="5280" xr:uid="{00000000-0005-0000-0000-000055370000}"/>
    <cellStyle name="40% - Accent4 28 6 2" xfId="16568" xr:uid="{00000000-0005-0000-0000-000056370000}"/>
    <cellStyle name="40% - Accent4 28 7" xfId="14574" xr:uid="{00000000-0005-0000-0000-000057370000}"/>
    <cellStyle name="40% - Accent4 28 8" xfId="13260" xr:uid="{00000000-0005-0000-0000-000058370000}"/>
    <cellStyle name="40% - Accent4 29" xfId="1325" xr:uid="{00000000-0005-0000-0000-000059370000}"/>
    <cellStyle name="40% - Accent4 29 2" xfId="4281" xr:uid="{00000000-0005-0000-0000-00005A370000}"/>
    <cellStyle name="40% - Accent4 29 2 2" xfId="12260" xr:uid="{00000000-0005-0000-0000-00005B370000}"/>
    <cellStyle name="40% - Accent4 29 2 2 2" xfId="23548" xr:uid="{00000000-0005-0000-0000-00005C370000}"/>
    <cellStyle name="40% - Accent4 29 2 3" xfId="10266" xr:uid="{00000000-0005-0000-0000-00005D370000}"/>
    <cellStyle name="40% - Accent4 29 2 3 2" xfId="21554" xr:uid="{00000000-0005-0000-0000-00005E370000}"/>
    <cellStyle name="40% - Accent4 29 2 4" xfId="8272" xr:uid="{00000000-0005-0000-0000-00005F370000}"/>
    <cellStyle name="40% - Accent4 29 2 4 2" xfId="19560" xr:uid="{00000000-0005-0000-0000-000060370000}"/>
    <cellStyle name="40% - Accent4 29 2 5" xfId="6278" xr:uid="{00000000-0005-0000-0000-000061370000}"/>
    <cellStyle name="40% - Accent4 29 2 5 2" xfId="17566" xr:uid="{00000000-0005-0000-0000-000062370000}"/>
    <cellStyle name="40% - Accent4 29 2 6" xfId="15572" xr:uid="{00000000-0005-0000-0000-000063370000}"/>
    <cellStyle name="40% - Accent4 29 3" xfId="11263" xr:uid="{00000000-0005-0000-0000-000064370000}"/>
    <cellStyle name="40% - Accent4 29 3 2" xfId="22551" xr:uid="{00000000-0005-0000-0000-000065370000}"/>
    <cellStyle name="40% - Accent4 29 4" xfId="9269" xr:uid="{00000000-0005-0000-0000-000066370000}"/>
    <cellStyle name="40% - Accent4 29 4 2" xfId="20557" xr:uid="{00000000-0005-0000-0000-000067370000}"/>
    <cellStyle name="40% - Accent4 29 5" xfId="7275" xr:uid="{00000000-0005-0000-0000-000068370000}"/>
    <cellStyle name="40% - Accent4 29 5 2" xfId="18563" xr:uid="{00000000-0005-0000-0000-000069370000}"/>
    <cellStyle name="40% - Accent4 29 6" xfId="5281" xr:uid="{00000000-0005-0000-0000-00006A370000}"/>
    <cellStyle name="40% - Accent4 29 6 2" xfId="16569" xr:uid="{00000000-0005-0000-0000-00006B370000}"/>
    <cellStyle name="40% - Accent4 29 7" xfId="14575" xr:uid="{00000000-0005-0000-0000-00006C370000}"/>
    <cellStyle name="40% - Accent4 29 8" xfId="13261" xr:uid="{00000000-0005-0000-0000-00006D370000}"/>
    <cellStyle name="40% - Accent4 3" xfId="1326" xr:uid="{00000000-0005-0000-0000-00006E370000}"/>
    <cellStyle name="40% - Accent4 3 10" xfId="24614" xr:uid="{00000000-0005-0000-0000-00006F370000}"/>
    <cellStyle name="40% - Accent4 3 11" xfId="25004" xr:uid="{00000000-0005-0000-0000-000070370000}"/>
    <cellStyle name="40% - Accent4 3 2" xfId="4282" xr:uid="{00000000-0005-0000-0000-000071370000}"/>
    <cellStyle name="40% - Accent4 3 2 2" xfId="12261" xr:uid="{00000000-0005-0000-0000-000072370000}"/>
    <cellStyle name="40% - Accent4 3 2 2 2" xfId="23549" xr:uid="{00000000-0005-0000-0000-000073370000}"/>
    <cellStyle name="40% - Accent4 3 2 3" xfId="10267" xr:uid="{00000000-0005-0000-0000-000074370000}"/>
    <cellStyle name="40% - Accent4 3 2 3 2" xfId="21555" xr:uid="{00000000-0005-0000-0000-000075370000}"/>
    <cellStyle name="40% - Accent4 3 2 4" xfId="8273" xr:uid="{00000000-0005-0000-0000-000076370000}"/>
    <cellStyle name="40% - Accent4 3 2 4 2" xfId="19561" xr:uid="{00000000-0005-0000-0000-000077370000}"/>
    <cellStyle name="40% - Accent4 3 2 5" xfId="6279" xr:uid="{00000000-0005-0000-0000-000078370000}"/>
    <cellStyle name="40% - Accent4 3 2 5 2" xfId="17567" xr:uid="{00000000-0005-0000-0000-000079370000}"/>
    <cellStyle name="40% - Accent4 3 2 6" xfId="15573" xr:uid="{00000000-0005-0000-0000-00007A370000}"/>
    <cellStyle name="40% - Accent4 3 2 7" xfId="24375" xr:uid="{00000000-0005-0000-0000-00007B370000}"/>
    <cellStyle name="40% - Accent4 3 2 8" xfId="24839" xr:uid="{00000000-0005-0000-0000-00007C370000}"/>
    <cellStyle name="40% - Accent4 3 2 9" xfId="25206" xr:uid="{00000000-0005-0000-0000-00007D370000}"/>
    <cellStyle name="40% - Accent4 3 3" xfId="11264" xr:uid="{00000000-0005-0000-0000-00007E370000}"/>
    <cellStyle name="40% - Accent4 3 3 2" xfId="22552" xr:uid="{00000000-0005-0000-0000-00007F370000}"/>
    <cellStyle name="40% - Accent4 3 4" xfId="9270" xr:uid="{00000000-0005-0000-0000-000080370000}"/>
    <cellStyle name="40% - Accent4 3 4 2" xfId="20558" xr:uid="{00000000-0005-0000-0000-000081370000}"/>
    <cellStyle name="40% - Accent4 3 5" xfId="7276" xr:uid="{00000000-0005-0000-0000-000082370000}"/>
    <cellStyle name="40% - Accent4 3 5 2" xfId="18564" xr:uid="{00000000-0005-0000-0000-000083370000}"/>
    <cellStyle name="40% - Accent4 3 6" xfId="5282" xr:uid="{00000000-0005-0000-0000-000084370000}"/>
    <cellStyle name="40% - Accent4 3 6 2" xfId="16570" xr:uid="{00000000-0005-0000-0000-000085370000}"/>
    <cellStyle name="40% - Accent4 3 7" xfId="14576" xr:uid="{00000000-0005-0000-0000-000086370000}"/>
    <cellStyle name="40% - Accent4 3 8" xfId="13262" xr:uid="{00000000-0005-0000-0000-000087370000}"/>
    <cellStyle name="40% - Accent4 3 9" xfId="23987" xr:uid="{00000000-0005-0000-0000-000088370000}"/>
    <cellStyle name="40% - Accent4 30" xfId="1327" xr:uid="{00000000-0005-0000-0000-000089370000}"/>
    <cellStyle name="40% - Accent4 30 2" xfId="4283" xr:uid="{00000000-0005-0000-0000-00008A370000}"/>
    <cellStyle name="40% - Accent4 30 2 2" xfId="12262" xr:uid="{00000000-0005-0000-0000-00008B370000}"/>
    <cellStyle name="40% - Accent4 30 2 2 2" xfId="23550" xr:uid="{00000000-0005-0000-0000-00008C370000}"/>
    <cellStyle name="40% - Accent4 30 2 3" xfId="10268" xr:uid="{00000000-0005-0000-0000-00008D370000}"/>
    <cellStyle name="40% - Accent4 30 2 3 2" xfId="21556" xr:uid="{00000000-0005-0000-0000-00008E370000}"/>
    <cellStyle name="40% - Accent4 30 2 4" xfId="8274" xr:uid="{00000000-0005-0000-0000-00008F370000}"/>
    <cellStyle name="40% - Accent4 30 2 4 2" xfId="19562" xr:uid="{00000000-0005-0000-0000-000090370000}"/>
    <cellStyle name="40% - Accent4 30 2 5" xfId="6280" xr:uid="{00000000-0005-0000-0000-000091370000}"/>
    <cellStyle name="40% - Accent4 30 2 5 2" xfId="17568" xr:uid="{00000000-0005-0000-0000-000092370000}"/>
    <cellStyle name="40% - Accent4 30 2 6" xfId="15574" xr:uid="{00000000-0005-0000-0000-000093370000}"/>
    <cellStyle name="40% - Accent4 30 3" xfId="11265" xr:uid="{00000000-0005-0000-0000-000094370000}"/>
    <cellStyle name="40% - Accent4 30 3 2" xfId="22553" xr:uid="{00000000-0005-0000-0000-000095370000}"/>
    <cellStyle name="40% - Accent4 30 4" xfId="9271" xr:uid="{00000000-0005-0000-0000-000096370000}"/>
    <cellStyle name="40% - Accent4 30 4 2" xfId="20559" xr:uid="{00000000-0005-0000-0000-000097370000}"/>
    <cellStyle name="40% - Accent4 30 5" xfId="7277" xr:uid="{00000000-0005-0000-0000-000098370000}"/>
    <cellStyle name="40% - Accent4 30 5 2" xfId="18565" xr:uid="{00000000-0005-0000-0000-000099370000}"/>
    <cellStyle name="40% - Accent4 30 6" xfId="5283" xr:uid="{00000000-0005-0000-0000-00009A370000}"/>
    <cellStyle name="40% - Accent4 30 6 2" xfId="16571" xr:uid="{00000000-0005-0000-0000-00009B370000}"/>
    <cellStyle name="40% - Accent4 30 7" xfId="14577" xr:uid="{00000000-0005-0000-0000-00009C370000}"/>
    <cellStyle name="40% - Accent4 30 8" xfId="13263" xr:uid="{00000000-0005-0000-0000-00009D370000}"/>
    <cellStyle name="40% - Accent4 31" xfId="1328" xr:uid="{00000000-0005-0000-0000-00009E370000}"/>
    <cellStyle name="40% - Accent4 31 2" xfId="4284" xr:uid="{00000000-0005-0000-0000-00009F370000}"/>
    <cellStyle name="40% - Accent4 31 2 2" xfId="12263" xr:uid="{00000000-0005-0000-0000-0000A0370000}"/>
    <cellStyle name="40% - Accent4 31 2 2 2" xfId="23551" xr:uid="{00000000-0005-0000-0000-0000A1370000}"/>
    <cellStyle name="40% - Accent4 31 2 3" xfId="10269" xr:uid="{00000000-0005-0000-0000-0000A2370000}"/>
    <cellStyle name="40% - Accent4 31 2 3 2" xfId="21557" xr:uid="{00000000-0005-0000-0000-0000A3370000}"/>
    <cellStyle name="40% - Accent4 31 2 4" xfId="8275" xr:uid="{00000000-0005-0000-0000-0000A4370000}"/>
    <cellStyle name="40% - Accent4 31 2 4 2" xfId="19563" xr:uid="{00000000-0005-0000-0000-0000A5370000}"/>
    <cellStyle name="40% - Accent4 31 2 5" xfId="6281" xr:uid="{00000000-0005-0000-0000-0000A6370000}"/>
    <cellStyle name="40% - Accent4 31 2 5 2" xfId="17569" xr:uid="{00000000-0005-0000-0000-0000A7370000}"/>
    <cellStyle name="40% - Accent4 31 2 6" xfId="15575" xr:uid="{00000000-0005-0000-0000-0000A8370000}"/>
    <cellStyle name="40% - Accent4 31 3" xfId="11266" xr:uid="{00000000-0005-0000-0000-0000A9370000}"/>
    <cellStyle name="40% - Accent4 31 3 2" xfId="22554" xr:uid="{00000000-0005-0000-0000-0000AA370000}"/>
    <cellStyle name="40% - Accent4 31 4" xfId="9272" xr:uid="{00000000-0005-0000-0000-0000AB370000}"/>
    <cellStyle name="40% - Accent4 31 4 2" xfId="20560" xr:uid="{00000000-0005-0000-0000-0000AC370000}"/>
    <cellStyle name="40% - Accent4 31 5" xfId="7278" xr:uid="{00000000-0005-0000-0000-0000AD370000}"/>
    <cellStyle name="40% - Accent4 31 5 2" xfId="18566" xr:uid="{00000000-0005-0000-0000-0000AE370000}"/>
    <cellStyle name="40% - Accent4 31 6" xfId="5284" xr:uid="{00000000-0005-0000-0000-0000AF370000}"/>
    <cellStyle name="40% - Accent4 31 6 2" xfId="16572" xr:uid="{00000000-0005-0000-0000-0000B0370000}"/>
    <cellStyle name="40% - Accent4 31 7" xfId="14578" xr:uid="{00000000-0005-0000-0000-0000B1370000}"/>
    <cellStyle name="40% - Accent4 31 8" xfId="13264" xr:uid="{00000000-0005-0000-0000-0000B2370000}"/>
    <cellStyle name="40% - Accent4 32" xfId="1329" xr:uid="{00000000-0005-0000-0000-0000B3370000}"/>
    <cellStyle name="40% - Accent4 32 2" xfId="4285" xr:uid="{00000000-0005-0000-0000-0000B4370000}"/>
    <cellStyle name="40% - Accent4 32 2 2" xfId="12264" xr:uid="{00000000-0005-0000-0000-0000B5370000}"/>
    <cellStyle name="40% - Accent4 32 2 2 2" xfId="23552" xr:uid="{00000000-0005-0000-0000-0000B6370000}"/>
    <cellStyle name="40% - Accent4 32 2 3" xfId="10270" xr:uid="{00000000-0005-0000-0000-0000B7370000}"/>
    <cellStyle name="40% - Accent4 32 2 3 2" xfId="21558" xr:uid="{00000000-0005-0000-0000-0000B8370000}"/>
    <cellStyle name="40% - Accent4 32 2 4" xfId="8276" xr:uid="{00000000-0005-0000-0000-0000B9370000}"/>
    <cellStyle name="40% - Accent4 32 2 4 2" xfId="19564" xr:uid="{00000000-0005-0000-0000-0000BA370000}"/>
    <cellStyle name="40% - Accent4 32 2 5" xfId="6282" xr:uid="{00000000-0005-0000-0000-0000BB370000}"/>
    <cellStyle name="40% - Accent4 32 2 5 2" xfId="17570" xr:uid="{00000000-0005-0000-0000-0000BC370000}"/>
    <cellStyle name="40% - Accent4 32 2 6" xfId="15576" xr:uid="{00000000-0005-0000-0000-0000BD370000}"/>
    <cellStyle name="40% - Accent4 32 3" xfId="11267" xr:uid="{00000000-0005-0000-0000-0000BE370000}"/>
    <cellStyle name="40% - Accent4 32 3 2" xfId="22555" xr:uid="{00000000-0005-0000-0000-0000BF370000}"/>
    <cellStyle name="40% - Accent4 32 4" xfId="9273" xr:uid="{00000000-0005-0000-0000-0000C0370000}"/>
    <cellStyle name="40% - Accent4 32 4 2" xfId="20561" xr:uid="{00000000-0005-0000-0000-0000C1370000}"/>
    <cellStyle name="40% - Accent4 32 5" xfId="7279" xr:uid="{00000000-0005-0000-0000-0000C2370000}"/>
    <cellStyle name="40% - Accent4 32 5 2" xfId="18567" xr:uid="{00000000-0005-0000-0000-0000C3370000}"/>
    <cellStyle name="40% - Accent4 32 6" xfId="5285" xr:uid="{00000000-0005-0000-0000-0000C4370000}"/>
    <cellStyle name="40% - Accent4 32 6 2" xfId="16573" xr:uid="{00000000-0005-0000-0000-0000C5370000}"/>
    <cellStyle name="40% - Accent4 32 7" xfId="14579" xr:uid="{00000000-0005-0000-0000-0000C6370000}"/>
    <cellStyle name="40% - Accent4 32 8" xfId="13265" xr:uid="{00000000-0005-0000-0000-0000C7370000}"/>
    <cellStyle name="40% - Accent4 33" xfId="1330" xr:uid="{00000000-0005-0000-0000-0000C8370000}"/>
    <cellStyle name="40% - Accent4 33 2" xfId="4286" xr:uid="{00000000-0005-0000-0000-0000C9370000}"/>
    <cellStyle name="40% - Accent4 33 2 2" xfId="12265" xr:uid="{00000000-0005-0000-0000-0000CA370000}"/>
    <cellStyle name="40% - Accent4 33 2 2 2" xfId="23553" xr:uid="{00000000-0005-0000-0000-0000CB370000}"/>
    <cellStyle name="40% - Accent4 33 2 3" xfId="10271" xr:uid="{00000000-0005-0000-0000-0000CC370000}"/>
    <cellStyle name="40% - Accent4 33 2 3 2" xfId="21559" xr:uid="{00000000-0005-0000-0000-0000CD370000}"/>
    <cellStyle name="40% - Accent4 33 2 4" xfId="8277" xr:uid="{00000000-0005-0000-0000-0000CE370000}"/>
    <cellStyle name="40% - Accent4 33 2 4 2" xfId="19565" xr:uid="{00000000-0005-0000-0000-0000CF370000}"/>
    <cellStyle name="40% - Accent4 33 2 5" xfId="6283" xr:uid="{00000000-0005-0000-0000-0000D0370000}"/>
    <cellStyle name="40% - Accent4 33 2 5 2" xfId="17571" xr:uid="{00000000-0005-0000-0000-0000D1370000}"/>
    <cellStyle name="40% - Accent4 33 2 6" xfId="15577" xr:uid="{00000000-0005-0000-0000-0000D2370000}"/>
    <cellStyle name="40% - Accent4 33 3" xfId="11268" xr:uid="{00000000-0005-0000-0000-0000D3370000}"/>
    <cellStyle name="40% - Accent4 33 3 2" xfId="22556" xr:uid="{00000000-0005-0000-0000-0000D4370000}"/>
    <cellStyle name="40% - Accent4 33 4" xfId="9274" xr:uid="{00000000-0005-0000-0000-0000D5370000}"/>
    <cellStyle name="40% - Accent4 33 4 2" xfId="20562" xr:uid="{00000000-0005-0000-0000-0000D6370000}"/>
    <cellStyle name="40% - Accent4 33 5" xfId="7280" xr:uid="{00000000-0005-0000-0000-0000D7370000}"/>
    <cellStyle name="40% - Accent4 33 5 2" xfId="18568" xr:uid="{00000000-0005-0000-0000-0000D8370000}"/>
    <cellStyle name="40% - Accent4 33 6" xfId="5286" xr:uid="{00000000-0005-0000-0000-0000D9370000}"/>
    <cellStyle name="40% - Accent4 33 6 2" xfId="16574" xr:uid="{00000000-0005-0000-0000-0000DA370000}"/>
    <cellStyle name="40% - Accent4 33 7" xfId="14580" xr:uid="{00000000-0005-0000-0000-0000DB370000}"/>
    <cellStyle name="40% - Accent4 33 8" xfId="13266" xr:uid="{00000000-0005-0000-0000-0000DC370000}"/>
    <cellStyle name="40% - Accent4 34" xfId="1331" xr:uid="{00000000-0005-0000-0000-0000DD370000}"/>
    <cellStyle name="40% - Accent4 34 2" xfId="4287" xr:uid="{00000000-0005-0000-0000-0000DE370000}"/>
    <cellStyle name="40% - Accent4 34 2 2" xfId="12266" xr:uid="{00000000-0005-0000-0000-0000DF370000}"/>
    <cellStyle name="40% - Accent4 34 2 2 2" xfId="23554" xr:uid="{00000000-0005-0000-0000-0000E0370000}"/>
    <cellStyle name="40% - Accent4 34 2 3" xfId="10272" xr:uid="{00000000-0005-0000-0000-0000E1370000}"/>
    <cellStyle name="40% - Accent4 34 2 3 2" xfId="21560" xr:uid="{00000000-0005-0000-0000-0000E2370000}"/>
    <cellStyle name="40% - Accent4 34 2 4" xfId="8278" xr:uid="{00000000-0005-0000-0000-0000E3370000}"/>
    <cellStyle name="40% - Accent4 34 2 4 2" xfId="19566" xr:uid="{00000000-0005-0000-0000-0000E4370000}"/>
    <cellStyle name="40% - Accent4 34 2 5" xfId="6284" xr:uid="{00000000-0005-0000-0000-0000E5370000}"/>
    <cellStyle name="40% - Accent4 34 2 5 2" xfId="17572" xr:uid="{00000000-0005-0000-0000-0000E6370000}"/>
    <cellStyle name="40% - Accent4 34 2 6" xfId="15578" xr:uid="{00000000-0005-0000-0000-0000E7370000}"/>
    <cellStyle name="40% - Accent4 34 3" xfId="11269" xr:uid="{00000000-0005-0000-0000-0000E8370000}"/>
    <cellStyle name="40% - Accent4 34 3 2" xfId="22557" xr:uid="{00000000-0005-0000-0000-0000E9370000}"/>
    <cellStyle name="40% - Accent4 34 4" xfId="9275" xr:uid="{00000000-0005-0000-0000-0000EA370000}"/>
    <cellStyle name="40% - Accent4 34 4 2" xfId="20563" xr:uid="{00000000-0005-0000-0000-0000EB370000}"/>
    <cellStyle name="40% - Accent4 34 5" xfId="7281" xr:uid="{00000000-0005-0000-0000-0000EC370000}"/>
    <cellStyle name="40% - Accent4 34 5 2" xfId="18569" xr:uid="{00000000-0005-0000-0000-0000ED370000}"/>
    <cellStyle name="40% - Accent4 34 6" xfId="5287" xr:uid="{00000000-0005-0000-0000-0000EE370000}"/>
    <cellStyle name="40% - Accent4 34 6 2" xfId="16575" xr:uid="{00000000-0005-0000-0000-0000EF370000}"/>
    <cellStyle name="40% - Accent4 34 7" xfId="14581" xr:uid="{00000000-0005-0000-0000-0000F0370000}"/>
    <cellStyle name="40% - Accent4 34 8" xfId="13267" xr:uid="{00000000-0005-0000-0000-0000F1370000}"/>
    <cellStyle name="40% - Accent4 35" xfId="1332" xr:uid="{00000000-0005-0000-0000-0000F2370000}"/>
    <cellStyle name="40% - Accent4 35 2" xfId="4288" xr:uid="{00000000-0005-0000-0000-0000F3370000}"/>
    <cellStyle name="40% - Accent4 35 2 2" xfId="12267" xr:uid="{00000000-0005-0000-0000-0000F4370000}"/>
    <cellStyle name="40% - Accent4 35 2 2 2" xfId="23555" xr:uid="{00000000-0005-0000-0000-0000F5370000}"/>
    <cellStyle name="40% - Accent4 35 2 3" xfId="10273" xr:uid="{00000000-0005-0000-0000-0000F6370000}"/>
    <cellStyle name="40% - Accent4 35 2 3 2" xfId="21561" xr:uid="{00000000-0005-0000-0000-0000F7370000}"/>
    <cellStyle name="40% - Accent4 35 2 4" xfId="8279" xr:uid="{00000000-0005-0000-0000-0000F8370000}"/>
    <cellStyle name="40% - Accent4 35 2 4 2" xfId="19567" xr:uid="{00000000-0005-0000-0000-0000F9370000}"/>
    <cellStyle name="40% - Accent4 35 2 5" xfId="6285" xr:uid="{00000000-0005-0000-0000-0000FA370000}"/>
    <cellStyle name="40% - Accent4 35 2 5 2" xfId="17573" xr:uid="{00000000-0005-0000-0000-0000FB370000}"/>
    <cellStyle name="40% - Accent4 35 2 6" xfId="15579" xr:uid="{00000000-0005-0000-0000-0000FC370000}"/>
    <cellStyle name="40% - Accent4 35 3" xfId="11270" xr:uid="{00000000-0005-0000-0000-0000FD370000}"/>
    <cellStyle name="40% - Accent4 35 3 2" xfId="22558" xr:uid="{00000000-0005-0000-0000-0000FE370000}"/>
    <cellStyle name="40% - Accent4 35 4" xfId="9276" xr:uid="{00000000-0005-0000-0000-0000FF370000}"/>
    <cellStyle name="40% - Accent4 35 4 2" xfId="20564" xr:uid="{00000000-0005-0000-0000-000000380000}"/>
    <cellStyle name="40% - Accent4 35 5" xfId="7282" xr:uid="{00000000-0005-0000-0000-000001380000}"/>
    <cellStyle name="40% - Accent4 35 5 2" xfId="18570" xr:uid="{00000000-0005-0000-0000-000002380000}"/>
    <cellStyle name="40% - Accent4 35 6" xfId="5288" xr:uid="{00000000-0005-0000-0000-000003380000}"/>
    <cellStyle name="40% - Accent4 35 6 2" xfId="16576" xr:uid="{00000000-0005-0000-0000-000004380000}"/>
    <cellStyle name="40% - Accent4 35 7" xfId="14582" xr:uid="{00000000-0005-0000-0000-000005380000}"/>
    <cellStyle name="40% - Accent4 35 8" xfId="13268" xr:uid="{00000000-0005-0000-0000-000006380000}"/>
    <cellStyle name="40% - Accent4 36" xfId="1333" xr:uid="{00000000-0005-0000-0000-000007380000}"/>
    <cellStyle name="40% - Accent4 36 2" xfId="4289" xr:uid="{00000000-0005-0000-0000-000008380000}"/>
    <cellStyle name="40% - Accent4 36 2 2" xfId="12268" xr:uid="{00000000-0005-0000-0000-000009380000}"/>
    <cellStyle name="40% - Accent4 36 2 2 2" xfId="23556" xr:uid="{00000000-0005-0000-0000-00000A380000}"/>
    <cellStyle name="40% - Accent4 36 2 3" xfId="10274" xr:uid="{00000000-0005-0000-0000-00000B380000}"/>
    <cellStyle name="40% - Accent4 36 2 3 2" xfId="21562" xr:uid="{00000000-0005-0000-0000-00000C380000}"/>
    <cellStyle name="40% - Accent4 36 2 4" xfId="8280" xr:uid="{00000000-0005-0000-0000-00000D380000}"/>
    <cellStyle name="40% - Accent4 36 2 4 2" xfId="19568" xr:uid="{00000000-0005-0000-0000-00000E380000}"/>
    <cellStyle name="40% - Accent4 36 2 5" xfId="6286" xr:uid="{00000000-0005-0000-0000-00000F380000}"/>
    <cellStyle name="40% - Accent4 36 2 5 2" xfId="17574" xr:uid="{00000000-0005-0000-0000-000010380000}"/>
    <cellStyle name="40% - Accent4 36 2 6" xfId="15580" xr:uid="{00000000-0005-0000-0000-000011380000}"/>
    <cellStyle name="40% - Accent4 36 3" xfId="11271" xr:uid="{00000000-0005-0000-0000-000012380000}"/>
    <cellStyle name="40% - Accent4 36 3 2" xfId="22559" xr:uid="{00000000-0005-0000-0000-000013380000}"/>
    <cellStyle name="40% - Accent4 36 4" xfId="9277" xr:uid="{00000000-0005-0000-0000-000014380000}"/>
    <cellStyle name="40% - Accent4 36 4 2" xfId="20565" xr:uid="{00000000-0005-0000-0000-000015380000}"/>
    <cellStyle name="40% - Accent4 36 5" xfId="7283" xr:uid="{00000000-0005-0000-0000-000016380000}"/>
    <cellStyle name="40% - Accent4 36 5 2" xfId="18571" xr:uid="{00000000-0005-0000-0000-000017380000}"/>
    <cellStyle name="40% - Accent4 36 6" xfId="5289" xr:uid="{00000000-0005-0000-0000-000018380000}"/>
    <cellStyle name="40% - Accent4 36 6 2" xfId="16577" xr:uid="{00000000-0005-0000-0000-000019380000}"/>
    <cellStyle name="40% - Accent4 36 7" xfId="14583" xr:uid="{00000000-0005-0000-0000-00001A380000}"/>
    <cellStyle name="40% - Accent4 36 8" xfId="13269" xr:uid="{00000000-0005-0000-0000-00001B380000}"/>
    <cellStyle name="40% - Accent4 37" xfId="1334" xr:uid="{00000000-0005-0000-0000-00001C380000}"/>
    <cellStyle name="40% - Accent4 37 2" xfId="4290" xr:uid="{00000000-0005-0000-0000-00001D380000}"/>
    <cellStyle name="40% - Accent4 37 2 2" xfId="12269" xr:uid="{00000000-0005-0000-0000-00001E380000}"/>
    <cellStyle name="40% - Accent4 37 2 2 2" xfId="23557" xr:uid="{00000000-0005-0000-0000-00001F380000}"/>
    <cellStyle name="40% - Accent4 37 2 3" xfId="10275" xr:uid="{00000000-0005-0000-0000-000020380000}"/>
    <cellStyle name="40% - Accent4 37 2 3 2" xfId="21563" xr:uid="{00000000-0005-0000-0000-000021380000}"/>
    <cellStyle name="40% - Accent4 37 2 4" xfId="8281" xr:uid="{00000000-0005-0000-0000-000022380000}"/>
    <cellStyle name="40% - Accent4 37 2 4 2" xfId="19569" xr:uid="{00000000-0005-0000-0000-000023380000}"/>
    <cellStyle name="40% - Accent4 37 2 5" xfId="6287" xr:uid="{00000000-0005-0000-0000-000024380000}"/>
    <cellStyle name="40% - Accent4 37 2 5 2" xfId="17575" xr:uid="{00000000-0005-0000-0000-000025380000}"/>
    <cellStyle name="40% - Accent4 37 2 6" xfId="15581" xr:uid="{00000000-0005-0000-0000-000026380000}"/>
    <cellStyle name="40% - Accent4 37 3" xfId="11272" xr:uid="{00000000-0005-0000-0000-000027380000}"/>
    <cellStyle name="40% - Accent4 37 3 2" xfId="22560" xr:uid="{00000000-0005-0000-0000-000028380000}"/>
    <cellStyle name="40% - Accent4 37 4" xfId="9278" xr:uid="{00000000-0005-0000-0000-000029380000}"/>
    <cellStyle name="40% - Accent4 37 4 2" xfId="20566" xr:uid="{00000000-0005-0000-0000-00002A380000}"/>
    <cellStyle name="40% - Accent4 37 5" xfId="7284" xr:uid="{00000000-0005-0000-0000-00002B380000}"/>
    <cellStyle name="40% - Accent4 37 5 2" xfId="18572" xr:uid="{00000000-0005-0000-0000-00002C380000}"/>
    <cellStyle name="40% - Accent4 37 6" xfId="5290" xr:uid="{00000000-0005-0000-0000-00002D380000}"/>
    <cellStyle name="40% - Accent4 37 6 2" xfId="16578" xr:uid="{00000000-0005-0000-0000-00002E380000}"/>
    <cellStyle name="40% - Accent4 37 7" xfId="14584" xr:uid="{00000000-0005-0000-0000-00002F380000}"/>
    <cellStyle name="40% - Accent4 37 8" xfId="13270" xr:uid="{00000000-0005-0000-0000-000030380000}"/>
    <cellStyle name="40% - Accent4 38" xfId="1335" xr:uid="{00000000-0005-0000-0000-000031380000}"/>
    <cellStyle name="40% - Accent4 38 2" xfId="4291" xr:uid="{00000000-0005-0000-0000-000032380000}"/>
    <cellStyle name="40% - Accent4 38 2 2" xfId="12270" xr:uid="{00000000-0005-0000-0000-000033380000}"/>
    <cellStyle name="40% - Accent4 38 2 2 2" xfId="23558" xr:uid="{00000000-0005-0000-0000-000034380000}"/>
    <cellStyle name="40% - Accent4 38 2 3" xfId="10276" xr:uid="{00000000-0005-0000-0000-000035380000}"/>
    <cellStyle name="40% - Accent4 38 2 3 2" xfId="21564" xr:uid="{00000000-0005-0000-0000-000036380000}"/>
    <cellStyle name="40% - Accent4 38 2 4" xfId="8282" xr:uid="{00000000-0005-0000-0000-000037380000}"/>
    <cellStyle name="40% - Accent4 38 2 4 2" xfId="19570" xr:uid="{00000000-0005-0000-0000-000038380000}"/>
    <cellStyle name="40% - Accent4 38 2 5" xfId="6288" xr:uid="{00000000-0005-0000-0000-000039380000}"/>
    <cellStyle name="40% - Accent4 38 2 5 2" xfId="17576" xr:uid="{00000000-0005-0000-0000-00003A380000}"/>
    <cellStyle name="40% - Accent4 38 2 6" xfId="15582" xr:uid="{00000000-0005-0000-0000-00003B380000}"/>
    <cellStyle name="40% - Accent4 38 3" xfId="11273" xr:uid="{00000000-0005-0000-0000-00003C380000}"/>
    <cellStyle name="40% - Accent4 38 3 2" xfId="22561" xr:uid="{00000000-0005-0000-0000-00003D380000}"/>
    <cellStyle name="40% - Accent4 38 4" xfId="9279" xr:uid="{00000000-0005-0000-0000-00003E380000}"/>
    <cellStyle name="40% - Accent4 38 4 2" xfId="20567" xr:uid="{00000000-0005-0000-0000-00003F380000}"/>
    <cellStyle name="40% - Accent4 38 5" xfId="7285" xr:uid="{00000000-0005-0000-0000-000040380000}"/>
    <cellStyle name="40% - Accent4 38 5 2" xfId="18573" xr:uid="{00000000-0005-0000-0000-000041380000}"/>
    <cellStyle name="40% - Accent4 38 6" xfId="5291" xr:uid="{00000000-0005-0000-0000-000042380000}"/>
    <cellStyle name="40% - Accent4 38 6 2" xfId="16579" xr:uid="{00000000-0005-0000-0000-000043380000}"/>
    <cellStyle name="40% - Accent4 38 7" xfId="14585" xr:uid="{00000000-0005-0000-0000-000044380000}"/>
    <cellStyle name="40% - Accent4 38 8" xfId="13271" xr:uid="{00000000-0005-0000-0000-000045380000}"/>
    <cellStyle name="40% - Accent4 39" xfId="1336" xr:uid="{00000000-0005-0000-0000-000046380000}"/>
    <cellStyle name="40% - Accent4 39 2" xfId="4292" xr:uid="{00000000-0005-0000-0000-000047380000}"/>
    <cellStyle name="40% - Accent4 39 2 2" xfId="12271" xr:uid="{00000000-0005-0000-0000-000048380000}"/>
    <cellStyle name="40% - Accent4 39 2 2 2" xfId="23559" xr:uid="{00000000-0005-0000-0000-000049380000}"/>
    <cellStyle name="40% - Accent4 39 2 3" xfId="10277" xr:uid="{00000000-0005-0000-0000-00004A380000}"/>
    <cellStyle name="40% - Accent4 39 2 3 2" xfId="21565" xr:uid="{00000000-0005-0000-0000-00004B380000}"/>
    <cellStyle name="40% - Accent4 39 2 4" xfId="8283" xr:uid="{00000000-0005-0000-0000-00004C380000}"/>
    <cellStyle name="40% - Accent4 39 2 4 2" xfId="19571" xr:uid="{00000000-0005-0000-0000-00004D380000}"/>
    <cellStyle name="40% - Accent4 39 2 5" xfId="6289" xr:uid="{00000000-0005-0000-0000-00004E380000}"/>
    <cellStyle name="40% - Accent4 39 2 5 2" xfId="17577" xr:uid="{00000000-0005-0000-0000-00004F380000}"/>
    <cellStyle name="40% - Accent4 39 2 6" xfId="15583" xr:uid="{00000000-0005-0000-0000-000050380000}"/>
    <cellStyle name="40% - Accent4 39 3" xfId="11274" xr:uid="{00000000-0005-0000-0000-000051380000}"/>
    <cellStyle name="40% - Accent4 39 3 2" xfId="22562" xr:uid="{00000000-0005-0000-0000-000052380000}"/>
    <cellStyle name="40% - Accent4 39 4" xfId="9280" xr:uid="{00000000-0005-0000-0000-000053380000}"/>
    <cellStyle name="40% - Accent4 39 4 2" xfId="20568" xr:uid="{00000000-0005-0000-0000-000054380000}"/>
    <cellStyle name="40% - Accent4 39 5" xfId="7286" xr:uid="{00000000-0005-0000-0000-000055380000}"/>
    <cellStyle name="40% - Accent4 39 5 2" xfId="18574" xr:uid="{00000000-0005-0000-0000-000056380000}"/>
    <cellStyle name="40% - Accent4 39 6" xfId="5292" xr:uid="{00000000-0005-0000-0000-000057380000}"/>
    <cellStyle name="40% - Accent4 39 6 2" xfId="16580" xr:uid="{00000000-0005-0000-0000-000058380000}"/>
    <cellStyle name="40% - Accent4 39 7" xfId="14586" xr:uid="{00000000-0005-0000-0000-000059380000}"/>
    <cellStyle name="40% - Accent4 39 8" xfId="13272" xr:uid="{00000000-0005-0000-0000-00005A380000}"/>
    <cellStyle name="40% - Accent4 4" xfId="1337" xr:uid="{00000000-0005-0000-0000-00005B380000}"/>
    <cellStyle name="40% - Accent4 4 10" xfId="24615" xr:uid="{00000000-0005-0000-0000-00005C380000}"/>
    <cellStyle name="40% - Accent4 4 11" xfId="25005" xr:uid="{00000000-0005-0000-0000-00005D380000}"/>
    <cellStyle name="40% - Accent4 4 2" xfId="4293" xr:uid="{00000000-0005-0000-0000-00005E380000}"/>
    <cellStyle name="40% - Accent4 4 2 2" xfId="12272" xr:uid="{00000000-0005-0000-0000-00005F380000}"/>
    <cellStyle name="40% - Accent4 4 2 2 2" xfId="23560" xr:uid="{00000000-0005-0000-0000-000060380000}"/>
    <cellStyle name="40% - Accent4 4 2 3" xfId="10278" xr:uid="{00000000-0005-0000-0000-000061380000}"/>
    <cellStyle name="40% - Accent4 4 2 3 2" xfId="21566" xr:uid="{00000000-0005-0000-0000-000062380000}"/>
    <cellStyle name="40% - Accent4 4 2 4" xfId="8284" xr:uid="{00000000-0005-0000-0000-000063380000}"/>
    <cellStyle name="40% - Accent4 4 2 4 2" xfId="19572" xr:uid="{00000000-0005-0000-0000-000064380000}"/>
    <cellStyle name="40% - Accent4 4 2 5" xfId="6290" xr:uid="{00000000-0005-0000-0000-000065380000}"/>
    <cellStyle name="40% - Accent4 4 2 5 2" xfId="17578" xr:uid="{00000000-0005-0000-0000-000066380000}"/>
    <cellStyle name="40% - Accent4 4 2 6" xfId="15584" xr:uid="{00000000-0005-0000-0000-000067380000}"/>
    <cellStyle name="40% - Accent4 4 2 7" xfId="24376" xr:uid="{00000000-0005-0000-0000-000068380000}"/>
    <cellStyle name="40% - Accent4 4 2 8" xfId="24840" xr:uid="{00000000-0005-0000-0000-000069380000}"/>
    <cellStyle name="40% - Accent4 4 2 9" xfId="25207" xr:uid="{00000000-0005-0000-0000-00006A380000}"/>
    <cellStyle name="40% - Accent4 4 3" xfId="11275" xr:uid="{00000000-0005-0000-0000-00006B380000}"/>
    <cellStyle name="40% - Accent4 4 3 2" xfId="22563" xr:uid="{00000000-0005-0000-0000-00006C380000}"/>
    <cellStyle name="40% - Accent4 4 4" xfId="9281" xr:uid="{00000000-0005-0000-0000-00006D380000}"/>
    <cellStyle name="40% - Accent4 4 4 2" xfId="20569" xr:uid="{00000000-0005-0000-0000-00006E380000}"/>
    <cellStyle name="40% - Accent4 4 5" xfId="7287" xr:uid="{00000000-0005-0000-0000-00006F380000}"/>
    <cellStyle name="40% - Accent4 4 5 2" xfId="18575" xr:uid="{00000000-0005-0000-0000-000070380000}"/>
    <cellStyle name="40% - Accent4 4 6" xfId="5293" xr:uid="{00000000-0005-0000-0000-000071380000}"/>
    <cellStyle name="40% - Accent4 4 6 2" xfId="16581" xr:uid="{00000000-0005-0000-0000-000072380000}"/>
    <cellStyle name="40% - Accent4 4 7" xfId="14587" xr:uid="{00000000-0005-0000-0000-000073380000}"/>
    <cellStyle name="40% - Accent4 4 8" xfId="13273" xr:uid="{00000000-0005-0000-0000-000074380000}"/>
    <cellStyle name="40% - Accent4 4 9" xfId="23988" xr:uid="{00000000-0005-0000-0000-000075380000}"/>
    <cellStyle name="40% - Accent4 40" xfId="1338" xr:uid="{00000000-0005-0000-0000-000076380000}"/>
    <cellStyle name="40% - Accent4 40 2" xfId="4294" xr:uid="{00000000-0005-0000-0000-000077380000}"/>
    <cellStyle name="40% - Accent4 40 2 2" xfId="12273" xr:uid="{00000000-0005-0000-0000-000078380000}"/>
    <cellStyle name="40% - Accent4 40 2 2 2" xfId="23561" xr:uid="{00000000-0005-0000-0000-000079380000}"/>
    <cellStyle name="40% - Accent4 40 2 3" xfId="10279" xr:uid="{00000000-0005-0000-0000-00007A380000}"/>
    <cellStyle name="40% - Accent4 40 2 3 2" xfId="21567" xr:uid="{00000000-0005-0000-0000-00007B380000}"/>
    <cellStyle name="40% - Accent4 40 2 4" xfId="8285" xr:uid="{00000000-0005-0000-0000-00007C380000}"/>
    <cellStyle name="40% - Accent4 40 2 4 2" xfId="19573" xr:uid="{00000000-0005-0000-0000-00007D380000}"/>
    <cellStyle name="40% - Accent4 40 2 5" xfId="6291" xr:uid="{00000000-0005-0000-0000-00007E380000}"/>
    <cellStyle name="40% - Accent4 40 2 5 2" xfId="17579" xr:uid="{00000000-0005-0000-0000-00007F380000}"/>
    <cellStyle name="40% - Accent4 40 2 6" xfId="15585" xr:uid="{00000000-0005-0000-0000-000080380000}"/>
    <cellStyle name="40% - Accent4 40 3" xfId="11276" xr:uid="{00000000-0005-0000-0000-000081380000}"/>
    <cellStyle name="40% - Accent4 40 3 2" xfId="22564" xr:uid="{00000000-0005-0000-0000-000082380000}"/>
    <cellStyle name="40% - Accent4 40 4" xfId="9282" xr:uid="{00000000-0005-0000-0000-000083380000}"/>
    <cellStyle name="40% - Accent4 40 4 2" xfId="20570" xr:uid="{00000000-0005-0000-0000-000084380000}"/>
    <cellStyle name="40% - Accent4 40 5" xfId="7288" xr:uid="{00000000-0005-0000-0000-000085380000}"/>
    <cellStyle name="40% - Accent4 40 5 2" xfId="18576" xr:uid="{00000000-0005-0000-0000-000086380000}"/>
    <cellStyle name="40% - Accent4 40 6" xfId="5294" xr:uid="{00000000-0005-0000-0000-000087380000}"/>
    <cellStyle name="40% - Accent4 40 6 2" xfId="16582" xr:uid="{00000000-0005-0000-0000-000088380000}"/>
    <cellStyle name="40% - Accent4 40 7" xfId="14588" xr:uid="{00000000-0005-0000-0000-000089380000}"/>
    <cellStyle name="40% - Accent4 40 8" xfId="13274" xr:uid="{00000000-0005-0000-0000-00008A380000}"/>
    <cellStyle name="40% - Accent4 41" xfId="1339" xr:uid="{00000000-0005-0000-0000-00008B380000}"/>
    <cellStyle name="40% - Accent4 41 2" xfId="4295" xr:uid="{00000000-0005-0000-0000-00008C380000}"/>
    <cellStyle name="40% - Accent4 41 2 2" xfId="12274" xr:uid="{00000000-0005-0000-0000-00008D380000}"/>
    <cellStyle name="40% - Accent4 41 2 2 2" xfId="23562" xr:uid="{00000000-0005-0000-0000-00008E380000}"/>
    <cellStyle name="40% - Accent4 41 2 3" xfId="10280" xr:uid="{00000000-0005-0000-0000-00008F380000}"/>
    <cellStyle name="40% - Accent4 41 2 3 2" xfId="21568" xr:uid="{00000000-0005-0000-0000-000090380000}"/>
    <cellStyle name="40% - Accent4 41 2 4" xfId="8286" xr:uid="{00000000-0005-0000-0000-000091380000}"/>
    <cellStyle name="40% - Accent4 41 2 4 2" xfId="19574" xr:uid="{00000000-0005-0000-0000-000092380000}"/>
    <cellStyle name="40% - Accent4 41 2 5" xfId="6292" xr:uid="{00000000-0005-0000-0000-000093380000}"/>
    <cellStyle name="40% - Accent4 41 2 5 2" xfId="17580" xr:uid="{00000000-0005-0000-0000-000094380000}"/>
    <cellStyle name="40% - Accent4 41 2 6" xfId="15586" xr:uid="{00000000-0005-0000-0000-000095380000}"/>
    <cellStyle name="40% - Accent4 41 3" xfId="11277" xr:uid="{00000000-0005-0000-0000-000096380000}"/>
    <cellStyle name="40% - Accent4 41 3 2" xfId="22565" xr:uid="{00000000-0005-0000-0000-000097380000}"/>
    <cellStyle name="40% - Accent4 41 4" xfId="9283" xr:uid="{00000000-0005-0000-0000-000098380000}"/>
    <cellStyle name="40% - Accent4 41 4 2" xfId="20571" xr:uid="{00000000-0005-0000-0000-000099380000}"/>
    <cellStyle name="40% - Accent4 41 5" xfId="7289" xr:uid="{00000000-0005-0000-0000-00009A380000}"/>
    <cellStyle name="40% - Accent4 41 5 2" xfId="18577" xr:uid="{00000000-0005-0000-0000-00009B380000}"/>
    <cellStyle name="40% - Accent4 41 6" xfId="5295" xr:uid="{00000000-0005-0000-0000-00009C380000}"/>
    <cellStyle name="40% - Accent4 41 6 2" xfId="16583" xr:uid="{00000000-0005-0000-0000-00009D380000}"/>
    <cellStyle name="40% - Accent4 41 7" xfId="14589" xr:uid="{00000000-0005-0000-0000-00009E380000}"/>
    <cellStyle name="40% - Accent4 41 8" xfId="13275" xr:uid="{00000000-0005-0000-0000-00009F380000}"/>
    <cellStyle name="40% - Accent4 42" xfId="1340" xr:uid="{00000000-0005-0000-0000-0000A0380000}"/>
    <cellStyle name="40% - Accent4 42 2" xfId="4296" xr:uid="{00000000-0005-0000-0000-0000A1380000}"/>
    <cellStyle name="40% - Accent4 42 2 2" xfId="12275" xr:uid="{00000000-0005-0000-0000-0000A2380000}"/>
    <cellStyle name="40% - Accent4 42 2 2 2" xfId="23563" xr:uid="{00000000-0005-0000-0000-0000A3380000}"/>
    <cellStyle name="40% - Accent4 42 2 3" xfId="10281" xr:uid="{00000000-0005-0000-0000-0000A4380000}"/>
    <cellStyle name="40% - Accent4 42 2 3 2" xfId="21569" xr:uid="{00000000-0005-0000-0000-0000A5380000}"/>
    <cellStyle name="40% - Accent4 42 2 4" xfId="8287" xr:uid="{00000000-0005-0000-0000-0000A6380000}"/>
    <cellStyle name="40% - Accent4 42 2 4 2" xfId="19575" xr:uid="{00000000-0005-0000-0000-0000A7380000}"/>
    <cellStyle name="40% - Accent4 42 2 5" xfId="6293" xr:uid="{00000000-0005-0000-0000-0000A8380000}"/>
    <cellStyle name="40% - Accent4 42 2 5 2" xfId="17581" xr:uid="{00000000-0005-0000-0000-0000A9380000}"/>
    <cellStyle name="40% - Accent4 42 2 6" xfId="15587" xr:uid="{00000000-0005-0000-0000-0000AA380000}"/>
    <cellStyle name="40% - Accent4 42 3" xfId="11278" xr:uid="{00000000-0005-0000-0000-0000AB380000}"/>
    <cellStyle name="40% - Accent4 42 3 2" xfId="22566" xr:uid="{00000000-0005-0000-0000-0000AC380000}"/>
    <cellStyle name="40% - Accent4 42 4" xfId="9284" xr:uid="{00000000-0005-0000-0000-0000AD380000}"/>
    <cellStyle name="40% - Accent4 42 4 2" xfId="20572" xr:uid="{00000000-0005-0000-0000-0000AE380000}"/>
    <cellStyle name="40% - Accent4 42 5" xfId="7290" xr:uid="{00000000-0005-0000-0000-0000AF380000}"/>
    <cellStyle name="40% - Accent4 42 5 2" xfId="18578" xr:uid="{00000000-0005-0000-0000-0000B0380000}"/>
    <cellStyle name="40% - Accent4 42 6" xfId="5296" xr:uid="{00000000-0005-0000-0000-0000B1380000}"/>
    <cellStyle name="40% - Accent4 42 6 2" xfId="16584" xr:uid="{00000000-0005-0000-0000-0000B2380000}"/>
    <cellStyle name="40% - Accent4 42 7" xfId="14590" xr:uid="{00000000-0005-0000-0000-0000B3380000}"/>
    <cellStyle name="40% - Accent4 42 8" xfId="13276" xr:uid="{00000000-0005-0000-0000-0000B4380000}"/>
    <cellStyle name="40% - Accent4 43" xfId="1341" xr:uid="{00000000-0005-0000-0000-0000B5380000}"/>
    <cellStyle name="40% - Accent4 43 2" xfId="4297" xr:uid="{00000000-0005-0000-0000-0000B6380000}"/>
    <cellStyle name="40% - Accent4 43 2 2" xfId="12276" xr:uid="{00000000-0005-0000-0000-0000B7380000}"/>
    <cellStyle name="40% - Accent4 43 2 2 2" xfId="23564" xr:uid="{00000000-0005-0000-0000-0000B8380000}"/>
    <cellStyle name="40% - Accent4 43 2 3" xfId="10282" xr:uid="{00000000-0005-0000-0000-0000B9380000}"/>
    <cellStyle name="40% - Accent4 43 2 3 2" xfId="21570" xr:uid="{00000000-0005-0000-0000-0000BA380000}"/>
    <cellStyle name="40% - Accent4 43 2 4" xfId="8288" xr:uid="{00000000-0005-0000-0000-0000BB380000}"/>
    <cellStyle name="40% - Accent4 43 2 4 2" xfId="19576" xr:uid="{00000000-0005-0000-0000-0000BC380000}"/>
    <cellStyle name="40% - Accent4 43 2 5" xfId="6294" xr:uid="{00000000-0005-0000-0000-0000BD380000}"/>
    <cellStyle name="40% - Accent4 43 2 5 2" xfId="17582" xr:uid="{00000000-0005-0000-0000-0000BE380000}"/>
    <cellStyle name="40% - Accent4 43 2 6" xfId="15588" xr:uid="{00000000-0005-0000-0000-0000BF380000}"/>
    <cellStyle name="40% - Accent4 43 3" xfId="11279" xr:uid="{00000000-0005-0000-0000-0000C0380000}"/>
    <cellStyle name="40% - Accent4 43 3 2" xfId="22567" xr:uid="{00000000-0005-0000-0000-0000C1380000}"/>
    <cellStyle name="40% - Accent4 43 4" xfId="9285" xr:uid="{00000000-0005-0000-0000-0000C2380000}"/>
    <cellStyle name="40% - Accent4 43 4 2" xfId="20573" xr:uid="{00000000-0005-0000-0000-0000C3380000}"/>
    <cellStyle name="40% - Accent4 43 5" xfId="7291" xr:uid="{00000000-0005-0000-0000-0000C4380000}"/>
    <cellStyle name="40% - Accent4 43 5 2" xfId="18579" xr:uid="{00000000-0005-0000-0000-0000C5380000}"/>
    <cellStyle name="40% - Accent4 43 6" xfId="5297" xr:uid="{00000000-0005-0000-0000-0000C6380000}"/>
    <cellStyle name="40% - Accent4 43 6 2" xfId="16585" xr:uid="{00000000-0005-0000-0000-0000C7380000}"/>
    <cellStyle name="40% - Accent4 43 7" xfId="14591" xr:uid="{00000000-0005-0000-0000-0000C8380000}"/>
    <cellStyle name="40% - Accent4 43 8" xfId="13277" xr:uid="{00000000-0005-0000-0000-0000C9380000}"/>
    <cellStyle name="40% - Accent4 44" xfId="1342" xr:uid="{00000000-0005-0000-0000-0000CA380000}"/>
    <cellStyle name="40% - Accent4 44 2" xfId="4298" xr:uid="{00000000-0005-0000-0000-0000CB380000}"/>
    <cellStyle name="40% - Accent4 44 2 2" xfId="12277" xr:uid="{00000000-0005-0000-0000-0000CC380000}"/>
    <cellStyle name="40% - Accent4 44 2 2 2" xfId="23565" xr:uid="{00000000-0005-0000-0000-0000CD380000}"/>
    <cellStyle name="40% - Accent4 44 2 3" xfId="10283" xr:uid="{00000000-0005-0000-0000-0000CE380000}"/>
    <cellStyle name="40% - Accent4 44 2 3 2" xfId="21571" xr:uid="{00000000-0005-0000-0000-0000CF380000}"/>
    <cellStyle name="40% - Accent4 44 2 4" xfId="8289" xr:uid="{00000000-0005-0000-0000-0000D0380000}"/>
    <cellStyle name="40% - Accent4 44 2 4 2" xfId="19577" xr:uid="{00000000-0005-0000-0000-0000D1380000}"/>
    <cellStyle name="40% - Accent4 44 2 5" xfId="6295" xr:uid="{00000000-0005-0000-0000-0000D2380000}"/>
    <cellStyle name="40% - Accent4 44 2 5 2" xfId="17583" xr:uid="{00000000-0005-0000-0000-0000D3380000}"/>
    <cellStyle name="40% - Accent4 44 2 6" xfId="15589" xr:uid="{00000000-0005-0000-0000-0000D4380000}"/>
    <cellStyle name="40% - Accent4 44 3" xfId="11280" xr:uid="{00000000-0005-0000-0000-0000D5380000}"/>
    <cellStyle name="40% - Accent4 44 3 2" xfId="22568" xr:uid="{00000000-0005-0000-0000-0000D6380000}"/>
    <cellStyle name="40% - Accent4 44 4" xfId="9286" xr:uid="{00000000-0005-0000-0000-0000D7380000}"/>
    <cellStyle name="40% - Accent4 44 4 2" xfId="20574" xr:uid="{00000000-0005-0000-0000-0000D8380000}"/>
    <cellStyle name="40% - Accent4 44 5" xfId="7292" xr:uid="{00000000-0005-0000-0000-0000D9380000}"/>
    <cellStyle name="40% - Accent4 44 5 2" xfId="18580" xr:uid="{00000000-0005-0000-0000-0000DA380000}"/>
    <cellStyle name="40% - Accent4 44 6" xfId="5298" xr:uid="{00000000-0005-0000-0000-0000DB380000}"/>
    <cellStyle name="40% - Accent4 44 6 2" xfId="16586" xr:uid="{00000000-0005-0000-0000-0000DC380000}"/>
    <cellStyle name="40% - Accent4 44 7" xfId="14592" xr:uid="{00000000-0005-0000-0000-0000DD380000}"/>
    <cellStyle name="40% - Accent4 44 8" xfId="13278" xr:uid="{00000000-0005-0000-0000-0000DE380000}"/>
    <cellStyle name="40% - Accent4 45" xfId="1343" xr:uid="{00000000-0005-0000-0000-0000DF380000}"/>
    <cellStyle name="40% - Accent4 45 2" xfId="4299" xr:uid="{00000000-0005-0000-0000-0000E0380000}"/>
    <cellStyle name="40% - Accent4 45 2 2" xfId="12278" xr:uid="{00000000-0005-0000-0000-0000E1380000}"/>
    <cellStyle name="40% - Accent4 45 2 2 2" xfId="23566" xr:uid="{00000000-0005-0000-0000-0000E2380000}"/>
    <cellStyle name="40% - Accent4 45 2 3" xfId="10284" xr:uid="{00000000-0005-0000-0000-0000E3380000}"/>
    <cellStyle name="40% - Accent4 45 2 3 2" xfId="21572" xr:uid="{00000000-0005-0000-0000-0000E4380000}"/>
    <cellStyle name="40% - Accent4 45 2 4" xfId="8290" xr:uid="{00000000-0005-0000-0000-0000E5380000}"/>
    <cellStyle name="40% - Accent4 45 2 4 2" xfId="19578" xr:uid="{00000000-0005-0000-0000-0000E6380000}"/>
    <cellStyle name="40% - Accent4 45 2 5" xfId="6296" xr:uid="{00000000-0005-0000-0000-0000E7380000}"/>
    <cellStyle name="40% - Accent4 45 2 5 2" xfId="17584" xr:uid="{00000000-0005-0000-0000-0000E8380000}"/>
    <cellStyle name="40% - Accent4 45 2 6" xfId="15590" xr:uid="{00000000-0005-0000-0000-0000E9380000}"/>
    <cellStyle name="40% - Accent4 45 3" xfId="11281" xr:uid="{00000000-0005-0000-0000-0000EA380000}"/>
    <cellStyle name="40% - Accent4 45 3 2" xfId="22569" xr:uid="{00000000-0005-0000-0000-0000EB380000}"/>
    <cellStyle name="40% - Accent4 45 4" xfId="9287" xr:uid="{00000000-0005-0000-0000-0000EC380000}"/>
    <cellStyle name="40% - Accent4 45 4 2" xfId="20575" xr:uid="{00000000-0005-0000-0000-0000ED380000}"/>
    <cellStyle name="40% - Accent4 45 5" xfId="7293" xr:uid="{00000000-0005-0000-0000-0000EE380000}"/>
    <cellStyle name="40% - Accent4 45 5 2" xfId="18581" xr:uid="{00000000-0005-0000-0000-0000EF380000}"/>
    <cellStyle name="40% - Accent4 45 6" xfId="5299" xr:uid="{00000000-0005-0000-0000-0000F0380000}"/>
    <cellStyle name="40% - Accent4 45 6 2" xfId="16587" xr:uid="{00000000-0005-0000-0000-0000F1380000}"/>
    <cellStyle name="40% - Accent4 45 7" xfId="14593" xr:uid="{00000000-0005-0000-0000-0000F2380000}"/>
    <cellStyle name="40% - Accent4 45 8" xfId="13279" xr:uid="{00000000-0005-0000-0000-0000F3380000}"/>
    <cellStyle name="40% - Accent4 46" xfId="1344" xr:uid="{00000000-0005-0000-0000-0000F4380000}"/>
    <cellStyle name="40% - Accent4 46 2" xfId="4300" xr:uid="{00000000-0005-0000-0000-0000F5380000}"/>
    <cellStyle name="40% - Accent4 46 2 2" xfId="12279" xr:uid="{00000000-0005-0000-0000-0000F6380000}"/>
    <cellStyle name="40% - Accent4 46 2 2 2" xfId="23567" xr:uid="{00000000-0005-0000-0000-0000F7380000}"/>
    <cellStyle name="40% - Accent4 46 2 3" xfId="10285" xr:uid="{00000000-0005-0000-0000-0000F8380000}"/>
    <cellStyle name="40% - Accent4 46 2 3 2" xfId="21573" xr:uid="{00000000-0005-0000-0000-0000F9380000}"/>
    <cellStyle name="40% - Accent4 46 2 4" xfId="8291" xr:uid="{00000000-0005-0000-0000-0000FA380000}"/>
    <cellStyle name="40% - Accent4 46 2 4 2" xfId="19579" xr:uid="{00000000-0005-0000-0000-0000FB380000}"/>
    <cellStyle name="40% - Accent4 46 2 5" xfId="6297" xr:uid="{00000000-0005-0000-0000-0000FC380000}"/>
    <cellStyle name="40% - Accent4 46 2 5 2" xfId="17585" xr:uid="{00000000-0005-0000-0000-0000FD380000}"/>
    <cellStyle name="40% - Accent4 46 2 6" xfId="15591" xr:uid="{00000000-0005-0000-0000-0000FE380000}"/>
    <cellStyle name="40% - Accent4 46 3" xfId="11282" xr:uid="{00000000-0005-0000-0000-0000FF380000}"/>
    <cellStyle name="40% - Accent4 46 3 2" xfId="22570" xr:uid="{00000000-0005-0000-0000-000000390000}"/>
    <cellStyle name="40% - Accent4 46 4" xfId="9288" xr:uid="{00000000-0005-0000-0000-000001390000}"/>
    <cellStyle name="40% - Accent4 46 4 2" xfId="20576" xr:uid="{00000000-0005-0000-0000-000002390000}"/>
    <cellStyle name="40% - Accent4 46 5" xfId="7294" xr:uid="{00000000-0005-0000-0000-000003390000}"/>
    <cellStyle name="40% - Accent4 46 5 2" xfId="18582" xr:uid="{00000000-0005-0000-0000-000004390000}"/>
    <cellStyle name="40% - Accent4 46 6" xfId="5300" xr:uid="{00000000-0005-0000-0000-000005390000}"/>
    <cellStyle name="40% - Accent4 46 6 2" xfId="16588" xr:uid="{00000000-0005-0000-0000-000006390000}"/>
    <cellStyle name="40% - Accent4 46 7" xfId="14594" xr:uid="{00000000-0005-0000-0000-000007390000}"/>
    <cellStyle name="40% - Accent4 46 8" xfId="13280" xr:uid="{00000000-0005-0000-0000-000008390000}"/>
    <cellStyle name="40% - Accent4 47" xfId="1345" xr:uid="{00000000-0005-0000-0000-000009390000}"/>
    <cellStyle name="40% - Accent4 47 2" xfId="4301" xr:uid="{00000000-0005-0000-0000-00000A390000}"/>
    <cellStyle name="40% - Accent4 47 2 2" xfId="12280" xr:uid="{00000000-0005-0000-0000-00000B390000}"/>
    <cellStyle name="40% - Accent4 47 2 2 2" xfId="23568" xr:uid="{00000000-0005-0000-0000-00000C390000}"/>
    <cellStyle name="40% - Accent4 47 2 3" xfId="10286" xr:uid="{00000000-0005-0000-0000-00000D390000}"/>
    <cellStyle name="40% - Accent4 47 2 3 2" xfId="21574" xr:uid="{00000000-0005-0000-0000-00000E390000}"/>
    <cellStyle name="40% - Accent4 47 2 4" xfId="8292" xr:uid="{00000000-0005-0000-0000-00000F390000}"/>
    <cellStyle name="40% - Accent4 47 2 4 2" xfId="19580" xr:uid="{00000000-0005-0000-0000-000010390000}"/>
    <cellStyle name="40% - Accent4 47 2 5" xfId="6298" xr:uid="{00000000-0005-0000-0000-000011390000}"/>
    <cellStyle name="40% - Accent4 47 2 5 2" xfId="17586" xr:uid="{00000000-0005-0000-0000-000012390000}"/>
    <cellStyle name="40% - Accent4 47 2 6" xfId="15592" xr:uid="{00000000-0005-0000-0000-000013390000}"/>
    <cellStyle name="40% - Accent4 47 3" xfId="11283" xr:uid="{00000000-0005-0000-0000-000014390000}"/>
    <cellStyle name="40% - Accent4 47 3 2" xfId="22571" xr:uid="{00000000-0005-0000-0000-000015390000}"/>
    <cellStyle name="40% - Accent4 47 4" xfId="9289" xr:uid="{00000000-0005-0000-0000-000016390000}"/>
    <cellStyle name="40% - Accent4 47 4 2" xfId="20577" xr:uid="{00000000-0005-0000-0000-000017390000}"/>
    <cellStyle name="40% - Accent4 47 5" xfId="7295" xr:uid="{00000000-0005-0000-0000-000018390000}"/>
    <cellStyle name="40% - Accent4 47 5 2" xfId="18583" xr:uid="{00000000-0005-0000-0000-000019390000}"/>
    <cellStyle name="40% - Accent4 47 6" xfId="5301" xr:uid="{00000000-0005-0000-0000-00001A390000}"/>
    <cellStyle name="40% - Accent4 47 6 2" xfId="16589" xr:uid="{00000000-0005-0000-0000-00001B390000}"/>
    <cellStyle name="40% - Accent4 47 7" xfId="14595" xr:uid="{00000000-0005-0000-0000-00001C390000}"/>
    <cellStyle name="40% - Accent4 47 8" xfId="13281" xr:uid="{00000000-0005-0000-0000-00001D390000}"/>
    <cellStyle name="40% - Accent4 48" xfId="1346" xr:uid="{00000000-0005-0000-0000-00001E390000}"/>
    <cellStyle name="40% - Accent4 48 2" xfId="4302" xr:uid="{00000000-0005-0000-0000-00001F390000}"/>
    <cellStyle name="40% - Accent4 48 2 2" xfId="12281" xr:uid="{00000000-0005-0000-0000-000020390000}"/>
    <cellStyle name="40% - Accent4 48 2 2 2" xfId="23569" xr:uid="{00000000-0005-0000-0000-000021390000}"/>
    <cellStyle name="40% - Accent4 48 2 3" xfId="10287" xr:uid="{00000000-0005-0000-0000-000022390000}"/>
    <cellStyle name="40% - Accent4 48 2 3 2" xfId="21575" xr:uid="{00000000-0005-0000-0000-000023390000}"/>
    <cellStyle name="40% - Accent4 48 2 4" xfId="8293" xr:uid="{00000000-0005-0000-0000-000024390000}"/>
    <cellStyle name="40% - Accent4 48 2 4 2" xfId="19581" xr:uid="{00000000-0005-0000-0000-000025390000}"/>
    <cellStyle name="40% - Accent4 48 2 5" xfId="6299" xr:uid="{00000000-0005-0000-0000-000026390000}"/>
    <cellStyle name="40% - Accent4 48 2 5 2" xfId="17587" xr:uid="{00000000-0005-0000-0000-000027390000}"/>
    <cellStyle name="40% - Accent4 48 2 6" xfId="15593" xr:uid="{00000000-0005-0000-0000-000028390000}"/>
    <cellStyle name="40% - Accent4 48 3" xfId="11284" xr:uid="{00000000-0005-0000-0000-000029390000}"/>
    <cellStyle name="40% - Accent4 48 3 2" xfId="22572" xr:uid="{00000000-0005-0000-0000-00002A390000}"/>
    <cellStyle name="40% - Accent4 48 4" xfId="9290" xr:uid="{00000000-0005-0000-0000-00002B390000}"/>
    <cellStyle name="40% - Accent4 48 4 2" xfId="20578" xr:uid="{00000000-0005-0000-0000-00002C390000}"/>
    <cellStyle name="40% - Accent4 48 5" xfId="7296" xr:uid="{00000000-0005-0000-0000-00002D390000}"/>
    <cellStyle name="40% - Accent4 48 5 2" xfId="18584" xr:uid="{00000000-0005-0000-0000-00002E390000}"/>
    <cellStyle name="40% - Accent4 48 6" xfId="5302" xr:uid="{00000000-0005-0000-0000-00002F390000}"/>
    <cellStyle name="40% - Accent4 48 6 2" xfId="16590" xr:uid="{00000000-0005-0000-0000-000030390000}"/>
    <cellStyle name="40% - Accent4 48 7" xfId="14596" xr:uid="{00000000-0005-0000-0000-000031390000}"/>
    <cellStyle name="40% - Accent4 48 8" xfId="13282" xr:uid="{00000000-0005-0000-0000-000032390000}"/>
    <cellStyle name="40% - Accent4 49" xfId="1347" xr:uid="{00000000-0005-0000-0000-000033390000}"/>
    <cellStyle name="40% - Accent4 49 2" xfId="4303" xr:uid="{00000000-0005-0000-0000-000034390000}"/>
    <cellStyle name="40% - Accent4 49 2 2" xfId="12282" xr:uid="{00000000-0005-0000-0000-000035390000}"/>
    <cellStyle name="40% - Accent4 49 2 2 2" xfId="23570" xr:uid="{00000000-0005-0000-0000-000036390000}"/>
    <cellStyle name="40% - Accent4 49 2 3" xfId="10288" xr:uid="{00000000-0005-0000-0000-000037390000}"/>
    <cellStyle name="40% - Accent4 49 2 3 2" xfId="21576" xr:uid="{00000000-0005-0000-0000-000038390000}"/>
    <cellStyle name="40% - Accent4 49 2 4" xfId="8294" xr:uid="{00000000-0005-0000-0000-000039390000}"/>
    <cellStyle name="40% - Accent4 49 2 4 2" xfId="19582" xr:uid="{00000000-0005-0000-0000-00003A390000}"/>
    <cellStyle name="40% - Accent4 49 2 5" xfId="6300" xr:uid="{00000000-0005-0000-0000-00003B390000}"/>
    <cellStyle name="40% - Accent4 49 2 5 2" xfId="17588" xr:uid="{00000000-0005-0000-0000-00003C390000}"/>
    <cellStyle name="40% - Accent4 49 2 6" xfId="15594" xr:uid="{00000000-0005-0000-0000-00003D390000}"/>
    <cellStyle name="40% - Accent4 49 3" xfId="11285" xr:uid="{00000000-0005-0000-0000-00003E390000}"/>
    <cellStyle name="40% - Accent4 49 3 2" xfId="22573" xr:uid="{00000000-0005-0000-0000-00003F390000}"/>
    <cellStyle name="40% - Accent4 49 4" xfId="9291" xr:uid="{00000000-0005-0000-0000-000040390000}"/>
    <cellStyle name="40% - Accent4 49 4 2" xfId="20579" xr:uid="{00000000-0005-0000-0000-000041390000}"/>
    <cellStyle name="40% - Accent4 49 5" xfId="7297" xr:uid="{00000000-0005-0000-0000-000042390000}"/>
    <cellStyle name="40% - Accent4 49 5 2" xfId="18585" xr:uid="{00000000-0005-0000-0000-000043390000}"/>
    <cellStyle name="40% - Accent4 49 6" xfId="5303" xr:uid="{00000000-0005-0000-0000-000044390000}"/>
    <cellStyle name="40% - Accent4 49 6 2" xfId="16591" xr:uid="{00000000-0005-0000-0000-000045390000}"/>
    <cellStyle name="40% - Accent4 49 7" xfId="14597" xr:uid="{00000000-0005-0000-0000-000046390000}"/>
    <cellStyle name="40% - Accent4 49 8" xfId="13283" xr:uid="{00000000-0005-0000-0000-000047390000}"/>
    <cellStyle name="40% - Accent4 5" xfId="1348" xr:uid="{00000000-0005-0000-0000-000048390000}"/>
    <cellStyle name="40% - Accent4 5 10" xfId="24616" xr:uid="{00000000-0005-0000-0000-000049390000}"/>
    <cellStyle name="40% - Accent4 5 11" xfId="25006" xr:uid="{00000000-0005-0000-0000-00004A390000}"/>
    <cellStyle name="40% - Accent4 5 2" xfId="4304" xr:uid="{00000000-0005-0000-0000-00004B390000}"/>
    <cellStyle name="40% - Accent4 5 2 2" xfId="12283" xr:uid="{00000000-0005-0000-0000-00004C390000}"/>
    <cellStyle name="40% - Accent4 5 2 2 2" xfId="23571" xr:uid="{00000000-0005-0000-0000-00004D390000}"/>
    <cellStyle name="40% - Accent4 5 2 3" xfId="10289" xr:uid="{00000000-0005-0000-0000-00004E390000}"/>
    <cellStyle name="40% - Accent4 5 2 3 2" xfId="21577" xr:uid="{00000000-0005-0000-0000-00004F390000}"/>
    <cellStyle name="40% - Accent4 5 2 4" xfId="8295" xr:uid="{00000000-0005-0000-0000-000050390000}"/>
    <cellStyle name="40% - Accent4 5 2 4 2" xfId="19583" xr:uid="{00000000-0005-0000-0000-000051390000}"/>
    <cellStyle name="40% - Accent4 5 2 5" xfId="6301" xr:uid="{00000000-0005-0000-0000-000052390000}"/>
    <cellStyle name="40% - Accent4 5 2 5 2" xfId="17589" xr:uid="{00000000-0005-0000-0000-000053390000}"/>
    <cellStyle name="40% - Accent4 5 2 6" xfId="15595" xr:uid="{00000000-0005-0000-0000-000054390000}"/>
    <cellStyle name="40% - Accent4 5 2 7" xfId="24377" xr:uid="{00000000-0005-0000-0000-000055390000}"/>
    <cellStyle name="40% - Accent4 5 2 8" xfId="24841" xr:uid="{00000000-0005-0000-0000-000056390000}"/>
    <cellStyle name="40% - Accent4 5 2 9" xfId="25208" xr:uid="{00000000-0005-0000-0000-000057390000}"/>
    <cellStyle name="40% - Accent4 5 3" xfId="11286" xr:uid="{00000000-0005-0000-0000-000058390000}"/>
    <cellStyle name="40% - Accent4 5 3 2" xfId="22574" xr:uid="{00000000-0005-0000-0000-000059390000}"/>
    <cellStyle name="40% - Accent4 5 4" xfId="9292" xr:uid="{00000000-0005-0000-0000-00005A390000}"/>
    <cellStyle name="40% - Accent4 5 4 2" xfId="20580" xr:uid="{00000000-0005-0000-0000-00005B390000}"/>
    <cellStyle name="40% - Accent4 5 5" xfId="7298" xr:uid="{00000000-0005-0000-0000-00005C390000}"/>
    <cellStyle name="40% - Accent4 5 5 2" xfId="18586" xr:uid="{00000000-0005-0000-0000-00005D390000}"/>
    <cellStyle name="40% - Accent4 5 6" xfId="5304" xr:uid="{00000000-0005-0000-0000-00005E390000}"/>
    <cellStyle name="40% - Accent4 5 6 2" xfId="16592" xr:uid="{00000000-0005-0000-0000-00005F390000}"/>
    <cellStyle name="40% - Accent4 5 7" xfId="14598" xr:uid="{00000000-0005-0000-0000-000060390000}"/>
    <cellStyle name="40% - Accent4 5 8" xfId="13284" xr:uid="{00000000-0005-0000-0000-000061390000}"/>
    <cellStyle name="40% - Accent4 5 9" xfId="23989" xr:uid="{00000000-0005-0000-0000-000062390000}"/>
    <cellStyle name="40% - Accent4 50" xfId="1349" xr:uid="{00000000-0005-0000-0000-000063390000}"/>
    <cellStyle name="40% - Accent4 50 2" xfId="4305" xr:uid="{00000000-0005-0000-0000-000064390000}"/>
    <cellStyle name="40% - Accent4 50 2 2" xfId="12284" xr:uid="{00000000-0005-0000-0000-000065390000}"/>
    <cellStyle name="40% - Accent4 50 2 2 2" xfId="23572" xr:uid="{00000000-0005-0000-0000-000066390000}"/>
    <cellStyle name="40% - Accent4 50 2 3" xfId="10290" xr:uid="{00000000-0005-0000-0000-000067390000}"/>
    <cellStyle name="40% - Accent4 50 2 3 2" xfId="21578" xr:uid="{00000000-0005-0000-0000-000068390000}"/>
    <cellStyle name="40% - Accent4 50 2 4" xfId="8296" xr:uid="{00000000-0005-0000-0000-000069390000}"/>
    <cellStyle name="40% - Accent4 50 2 4 2" xfId="19584" xr:uid="{00000000-0005-0000-0000-00006A390000}"/>
    <cellStyle name="40% - Accent4 50 2 5" xfId="6302" xr:uid="{00000000-0005-0000-0000-00006B390000}"/>
    <cellStyle name="40% - Accent4 50 2 5 2" xfId="17590" xr:uid="{00000000-0005-0000-0000-00006C390000}"/>
    <cellStyle name="40% - Accent4 50 2 6" xfId="15596" xr:uid="{00000000-0005-0000-0000-00006D390000}"/>
    <cellStyle name="40% - Accent4 50 3" xfId="11287" xr:uid="{00000000-0005-0000-0000-00006E390000}"/>
    <cellStyle name="40% - Accent4 50 3 2" xfId="22575" xr:uid="{00000000-0005-0000-0000-00006F390000}"/>
    <cellStyle name="40% - Accent4 50 4" xfId="9293" xr:uid="{00000000-0005-0000-0000-000070390000}"/>
    <cellStyle name="40% - Accent4 50 4 2" xfId="20581" xr:uid="{00000000-0005-0000-0000-000071390000}"/>
    <cellStyle name="40% - Accent4 50 5" xfId="7299" xr:uid="{00000000-0005-0000-0000-000072390000}"/>
    <cellStyle name="40% - Accent4 50 5 2" xfId="18587" xr:uid="{00000000-0005-0000-0000-000073390000}"/>
    <cellStyle name="40% - Accent4 50 6" xfId="5305" xr:uid="{00000000-0005-0000-0000-000074390000}"/>
    <cellStyle name="40% - Accent4 50 6 2" xfId="16593" xr:uid="{00000000-0005-0000-0000-000075390000}"/>
    <cellStyle name="40% - Accent4 50 7" xfId="14599" xr:uid="{00000000-0005-0000-0000-000076390000}"/>
    <cellStyle name="40% - Accent4 50 8" xfId="13285" xr:uid="{00000000-0005-0000-0000-000077390000}"/>
    <cellStyle name="40% - Accent4 51" xfId="1350" xr:uid="{00000000-0005-0000-0000-000078390000}"/>
    <cellStyle name="40% - Accent4 51 2" xfId="4306" xr:uid="{00000000-0005-0000-0000-000079390000}"/>
    <cellStyle name="40% - Accent4 51 2 2" xfId="12285" xr:uid="{00000000-0005-0000-0000-00007A390000}"/>
    <cellStyle name="40% - Accent4 51 2 2 2" xfId="23573" xr:uid="{00000000-0005-0000-0000-00007B390000}"/>
    <cellStyle name="40% - Accent4 51 2 3" xfId="10291" xr:uid="{00000000-0005-0000-0000-00007C390000}"/>
    <cellStyle name="40% - Accent4 51 2 3 2" xfId="21579" xr:uid="{00000000-0005-0000-0000-00007D390000}"/>
    <cellStyle name="40% - Accent4 51 2 4" xfId="8297" xr:uid="{00000000-0005-0000-0000-00007E390000}"/>
    <cellStyle name="40% - Accent4 51 2 4 2" xfId="19585" xr:uid="{00000000-0005-0000-0000-00007F390000}"/>
    <cellStyle name="40% - Accent4 51 2 5" xfId="6303" xr:uid="{00000000-0005-0000-0000-000080390000}"/>
    <cellStyle name="40% - Accent4 51 2 5 2" xfId="17591" xr:uid="{00000000-0005-0000-0000-000081390000}"/>
    <cellStyle name="40% - Accent4 51 2 6" xfId="15597" xr:uid="{00000000-0005-0000-0000-000082390000}"/>
    <cellStyle name="40% - Accent4 51 3" xfId="11288" xr:uid="{00000000-0005-0000-0000-000083390000}"/>
    <cellStyle name="40% - Accent4 51 3 2" xfId="22576" xr:uid="{00000000-0005-0000-0000-000084390000}"/>
    <cellStyle name="40% - Accent4 51 4" xfId="9294" xr:uid="{00000000-0005-0000-0000-000085390000}"/>
    <cellStyle name="40% - Accent4 51 4 2" xfId="20582" xr:uid="{00000000-0005-0000-0000-000086390000}"/>
    <cellStyle name="40% - Accent4 51 5" xfId="7300" xr:uid="{00000000-0005-0000-0000-000087390000}"/>
    <cellStyle name="40% - Accent4 51 5 2" xfId="18588" xr:uid="{00000000-0005-0000-0000-000088390000}"/>
    <cellStyle name="40% - Accent4 51 6" xfId="5306" xr:uid="{00000000-0005-0000-0000-000089390000}"/>
    <cellStyle name="40% - Accent4 51 6 2" xfId="16594" xr:uid="{00000000-0005-0000-0000-00008A390000}"/>
    <cellStyle name="40% - Accent4 51 7" xfId="14600" xr:uid="{00000000-0005-0000-0000-00008B390000}"/>
    <cellStyle name="40% - Accent4 51 8" xfId="13286" xr:uid="{00000000-0005-0000-0000-00008C390000}"/>
    <cellStyle name="40% - Accent4 52" xfId="1351" xr:uid="{00000000-0005-0000-0000-00008D390000}"/>
    <cellStyle name="40% - Accent4 52 2" xfId="4307" xr:uid="{00000000-0005-0000-0000-00008E390000}"/>
    <cellStyle name="40% - Accent4 52 2 2" xfId="12286" xr:uid="{00000000-0005-0000-0000-00008F390000}"/>
    <cellStyle name="40% - Accent4 52 2 2 2" xfId="23574" xr:uid="{00000000-0005-0000-0000-000090390000}"/>
    <cellStyle name="40% - Accent4 52 2 3" xfId="10292" xr:uid="{00000000-0005-0000-0000-000091390000}"/>
    <cellStyle name="40% - Accent4 52 2 3 2" xfId="21580" xr:uid="{00000000-0005-0000-0000-000092390000}"/>
    <cellStyle name="40% - Accent4 52 2 4" xfId="8298" xr:uid="{00000000-0005-0000-0000-000093390000}"/>
    <cellStyle name="40% - Accent4 52 2 4 2" xfId="19586" xr:uid="{00000000-0005-0000-0000-000094390000}"/>
    <cellStyle name="40% - Accent4 52 2 5" xfId="6304" xr:uid="{00000000-0005-0000-0000-000095390000}"/>
    <cellStyle name="40% - Accent4 52 2 5 2" xfId="17592" xr:uid="{00000000-0005-0000-0000-000096390000}"/>
    <cellStyle name="40% - Accent4 52 2 6" xfId="15598" xr:uid="{00000000-0005-0000-0000-000097390000}"/>
    <cellStyle name="40% - Accent4 52 3" xfId="11289" xr:uid="{00000000-0005-0000-0000-000098390000}"/>
    <cellStyle name="40% - Accent4 52 3 2" xfId="22577" xr:uid="{00000000-0005-0000-0000-000099390000}"/>
    <cellStyle name="40% - Accent4 52 4" xfId="9295" xr:uid="{00000000-0005-0000-0000-00009A390000}"/>
    <cellStyle name="40% - Accent4 52 4 2" xfId="20583" xr:uid="{00000000-0005-0000-0000-00009B390000}"/>
    <cellStyle name="40% - Accent4 52 5" xfId="7301" xr:uid="{00000000-0005-0000-0000-00009C390000}"/>
    <cellStyle name="40% - Accent4 52 5 2" xfId="18589" xr:uid="{00000000-0005-0000-0000-00009D390000}"/>
    <cellStyle name="40% - Accent4 52 6" xfId="5307" xr:uid="{00000000-0005-0000-0000-00009E390000}"/>
    <cellStyle name="40% - Accent4 52 6 2" xfId="16595" xr:uid="{00000000-0005-0000-0000-00009F390000}"/>
    <cellStyle name="40% - Accent4 52 7" xfId="14601" xr:uid="{00000000-0005-0000-0000-0000A0390000}"/>
    <cellStyle name="40% - Accent4 52 8" xfId="13287" xr:uid="{00000000-0005-0000-0000-0000A1390000}"/>
    <cellStyle name="40% - Accent4 53" xfId="1352" xr:uid="{00000000-0005-0000-0000-0000A2390000}"/>
    <cellStyle name="40% - Accent4 53 2" xfId="4308" xr:uid="{00000000-0005-0000-0000-0000A3390000}"/>
    <cellStyle name="40% - Accent4 53 2 2" xfId="12287" xr:uid="{00000000-0005-0000-0000-0000A4390000}"/>
    <cellStyle name="40% - Accent4 53 2 2 2" xfId="23575" xr:uid="{00000000-0005-0000-0000-0000A5390000}"/>
    <cellStyle name="40% - Accent4 53 2 3" xfId="10293" xr:uid="{00000000-0005-0000-0000-0000A6390000}"/>
    <cellStyle name="40% - Accent4 53 2 3 2" xfId="21581" xr:uid="{00000000-0005-0000-0000-0000A7390000}"/>
    <cellStyle name="40% - Accent4 53 2 4" xfId="8299" xr:uid="{00000000-0005-0000-0000-0000A8390000}"/>
    <cellStyle name="40% - Accent4 53 2 4 2" xfId="19587" xr:uid="{00000000-0005-0000-0000-0000A9390000}"/>
    <cellStyle name="40% - Accent4 53 2 5" xfId="6305" xr:uid="{00000000-0005-0000-0000-0000AA390000}"/>
    <cellStyle name="40% - Accent4 53 2 5 2" xfId="17593" xr:uid="{00000000-0005-0000-0000-0000AB390000}"/>
    <cellStyle name="40% - Accent4 53 2 6" xfId="15599" xr:uid="{00000000-0005-0000-0000-0000AC390000}"/>
    <cellStyle name="40% - Accent4 53 3" xfId="11290" xr:uid="{00000000-0005-0000-0000-0000AD390000}"/>
    <cellStyle name="40% - Accent4 53 3 2" xfId="22578" xr:uid="{00000000-0005-0000-0000-0000AE390000}"/>
    <cellStyle name="40% - Accent4 53 4" xfId="9296" xr:uid="{00000000-0005-0000-0000-0000AF390000}"/>
    <cellStyle name="40% - Accent4 53 4 2" xfId="20584" xr:uid="{00000000-0005-0000-0000-0000B0390000}"/>
    <cellStyle name="40% - Accent4 53 5" xfId="7302" xr:uid="{00000000-0005-0000-0000-0000B1390000}"/>
    <cellStyle name="40% - Accent4 53 5 2" xfId="18590" xr:uid="{00000000-0005-0000-0000-0000B2390000}"/>
    <cellStyle name="40% - Accent4 53 6" xfId="5308" xr:uid="{00000000-0005-0000-0000-0000B3390000}"/>
    <cellStyle name="40% - Accent4 53 6 2" xfId="16596" xr:uid="{00000000-0005-0000-0000-0000B4390000}"/>
    <cellStyle name="40% - Accent4 53 7" xfId="14602" xr:uid="{00000000-0005-0000-0000-0000B5390000}"/>
    <cellStyle name="40% - Accent4 53 8" xfId="13288" xr:uid="{00000000-0005-0000-0000-0000B6390000}"/>
    <cellStyle name="40% - Accent4 54" xfId="1353" xr:uid="{00000000-0005-0000-0000-0000B7390000}"/>
    <cellStyle name="40% - Accent4 54 2" xfId="4309" xr:uid="{00000000-0005-0000-0000-0000B8390000}"/>
    <cellStyle name="40% - Accent4 54 2 2" xfId="12288" xr:uid="{00000000-0005-0000-0000-0000B9390000}"/>
    <cellStyle name="40% - Accent4 54 2 2 2" xfId="23576" xr:uid="{00000000-0005-0000-0000-0000BA390000}"/>
    <cellStyle name="40% - Accent4 54 2 3" xfId="10294" xr:uid="{00000000-0005-0000-0000-0000BB390000}"/>
    <cellStyle name="40% - Accent4 54 2 3 2" xfId="21582" xr:uid="{00000000-0005-0000-0000-0000BC390000}"/>
    <cellStyle name="40% - Accent4 54 2 4" xfId="8300" xr:uid="{00000000-0005-0000-0000-0000BD390000}"/>
    <cellStyle name="40% - Accent4 54 2 4 2" xfId="19588" xr:uid="{00000000-0005-0000-0000-0000BE390000}"/>
    <cellStyle name="40% - Accent4 54 2 5" xfId="6306" xr:uid="{00000000-0005-0000-0000-0000BF390000}"/>
    <cellStyle name="40% - Accent4 54 2 5 2" xfId="17594" xr:uid="{00000000-0005-0000-0000-0000C0390000}"/>
    <cellStyle name="40% - Accent4 54 2 6" xfId="15600" xr:uid="{00000000-0005-0000-0000-0000C1390000}"/>
    <cellStyle name="40% - Accent4 54 3" xfId="11291" xr:uid="{00000000-0005-0000-0000-0000C2390000}"/>
    <cellStyle name="40% - Accent4 54 3 2" xfId="22579" xr:uid="{00000000-0005-0000-0000-0000C3390000}"/>
    <cellStyle name="40% - Accent4 54 4" xfId="9297" xr:uid="{00000000-0005-0000-0000-0000C4390000}"/>
    <cellStyle name="40% - Accent4 54 4 2" xfId="20585" xr:uid="{00000000-0005-0000-0000-0000C5390000}"/>
    <cellStyle name="40% - Accent4 54 5" xfId="7303" xr:uid="{00000000-0005-0000-0000-0000C6390000}"/>
    <cellStyle name="40% - Accent4 54 5 2" xfId="18591" xr:uid="{00000000-0005-0000-0000-0000C7390000}"/>
    <cellStyle name="40% - Accent4 54 6" xfId="5309" xr:uid="{00000000-0005-0000-0000-0000C8390000}"/>
    <cellStyle name="40% - Accent4 54 6 2" xfId="16597" xr:uid="{00000000-0005-0000-0000-0000C9390000}"/>
    <cellStyle name="40% - Accent4 54 7" xfId="14603" xr:uid="{00000000-0005-0000-0000-0000CA390000}"/>
    <cellStyle name="40% - Accent4 54 8" xfId="13289" xr:uid="{00000000-0005-0000-0000-0000CB390000}"/>
    <cellStyle name="40% - Accent4 55" xfId="1354" xr:uid="{00000000-0005-0000-0000-0000CC390000}"/>
    <cellStyle name="40% - Accent4 55 2" xfId="4310" xr:uid="{00000000-0005-0000-0000-0000CD390000}"/>
    <cellStyle name="40% - Accent4 55 2 2" xfId="12289" xr:uid="{00000000-0005-0000-0000-0000CE390000}"/>
    <cellStyle name="40% - Accent4 55 2 2 2" xfId="23577" xr:uid="{00000000-0005-0000-0000-0000CF390000}"/>
    <cellStyle name="40% - Accent4 55 2 3" xfId="10295" xr:uid="{00000000-0005-0000-0000-0000D0390000}"/>
    <cellStyle name="40% - Accent4 55 2 3 2" xfId="21583" xr:uid="{00000000-0005-0000-0000-0000D1390000}"/>
    <cellStyle name="40% - Accent4 55 2 4" xfId="8301" xr:uid="{00000000-0005-0000-0000-0000D2390000}"/>
    <cellStyle name="40% - Accent4 55 2 4 2" xfId="19589" xr:uid="{00000000-0005-0000-0000-0000D3390000}"/>
    <cellStyle name="40% - Accent4 55 2 5" xfId="6307" xr:uid="{00000000-0005-0000-0000-0000D4390000}"/>
    <cellStyle name="40% - Accent4 55 2 5 2" xfId="17595" xr:uid="{00000000-0005-0000-0000-0000D5390000}"/>
    <cellStyle name="40% - Accent4 55 2 6" xfId="15601" xr:uid="{00000000-0005-0000-0000-0000D6390000}"/>
    <cellStyle name="40% - Accent4 55 3" xfId="11292" xr:uid="{00000000-0005-0000-0000-0000D7390000}"/>
    <cellStyle name="40% - Accent4 55 3 2" xfId="22580" xr:uid="{00000000-0005-0000-0000-0000D8390000}"/>
    <cellStyle name="40% - Accent4 55 4" xfId="9298" xr:uid="{00000000-0005-0000-0000-0000D9390000}"/>
    <cellStyle name="40% - Accent4 55 4 2" xfId="20586" xr:uid="{00000000-0005-0000-0000-0000DA390000}"/>
    <cellStyle name="40% - Accent4 55 5" xfId="7304" xr:uid="{00000000-0005-0000-0000-0000DB390000}"/>
    <cellStyle name="40% - Accent4 55 5 2" xfId="18592" xr:uid="{00000000-0005-0000-0000-0000DC390000}"/>
    <cellStyle name="40% - Accent4 55 6" xfId="5310" xr:uid="{00000000-0005-0000-0000-0000DD390000}"/>
    <cellStyle name="40% - Accent4 55 6 2" xfId="16598" xr:uid="{00000000-0005-0000-0000-0000DE390000}"/>
    <cellStyle name="40% - Accent4 55 7" xfId="14604" xr:uid="{00000000-0005-0000-0000-0000DF390000}"/>
    <cellStyle name="40% - Accent4 55 8" xfId="13290" xr:uid="{00000000-0005-0000-0000-0000E0390000}"/>
    <cellStyle name="40% - Accent4 56" xfId="1355" xr:uid="{00000000-0005-0000-0000-0000E1390000}"/>
    <cellStyle name="40% - Accent4 56 2" xfId="4311" xr:uid="{00000000-0005-0000-0000-0000E2390000}"/>
    <cellStyle name="40% - Accent4 56 2 2" xfId="12290" xr:uid="{00000000-0005-0000-0000-0000E3390000}"/>
    <cellStyle name="40% - Accent4 56 2 2 2" xfId="23578" xr:uid="{00000000-0005-0000-0000-0000E4390000}"/>
    <cellStyle name="40% - Accent4 56 2 3" xfId="10296" xr:uid="{00000000-0005-0000-0000-0000E5390000}"/>
    <cellStyle name="40% - Accent4 56 2 3 2" xfId="21584" xr:uid="{00000000-0005-0000-0000-0000E6390000}"/>
    <cellStyle name="40% - Accent4 56 2 4" xfId="8302" xr:uid="{00000000-0005-0000-0000-0000E7390000}"/>
    <cellStyle name="40% - Accent4 56 2 4 2" xfId="19590" xr:uid="{00000000-0005-0000-0000-0000E8390000}"/>
    <cellStyle name="40% - Accent4 56 2 5" xfId="6308" xr:uid="{00000000-0005-0000-0000-0000E9390000}"/>
    <cellStyle name="40% - Accent4 56 2 5 2" xfId="17596" xr:uid="{00000000-0005-0000-0000-0000EA390000}"/>
    <cellStyle name="40% - Accent4 56 2 6" xfId="15602" xr:uid="{00000000-0005-0000-0000-0000EB390000}"/>
    <cellStyle name="40% - Accent4 56 3" xfId="11293" xr:uid="{00000000-0005-0000-0000-0000EC390000}"/>
    <cellStyle name="40% - Accent4 56 3 2" xfId="22581" xr:uid="{00000000-0005-0000-0000-0000ED390000}"/>
    <cellStyle name="40% - Accent4 56 4" xfId="9299" xr:uid="{00000000-0005-0000-0000-0000EE390000}"/>
    <cellStyle name="40% - Accent4 56 4 2" xfId="20587" xr:uid="{00000000-0005-0000-0000-0000EF390000}"/>
    <cellStyle name="40% - Accent4 56 5" xfId="7305" xr:uid="{00000000-0005-0000-0000-0000F0390000}"/>
    <cellStyle name="40% - Accent4 56 5 2" xfId="18593" xr:uid="{00000000-0005-0000-0000-0000F1390000}"/>
    <cellStyle name="40% - Accent4 56 6" xfId="5311" xr:uid="{00000000-0005-0000-0000-0000F2390000}"/>
    <cellStyle name="40% - Accent4 56 6 2" xfId="16599" xr:uid="{00000000-0005-0000-0000-0000F3390000}"/>
    <cellStyle name="40% - Accent4 56 7" xfId="14605" xr:uid="{00000000-0005-0000-0000-0000F4390000}"/>
    <cellStyle name="40% - Accent4 56 8" xfId="13291" xr:uid="{00000000-0005-0000-0000-0000F5390000}"/>
    <cellStyle name="40% - Accent4 57" xfId="1356" xr:uid="{00000000-0005-0000-0000-0000F6390000}"/>
    <cellStyle name="40% - Accent4 57 2" xfId="4312" xr:uid="{00000000-0005-0000-0000-0000F7390000}"/>
    <cellStyle name="40% - Accent4 57 2 2" xfId="12291" xr:uid="{00000000-0005-0000-0000-0000F8390000}"/>
    <cellStyle name="40% - Accent4 57 2 2 2" xfId="23579" xr:uid="{00000000-0005-0000-0000-0000F9390000}"/>
    <cellStyle name="40% - Accent4 57 2 3" xfId="10297" xr:uid="{00000000-0005-0000-0000-0000FA390000}"/>
    <cellStyle name="40% - Accent4 57 2 3 2" xfId="21585" xr:uid="{00000000-0005-0000-0000-0000FB390000}"/>
    <cellStyle name="40% - Accent4 57 2 4" xfId="8303" xr:uid="{00000000-0005-0000-0000-0000FC390000}"/>
    <cellStyle name="40% - Accent4 57 2 4 2" xfId="19591" xr:uid="{00000000-0005-0000-0000-0000FD390000}"/>
    <cellStyle name="40% - Accent4 57 2 5" xfId="6309" xr:uid="{00000000-0005-0000-0000-0000FE390000}"/>
    <cellStyle name="40% - Accent4 57 2 5 2" xfId="17597" xr:uid="{00000000-0005-0000-0000-0000FF390000}"/>
    <cellStyle name="40% - Accent4 57 2 6" xfId="15603" xr:uid="{00000000-0005-0000-0000-0000003A0000}"/>
    <cellStyle name="40% - Accent4 57 3" xfId="11294" xr:uid="{00000000-0005-0000-0000-0000013A0000}"/>
    <cellStyle name="40% - Accent4 57 3 2" xfId="22582" xr:uid="{00000000-0005-0000-0000-0000023A0000}"/>
    <cellStyle name="40% - Accent4 57 4" xfId="9300" xr:uid="{00000000-0005-0000-0000-0000033A0000}"/>
    <cellStyle name="40% - Accent4 57 4 2" xfId="20588" xr:uid="{00000000-0005-0000-0000-0000043A0000}"/>
    <cellStyle name="40% - Accent4 57 5" xfId="7306" xr:uid="{00000000-0005-0000-0000-0000053A0000}"/>
    <cellStyle name="40% - Accent4 57 5 2" xfId="18594" xr:uid="{00000000-0005-0000-0000-0000063A0000}"/>
    <cellStyle name="40% - Accent4 57 6" xfId="5312" xr:uid="{00000000-0005-0000-0000-0000073A0000}"/>
    <cellStyle name="40% - Accent4 57 6 2" xfId="16600" xr:uid="{00000000-0005-0000-0000-0000083A0000}"/>
    <cellStyle name="40% - Accent4 57 7" xfId="14606" xr:uid="{00000000-0005-0000-0000-0000093A0000}"/>
    <cellStyle name="40% - Accent4 57 8" xfId="13292" xr:uid="{00000000-0005-0000-0000-00000A3A0000}"/>
    <cellStyle name="40% - Accent4 58" xfId="1357" xr:uid="{00000000-0005-0000-0000-00000B3A0000}"/>
    <cellStyle name="40% - Accent4 58 2" xfId="4313" xr:uid="{00000000-0005-0000-0000-00000C3A0000}"/>
    <cellStyle name="40% - Accent4 58 2 2" xfId="12292" xr:uid="{00000000-0005-0000-0000-00000D3A0000}"/>
    <cellStyle name="40% - Accent4 58 2 2 2" xfId="23580" xr:uid="{00000000-0005-0000-0000-00000E3A0000}"/>
    <cellStyle name="40% - Accent4 58 2 3" xfId="10298" xr:uid="{00000000-0005-0000-0000-00000F3A0000}"/>
    <cellStyle name="40% - Accent4 58 2 3 2" xfId="21586" xr:uid="{00000000-0005-0000-0000-0000103A0000}"/>
    <cellStyle name="40% - Accent4 58 2 4" xfId="8304" xr:uid="{00000000-0005-0000-0000-0000113A0000}"/>
    <cellStyle name="40% - Accent4 58 2 4 2" xfId="19592" xr:uid="{00000000-0005-0000-0000-0000123A0000}"/>
    <cellStyle name="40% - Accent4 58 2 5" xfId="6310" xr:uid="{00000000-0005-0000-0000-0000133A0000}"/>
    <cellStyle name="40% - Accent4 58 2 5 2" xfId="17598" xr:uid="{00000000-0005-0000-0000-0000143A0000}"/>
    <cellStyle name="40% - Accent4 58 2 6" xfId="15604" xr:uid="{00000000-0005-0000-0000-0000153A0000}"/>
    <cellStyle name="40% - Accent4 58 3" xfId="11295" xr:uid="{00000000-0005-0000-0000-0000163A0000}"/>
    <cellStyle name="40% - Accent4 58 3 2" xfId="22583" xr:uid="{00000000-0005-0000-0000-0000173A0000}"/>
    <cellStyle name="40% - Accent4 58 4" xfId="9301" xr:uid="{00000000-0005-0000-0000-0000183A0000}"/>
    <cellStyle name="40% - Accent4 58 4 2" xfId="20589" xr:uid="{00000000-0005-0000-0000-0000193A0000}"/>
    <cellStyle name="40% - Accent4 58 5" xfId="7307" xr:uid="{00000000-0005-0000-0000-00001A3A0000}"/>
    <cellStyle name="40% - Accent4 58 5 2" xfId="18595" xr:uid="{00000000-0005-0000-0000-00001B3A0000}"/>
    <cellStyle name="40% - Accent4 58 6" xfId="5313" xr:uid="{00000000-0005-0000-0000-00001C3A0000}"/>
    <cellStyle name="40% - Accent4 58 6 2" xfId="16601" xr:uid="{00000000-0005-0000-0000-00001D3A0000}"/>
    <cellStyle name="40% - Accent4 58 7" xfId="14607" xr:uid="{00000000-0005-0000-0000-00001E3A0000}"/>
    <cellStyle name="40% - Accent4 58 8" xfId="13293" xr:uid="{00000000-0005-0000-0000-00001F3A0000}"/>
    <cellStyle name="40% - Accent4 59" xfId="1358" xr:uid="{00000000-0005-0000-0000-0000203A0000}"/>
    <cellStyle name="40% - Accent4 59 2" xfId="4314" xr:uid="{00000000-0005-0000-0000-0000213A0000}"/>
    <cellStyle name="40% - Accent4 59 2 2" xfId="12293" xr:uid="{00000000-0005-0000-0000-0000223A0000}"/>
    <cellStyle name="40% - Accent4 59 2 2 2" xfId="23581" xr:uid="{00000000-0005-0000-0000-0000233A0000}"/>
    <cellStyle name="40% - Accent4 59 2 3" xfId="10299" xr:uid="{00000000-0005-0000-0000-0000243A0000}"/>
    <cellStyle name="40% - Accent4 59 2 3 2" xfId="21587" xr:uid="{00000000-0005-0000-0000-0000253A0000}"/>
    <cellStyle name="40% - Accent4 59 2 4" xfId="8305" xr:uid="{00000000-0005-0000-0000-0000263A0000}"/>
    <cellStyle name="40% - Accent4 59 2 4 2" xfId="19593" xr:uid="{00000000-0005-0000-0000-0000273A0000}"/>
    <cellStyle name="40% - Accent4 59 2 5" xfId="6311" xr:uid="{00000000-0005-0000-0000-0000283A0000}"/>
    <cellStyle name="40% - Accent4 59 2 5 2" xfId="17599" xr:uid="{00000000-0005-0000-0000-0000293A0000}"/>
    <cellStyle name="40% - Accent4 59 2 6" xfId="15605" xr:uid="{00000000-0005-0000-0000-00002A3A0000}"/>
    <cellStyle name="40% - Accent4 59 3" xfId="11296" xr:uid="{00000000-0005-0000-0000-00002B3A0000}"/>
    <cellStyle name="40% - Accent4 59 3 2" xfId="22584" xr:uid="{00000000-0005-0000-0000-00002C3A0000}"/>
    <cellStyle name="40% - Accent4 59 4" xfId="9302" xr:uid="{00000000-0005-0000-0000-00002D3A0000}"/>
    <cellStyle name="40% - Accent4 59 4 2" xfId="20590" xr:uid="{00000000-0005-0000-0000-00002E3A0000}"/>
    <cellStyle name="40% - Accent4 59 5" xfId="7308" xr:uid="{00000000-0005-0000-0000-00002F3A0000}"/>
    <cellStyle name="40% - Accent4 59 5 2" xfId="18596" xr:uid="{00000000-0005-0000-0000-0000303A0000}"/>
    <cellStyle name="40% - Accent4 59 6" xfId="5314" xr:uid="{00000000-0005-0000-0000-0000313A0000}"/>
    <cellStyle name="40% - Accent4 59 6 2" xfId="16602" xr:uid="{00000000-0005-0000-0000-0000323A0000}"/>
    <cellStyle name="40% - Accent4 59 7" xfId="14608" xr:uid="{00000000-0005-0000-0000-0000333A0000}"/>
    <cellStyle name="40% - Accent4 59 8" xfId="13294" xr:uid="{00000000-0005-0000-0000-0000343A0000}"/>
    <cellStyle name="40% - Accent4 6" xfId="1359" xr:uid="{00000000-0005-0000-0000-0000353A0000}"/>
    <cellStyle name="40% - Accent4 6 10" xfId="24617" xr:uid="{00000000-0005-0000-0000-0000363A0000}"/>
    <cellStyle name="40% - Accent4 6 11" xfId="25007" xr:uid="{00000000-0005-0000-0000-0000373A0000}"/>
    <cellStyle name="40% - Accent4 6 2" xfId="4315" xr:uid="{00000000-0005-0000-0000-0000383A0000}"/>
    <cellStyle name="40% - Accent4 6 2 2" xfId="12294" xr:uid="{00000000-0005-0000-0000-0000393A0000}"/>
    <cellStyle name="40% - Accent4 6 2 2 2" xfId="23582" xr:uid="{00000000-0005-0000-0000-00003A3A0000}"/>
    <cellStyle name="40% - Accent4 6 2 3" xfId="10300" xr:uid="{00000000-0005-0000-0000-00003B3A0000}"/>
    <cellStyle name="40% - Accent4 6 2 3 2" xfId="21588" xr:uid="{00000000-0005-0000-0000-00003C3A0000}"/>
    <cellStyle name="40% - Accent4 6 2 4" xfId="8306" xr:uid="{00000000-0005-0000-0000-00003D3A0000}"/>
    <cellStyle name="40% - Accent4 6 2 4 2" xfId="19594" xr:uid="{00000000-0005-0000-0000-00003E3A0000}"/>
    <cellStyle name="40% - Accent4 6 2 5" xfId="6312" xr:uid="{00000000-0005-0000-0000-00003F3A0000}"/>
    <cellStyle name="40% - Accent4 6 2 5 2" xfId="17600" xr:uid="{00000000-0005-0000-0000-0000403A0000}"/>
    <cellStyle name="40% - Accent4 6 2 6" xfId="15606" xr:uid="{00000000-0005-0000-0000-0000413A0000}"/>
    <cellStyle name="40% - Accent4 6 2 7" xfId="24378" xr:uid="{00000000-0005-0000-0000-0000423A0000}"/>
    <cellStyle name="40% - Accent4 6 2 8" xfId="24842" xr:uid="{00000000-0005-0000-0000-0000433A0000}"/>
    <cellStyle name="40% - Accent4 6 2 9" xfId="25209" xr:uid="{00000000-0005-0000-0000-0000443A0000}"/>
    <cellStyle name="40% - Accent4 6 3" xfId="11297" xr:uid="{00000000-0005-0000-0000-0000453A0000}"/>
    <cellStyle name="40% - Accent4 6 3 2" xfId="22585" xr:uid="{00000000-0005-0000-0000-0000463A0000}"/>
    <cellStyle name="40% - Accent4 6 4" xfId="9303" xr:uid="{00000000-0005-0000-0000-0000473A0000}"/>
    <cellStyle name="40% - Accent4 6 4 2" xfId="20591" xr:uid="{00000000-0005-0000-0000-0000483A0000}"/>
    <cellStyle name="40% - Accent4 6 5" xfId="7309" xr:uid="{00000000-0005-0000-0000-0000493A0000}"/>
    <cellStyle name="40% - Accent4 6 5 2" xfId="18597" xr:uid="{00000000-0005-0000-0000-00004A3A0000}"/>
    <cellStyle name="40% - Accent4 6 6" xfId="5315" xr:uid="{00000000-0005-0000-0000-00004B3A0000}"/>
    <cellStyle name="40% - Accent4 6 6 2" xfId="16603" xr:uid="{00000000-0005-0000-0000-00004C3A0000}"/>
    <cellStyle name="40% - Accent4 6 7" xfId="14609" xr:uid="{00000000-0005-0000-0000-00004D3A0000}"/>
    <cellStyle name="40% - Accent4 6 8" xfId="13295" xr:uid="{00000000-0005-0000-0000-00004E3A0000}"/>
    <cellStyle name="40% - Accent4 6 9" xfId="23990" xr:uid="{00000000-0005-0000-0000-00004F3A0000}"/>
    <cellStyle name="40% - Accent4 60" xfId="1360" xr:uid="{00000000-0005-0000-0000-0000503A0000}"/>
    <cellStyle name="40% - Accent4 60 2" xfId="4316" xr:uid="{00000000-0005-0000-0000-0000513A0000}"/>
    <cellStyle name="40% - Accent4 60 2 2" xfId="12295" xr:uid="{00000000-0005-0000-0000-0000523A0000}"/>
    <cellStyle name="40% - Accent4 60 2 2 2" xfId="23583" xr:uid="{00000000-0005-0000-0000-0000533A0000}"/>
    <cellStyle name="40% - Accent4 60 2 3" xfId="10301" xr:uid="{00000000-0005-0000-0000-0000543A0000}"/>
    <cellStyle name="40% - Accent4 60 2 3 2" xfId="21589" xr:uid="{00000000-0005-0000-0000-0000553A0000}"/>
    <cellStyle name="40% - Accent4 60 2 4" xfId="8307" xr:uid="{00000000-0005-0000-0000-0000563A0000}"/>
    <cellStyle name="40% - Accent4 60 2 4 2" xfId="19595" xr:uid="{00000000-0005-0000-0000-0000573A0000}"/>
    <cellStyle name="40% - Accent4 60 2 5" xfId="6313" xr:uid="{00000000-0005-0000-0000-0000583A0000}"/>
    <cellStyle name="40% - Accent4 60 2 5 2" xfId="17601" xr:uid="{00000000-0005-0000-0000-0000593A0000}"/>
    <cellStyle name="40% - Accent4 60 2 6" xfId="15607" xr:uid="{00000000-0005-0000-0000-00005A3A0000}"/>
    <cellStyle name="40% - Accent4 60 3" xfId="11298" xr:uid="{00000000-0005-0000-0000-00005B3A0000}"/>
    <cellStyle name="40% - Accent4 60 3 2" xfId="22586" xr:uid="{00000000-0005-0000-0000-00005C3A0000}"/>
    <cellStyle name="40% - Accent4 60 4" xfId="9304" xr:uid="{00000000-0005-0000-0000-00005D3A0000}"/>
    <cellStyle name="40% - Accent4 60 4 2" xfId="20592" xr:uid="{00000000-0005-0000-0000-00005E3A0000}"/>
    <cellStyle name="40% - Accent4 60 5" xfId="7310" xr:uid="{00000000-0005-0000-0000-00005F3A0000}"/>
    <cellStyle name="40% - Accent4 60 5 2" xfId="18598" xr:uid="{00000000-0005-0000-0000-0000603A0000}"/>
    <cellStyle name="40% - Accent4 60 6" xfId="5316" xr:uid="{00000000-0005-0000-0000-0000613A0000}"/>
    <cellStyle name="40% - Accent4 60 6 2" xfId="16604" xr:uid="{00000000-0005-0000-0000-0000623A0000}"/>
    <cellStyle name="40% - Accent4 60 7" xfId="14610" xr:uid="{00000000-0005-0000-0000-0000633A0000}"/>
    <cellStyle name="40% - Accent4 60 8" xfId="13296" xr:uid="{00000000-0005-0000-0000-0000643A0000}"/>
    <cellStyle name="40% - Accent4 61" xfId="1361" xr:uid="{00000000-0005-0000-0000-0000653A0000}"/>
    <cellStyle name="40% - Accent4 61 2" xfId="4317" xr:uid="{00000000-0005-0000-0000-0000663A0000}"/>
    <cellStyle name="40% - Accent4 61 2 2" xfId="12296" xr:uid="{00000000-0005-0000-0000-0000673A0000}"/>
    <cellStyle name="40% - Accent4 61 2 2 2" xfId="23584" xr:uid="{00000000-0005-0000-0000-0000683A0000}"/>
    <cellStyle name="40% - Accent4 61 2 3" xfId="10302" xr:uid="{00000000-0005-0000-0000-0000693A0000}"/>
    <cellStyle name="40% - Accent4 61 2 3 2" xfId="21590" xr:uid="{00000000-0005-0000-0000-00006A3A0000}"/>
    <cellStyle name="40% - Accent4 61 2 4" xfId="8308" xr:uid="{00000000-0005-0000-0000-00006B3A0000}"/>
    <cellStyle name="40% - Accent4 61 2 4 2" xfId="19596" xr:uid="{00000000-0005-0000-0000-00006C3A0000}"/>
    <cellStyle name="40% - Accent4 61 2 5" xfId="6314" xr:uid="{00000000-0005-0000-0000-00006D3A0000}"/>
    <cellStyle name="40% - Accent4 61 2 5 2" xfId="17602" xr:uid="{00000000-0005-0000-0000-00006E3A0000}"/>
    <cellStyle name="40% - Accent4 61 2 6" xfId="15608" xr:uid="{00000000-0005-0000-0000-00006F3A0000}"/>
    <cellStyle name="40% - Accent4 61 3" xfId="11299" xr:uid="{00000000-0005-0000-0000-0000703A0000}"/>
    <cellStyle name="40% - Accent4 61 3 2" xfId="22587" xr:uid="{00000000-0005-0000-0000-0000713A0000}"/>
    <cellStyle name="40% - Accent4 61 4" xfId="9305" xr:uid="{00000000-0005-0000-0000-0000723A0000}"/>
    <cellStyle name="40% - Accent4 61 4 2" xfId="20593" xr:uid="{00000000-0005-0000-0000-0000733A0000}"/>
    <cellStyle name="40% - Accent4 61 5" xfId="7311" xr:uid="{00000000-0005-0000-0000-0000743A0000}"/>
    <cellStyle name="40% - Accent4 61 5 2" xfId="18599" xr:uid="{00000000-0005-0000-0000-0000753A0000}"/>
    <cellStyle name="40% - Accent4 61 6" xfId="5317" xr:uid="{00000000-0005-0000-0000-0000763A0000}"/>
    <cellStyle name="40% - Accent4 61 6 2" xfId="16605" xr:uid="{00000000-0005-0000-0000-0000773A0000}"/>
    <cellStyle name="40% - Accent4 61 7" xfId="14611" xr:uid="{00000000-0005-0000-0000-0000783A0000}"/>
    <cellStyle name="40% - Accent4 61 8" xfId="13297" xr:uid="{00000000-0005-0000-0000-0000793A0000}"/>
    <cellStyle name="40% - Accent4 62" xfId="1362" xr:uid="{00000000-0005-0000-0000-00007A3A0000}"/>
    <cellStyle name="40% - Accent4 62 2" xfId="4318" xr:uid="{00000000-0005-0000-0000-00007B3A0000}"/>
    <cellStyle name="40% - Accent4 62 2 2" xfId="12297" xr:uid="{00000000-0005-0000-0000-00007C3A0000}"/>
    <cellStyle name="40% - Accent4 62 2 2 2" xfId="23585" xr:uid="{00000000-0005-0000-0000-00007D3A0000}"/>
    <cellStyle name="40% - Accent4 62 2 3" xfId="10303" xr:uid="{00000000-0005-0000-0000-00007E3A0000}"/>
    <cellStyle name="40% - Accent4 62 2 3 2" xfId="21591" xr:uid="{00000000-0005-0000-0000-00007F3A0000}"/>
    <cellStyle name="40% - Accent4 62 2 4" xfId="8309" xr:uid="{00000000-0005-0000-0000-0000803A0000}"/>
    <cellStyle name="40% - Accent4 62 2 4 2" xfId="19597" xr:uid="{00000000-0005-0000-0000-0000813A0000}"/>
    <cellStyle name="40% - Accent4 62 2 5" xfId="6315" xr:uid="{00000000-0005-0000-0000-0000823A0000}"/>
    <cellStyle name="40% - Accent4 62 2 5 2" xfId="17603" xr:uid="{00000000-0005-0000-0000-0000833A0000}"/>
    <cellStyle name="40% - Accent4 62 2 6" xfId="15609" xr:uid="{00000000-0005-0000-0000-0000843A0000}"/>
    <cellStyle name="40% - Accent4 62 3" xfId="11300" xr:uid="{00000000-0005-0000-0000-0000853A0000}"/>
    <cellStyle name="40% - Accent4 62 3 2" xfId="22588" xr:uid="{00000000-0005-0000-0000-0000863A0000}"/>
    <cellStyle name="40% - Accent4 62 4" xfId="9306" xr:uid="{00000000-0005-0000-0000-0000873A0000}"/>
    <cellStyle name="40% - Accent4 62 4 2" xfId="20594" xr:uid="{00000000-0005-0000-0000-0000883A0000}"/>
    <cellStyle name="40% - Accent4 62 5" xfId="7312" xr:uid="{00000000-0005-0000-0000-0000893A0000}"/>
    <cellStyle name="40% - Accent4 62 5 2" xfId="18600" xr:uid="{00000000-0005-0000-0000-00008A3A0000}"/>
    <cellStyle name="40% - Accent4 62 6" xfId="5318" xr:uid="{00000000-0005-0000-0000-00008B3A0000}"/>
    <cellStyle name="40% - Accent4 62 6 2" xfId="16606" xr:uid="{00000000-0005-0000-0000-00008C3A0000}"/>
    <cellStyle name="40% - Accent4 62 7" xfId="14612" xr:uid="{00000000-0005-0000-0000-00008D3A0000}"/>
    <cellStyle name="40% - Accent4 62 8" xfId="13298" xr:uid="{00000000-0005-0000-0000-00008E3A0000}"/>
    <cellStyle name="40% - Accent4 63" xfId="1363" xr:uid="{00000000-0005-0000-0000-00008F3A0000}"/>
    <cellStyle name="40% - Accent4 63 2" xfId="4319" xr:uid="{00000000-0005-0000-0000-0000903A0000}"/>
    <cellStyle name="40% - Accent4 63 2 2" xfId="12298" xr:uid="{00000000-0005-0000-0000-0000913A0000}"/>
    <cellStyle name="40% - Accent4 63 2 2 2" xfId="23586" xr:uid="{00000000-0005-0000-0000-0000923A0000}"/>
    <cellStyle name="40% - Accent4 63 2 3" xfId="10304" xr:uid="{00000000-0005-0000-0000-0000933A0000}"/>
    <cellStyle name="40% - Accent4 63 2 3 2" xfId="21592" xr:uid="{00000000-0005-0000-0000-0000943A0000}"/>
    <cellStyle name="40% - Accent4 63 2 4" xfId="8310" xr:uid="{00000000-0005-0000-0000-0000953A0000}"/>
    <cellStyle name="40% - Accent4 63 2 4 2" xfId="19598" xr:uid="{00000000-0005-0000-0000-0000963A0000}"/>
    <cellStyle name="40% - Accent4 63 2 5" xfId="6316" xr:uid="{00000000-0005-0000-0000-0000973A0000}"/>
    <cellStyle name="40% - Accent4 63 2 5 2" xfId="17604" xr:uid="{00000000-0005-0000-0000-0000983A0000}"/>
    <cellStyle name="40% - Accent4 63 2 6" xfId="15610" xr:uid="{00000000-0005-0000-0000-0000993A0000}"/>
    <cellStyle name="40% - Accent4 63 3" xfId="11301" xr:uid="{00000000-0005-0000-0000-00009A3A0000}"/>
    <cellStyle name="40% - Accent4 63 3 2" xfId="22589" xr:uid="{00000000-0005-0000-0000-00009B3A0000}"/>
    <cellStyle name="40% - Accent4 63 4" xfId="9307" xr:uid="{00000000-0005-0000-0000-00009C3A0000}"/>
    <cellStyle name="40% - Accent4 63 4 2" xfId="20595" xr:uid="{00000000-0005-0000-0000-00009D3A0000}"/>
    <cellStyle name="40% - Accent4 63 5" xfId="7313" xr:uid="{00000000-0005-0000-0000-00009E3A0000}"/>
    <cellStyle name="40% - Accent4 63 5 2" xfId="18601" xr:uid="{00000000-0005-0000-0000-00009F3A0000}"/>
    <cellStyle name="40% - Accent4 63 6" xfId="5319" xr:uid="{00000000-0005-0000-0000-0000A03A0000}"/>
    <cellStyle name="40% - Accent4 63 6 2" xfId="16607" xr:uid="{00000000-0005-0000-0000-0000A13A0000}"/>
    <cellStyle name="40% - Accent4 63 7" xfId="14613" xr:uid="{00000000-0005-0000-0000-0000A23A0000}"/>
    <cellStyle name="40% - Accent4 63 8" xfId="13299" xr:uid="{00000000-0005-0000-0000-0000A33A0000}"/>
    <cellStyle name="40% - Accent4 64" xfId="1364" xr:uid="{00000000-0005-0000-0000-0000A43A0000}"/>
    <cellStyle name="40% - Accent4 64 2" xfId="4320" xr:uid="{00000000-0005-0000-0000-0000A53A0000}"/>
    <cellStyle name="40% - Accent4 64 2 2" xfId="12299" xr:uid="{00000000-0005-0000-0000-0000A63A0000}"/>
    <cellStyle name="40% - Accent4 64 2 2 2" xfId="23587" xr:uid="{00000000-0005-0000-0000-0000A73A0000}"/>
    <cellStyle name="40% - Accent4 64 2 3" xfId="10305" xr:uid="{00000000-0005-0000-0000-0000A83A0000}"/>
    <cellStyle name="40% - Accent4 64 2 3 2" xfId="21593" xr:uid="{00000000-0005-0000-0000-0000A93A0000}"/>
    <cellStyle name="40% - Accent4 64 2 4" xfId="8311" xr:uid="{00000000-0005-0000-0000-0000AA3A0000}"/>
    <cellStyle name="40% - Accent4 64 2 4 2" xfId="19599" xr:uid="{00000000-0005-0000-0000-0000AB3A0000}"/>
    <cellStyle name="40% - Accent4 64 2 5" xfId="6317" xr:uid="{00000000-0005-0000-0000-0000AC3A0000}"/>
    <cellStyle name="40% - Accent4 64 2 5 2" xfId="17605" xr:uid="{00000000-0005-0000-0000-0000AD3A0000}"/>
    <cellStyle name="40% - Accent4 64 2 6" xfId="15611" xr:uid="{00000000-0005-0000-0000-0000AE3A0000}"/>
    <cellStyle name="40% - Accent4 64 3" xfId="11302" xr:uid="{00000000-0005-0000-0000-0000AF3A0000}"/>
    <cellStyle name="40% - Accent4 64 3 2" xfId="22590" xr:uid="{00000000-0005-0000-0000-0000B03A0000}"/>
    <cellStyle name="40% - Accent4 64 4" xfId="9308" xr:uid="{00000000-0005-0000-0000-0000B13A0000}"/>
    <cellStyle name="40% - Accent4 64 4 2" xfId="20596" xr:uid="{00000000-0005-0000-0000-0000B23A0000}"/>
    <cellStyle name="40% - Accent4 64 5" xfId="7314" xr:uid="{00000000-0005-0000-0000-0000B33A0000}"/>
    <cellStyle name="40% - Accent4 64 5 2" xfId="18602" xr:uid="{00000000-0005-0000-0000-0000B43A0000}"/>
    <cellStyle name="40% - Accent4 64 6" xfId="5320" xr:uid="{00000000-0005-0000-0000-0000B53A0000}"/>
    <cellStyle name="40% - Accent4 64 6 2" xfId="16608" xr:uid="{00000000-0005-0000-0000-0000B63A0000}"/>
    <cellStyle name="40% - Accent4 64 7" xfId="14614" xr:uid="{00000000-0005-0000-0000-0000B73A0000}"/>
    <cellStyle name="40% - Accent4 64 8" xfId="13300" xr:uid="{00000000-0005-0000-0000-0000B83A0000}"/>
    <cellStyle name="40% - Accent4 65" xfId="1365" xr:uid="{00000000-0005-0000-0000-0000B93A0000}"/>
    <cellStyle name="40% - Accent4 65 2" xfId="4321" xr:uid="{00000000-0005-0000-0000-0000BA3A0000}"/>
    <cellStyle name="40% - Accent4 65 2 2" xfId="12300" xr:uid="{00000000-0005-0000-0000-0000BB3A0000}"/>
    <cellStyle name="40% - Accent4 65 2 2 2" xfId="23588" xr:uid="{00000000-0005-0000-0000-0000BC3A0000}"/>
    <cellStyle name="40% - Accent4 65 2 3" xfId="10306" xr:uid="{00000000-0005-0000-0000-0000BD3A0000}"/>
    <cellStyle name="40% - Accent4 65 2 3 2" xfId="21594" xr:uid="{00000000-0005-0000-0000-0000BE3A0000}"/>
    <cellStyle name="40% - Accent4 65 2 4" xfId="8312" xr:uid="{00000000-0005-0000-0000-0000BF3A0000}"/>
    <cellStyle name="40% - Accent4 65 2 4 2" xfId="19600" xr:uid="{00000000-0005-0000-0000-0000C03A0000}"/>
    <cellStyle name="40% - Accent4 65 2 5" xfId="6318" xr:uid="{00000000-0005-0000-0000-0000C13A0000}"/>
    <cellStyle name="40% - Accent4 65 2 5 2" xfId="17606" xr:uid="{00000000-0005-0000-0000-0000C23A0000}"/>
    <cellStyle name="40% - Accent4 65 2 6" xfId="15612" xr:uid="{00000000-0005-0000-0000-0000C33A0000}"/>
    <cellStyle name="40% - Accent4 65 3" xfId="11303" xr:uid="{00000000-0005-0000-0000-0000C43A0000}"/>
    <cellStyle name="40% - Accent4 65 3 2" xfId="22591" xr:uid="{00000000-0005-0000-0000-0000C53A0000}"/>
    <cellStyle name="40% - Accent4 65 4" xfId="9309" xr:uid="{00000000-0005-0000-0000-0000C63A0000}"/>
    <cellStyle name="40% - Accent4 65 4 2" xfId="20597" xr:uid="{00000000-0005-0000-0000-0000C73A0000}"/>
    <cellStyle name="40% - Accent4 65 5" xfId="7315" xr:uid="{00000000-0005-0000-0000-0000C83A0000}"/>
    <cellStyle name="40% - Accent4 65 5 2" xfId="18603" xr:uid="{00000000-0005-0000-0000-0000C93A0000}"/>
    <cellStyle name="40% - Accent4 65 6" xfId="5321" xr:uid="{00000000-0005-0000-0000-0000CA3A0000}"/>
    <cellStyle name="40% - Accent4 65 6 2" xfId="16609" xr:uid="{00000000-0005-0000-0000-0000CB3A0000}"/>
    <cellStyle name="40% - Accent4 65 7" xfId="14615" xr:uid="{00000000-0005-0000-0000-0000CC3A0000}"/>
    <cellStyle name="40% - Accent4 65 8" xfId="13301" xr:uid="{00000000-0005-0000-0000-0000CD3A0000}"/>
    <cellStyle name="40% - Accent4 66" xfId="1366" xr:uid="{00000000-0005-0000-0000-0000CE3A0000}"/>
    <cellStyle name="40% - Accent4 66 2" xfId="4322" xr:uid="{00000000-0005-0000-0000-0000CF3A0000}"/>
    <cellStyle name="40% - Accent4 66 2 2" xfId="12301" xr:uid="{00000000-0005-0000-0000-0000D03A0000}"/>
    <cellStyle name="40% - Accent4 66 2 2 2" xfId="23589" xr:uid="{00000000-0005-0000-0000-0000D13A0000}"/>
    <cellStyle name="40% - Accent4 66 2 3" xfId="10307" xr:uid="{00000000-0005-0000-0000-0000D23A0000}"/>
    <cellStyle name="40% - Accent4 66 2 3 2" xfId="21595" xr:uid="{00000000-0005-0000-0000-0000D33A0000}"/>
    <cellStyle name="40% - Accent4 66 2 4" xfId="8313" xr:uid="{00000000-0005-0000-0000-0000D43A0000}"/>
    <cellStyle name="40% - Accent4 66 2 4 2" xfId="19601" xr:uid="{00000000-0005-0000-0000-0000D53A0000}"/>
    <cellStyle name="40% - Accent4 66 2 5" xfId="6319" xr:uid="{00000000-0005-0000-0000-0000D63A0000}"/>
    <cellStyle name="40% - Accent4 66 2 5 2" xfId="17607" xr:uid="{00000000-0005-0000-0000-0000D73A0000}"/>
    <cellStyle name="40% - Accent4 66 2 6" xfId="15613" xr:uid="{00000000-0005-0000-0000-0000D83A0000}"/>
    <cellStyle name="40% - Accent4 66 3" xfId="11304" xr:uid="{00000000-0005-0000-0000-0000D93A0000}"/>
    <cellStyle name="40% - Accent4 66 3 2" xfId="22592" xr:uid="{00000000-0005-0000-0000-0000DA3A0000}"/>
    <cellStyle name="40% - Accent4 66 4" xfId="9310" xr:uid="{00000000-0005-0000-0000-0000DB3A0000}"/>
    <cellStyle name="40% - Accent4 66 4 2" xfId="20598" xr:uid="{00000000-0005-0000-0000-0000DC3A0000}"/>
    <cellStyle name="40% - Accent4 66 5" xfId="7316" xr:uid="{00000000-0005-0000-0000-0000DD3A0000}"/>
    <cellStyle name="40% - Accent4 66 5 2" xfId="18604" xr:uid="{00000000-0005-0000-0000-0000DE3A0000}"/>
    <cellStyle name="40% - Accent4 66 6" xfId="5322" xr:uid="{00000000-0005-0000-0000-0000DF3A0000}"/>
    <cellStyle name="40% - Accent4 66 6 2" xfId="16610" xr:uid="{00000000-0005-0000-0000-0000E03A0000}"/>
    <cellStyle name="40% - Accent4 66 7" xfId="14616" xr:uid="{00000000-0005-0000-0000-0000E13A0000}"/>
    <cellStyle name="40% - Accent4 66 8" xfId="13302" xr:uid="{00000000-0005-0000-0000-0000E23A0000}"/>
    <cellStyle name="40% - Accent4 67" xfId="1367" xr:uid="{00000000-0005-0000-0000-0000E33A0000}"/>
    <cellStyle name="40% - Accent4 67 2" xfId="4323" xr:uid="{00000000-0005-0000-0000-0000E43A0000}"/>
    <cellStyle name="40% - Accent4 67 2 2" xfId="12302" xr:uid="{00000000-0005-0000-0000-0000E53A0000}"/>
    <cellStyle name="40% - Accent4 67 2 2 2" xfId="23590" xr:uid="{00000000-0005-0000-0000-0000E63A0000}"/>
    <cellStyle name="40% - Accent4 67 2 3" xfId="10308" xr:uid="{00000000-0005-0000-0000-0000E73A0000}"/>
    <cellStyle name="40% - Accent4 67 2 3 2" xfId="21596" xr:uid="{00000000-0005-0000-0000-0000E83A0000}"/>
    <cellStyle name="40% - Accent4 67 2 4" xfId="8314" xr:uid="{00000000-0005-0000-0000-0000E93A0000}"/>
    <cellStyle name="40% - Accent4 67 2 4 2" xfId="19602" xr:uid="{00000000-0005-0000-0000-0000EA3A0000}"/>
    <cellStyle name="40% - Accent4 67 2 5" xfId="6320" xr:uid="{00000000-0005-0000-0000-0000EB3A0000}"/>
    <cellStyle name="40% - Accent4 67 2 5 2" xfId="17608" xr:uid="{00000000-0005-0000-0000-0000EC3A0000}"/>
    <cellStyle name="40% - Accent4 67 2 6" xfId="15614" xr:uid="{00000000-0005-0000-0000-0000ED3A0000}"/>
    <cellStyle name="40% - Accent4 67 3" xfId="11305" xr:uid="{00000000-0005-0000-0000-0000EE3A0000}"/>
    <cellStyle name="40% - Accent4 67 3 2" xfId="22593" xr:uid="{00000000-0005-0000-0000-0000EF3A0000}"/>
    <cellStyle name="40% - Accent4 67 4" xfId="9311" xr:uid="{00000000-0005-0000-0000-0000F03A0000}"/>
    <cellStyle name="40% - Accent4 67 4 2" xfId="20599" xr:uid="{00000000-0005-0000-0000-0000F13A0000}"/>
    <cellStyle name="40% - Accent4 67 5" xfId="7317" xr:uid="{00000000-0005-0000-0000-0000F23A0000}"/>
    <cellStyle name="40% - Accent4 67 5 2" xfId="18605" xr:uid="{00000000-0005-0000-0000-0000F33A0000}"/>
    <cellStyle name="40% - Accent4 67 6" xfId="5323" xr:uid="{00000000-0005-0000-0000-0000F43A0000}"/>
    <cellStyle name="40% - Accent4 67 6 2" xfId="16611" xr:uid="{00000000-0005-0000-0000-0000F53A0000}"/>
    <cellStyle name="40% - Accent4 67 7" xfId="14617" xr:uid="{00000000-0005-0000-0000-0000F63A0000}"/>
    <cellStyle name="40% - Accent4 67 8" xfId="13303" xr:uid="{00000000-0005-0000-0000-0000F73A0000}"/>
    <cellStyle name="40% - Accent4 68" xfId="1368" xr:uid="{00000000-0005-0000-0000-0000F83A0000}"/>
    <cellStyle name="40% - Accent4 68 2" xfId="4324" xr:uid="{00000000-0005-0000-0000-0000F93A0000}"/>
    <cellStyle name="40% - Accent4 68 2 2" xfId="12303" xr:uid="{00000000-0005-0000-0000-0000FA3A0000}"/>
    <cellStyle name="40% - Accent4 68 2 2 2" xfId="23591" xr:uid="{00000000-0005-0000-0000-0000FB3A0000}"/>
    <cellStyle name="40% - Accent4 68 2 3" xfId="10309" xr:uid="{00000000-0005-0000-0000-0000FC3A0000}"/>
    <cellStyle name="40% - Accent4 68 2 3 2" xfId="21597" xr:uid="{00000000-0005-0000-0000-0000FD3A0000}"/>
    <cellStyle name="40% - Accent4 68 2 4" xfId="8315" xr:uid="{00000000-0005-0000-0000-0000FE3A0000}"/>
    <cellStyle name="40% - Accent4 68 2 4 2" xfId="19603" xr:uid="{00000000-0005-0000-0000-0000FF3A0000}"/>
    <cellStyle name="40% - Accent4 68 2 5" xfId="6321" xr:uid="{00000000-0005-0000-0000-0000003B0000}"/>
    <cellStyle name="40% - Accent4 68 2 5 2" xfId="17609" xr:uid="{00000000-0005-0000-0000-0000013B0000}"/>
    <cellStyle name="40% - Accent4 68 2 6" xfId="15615" xr:uid="{00000000-0005-0000-0000-0000023B0000}"/>
    <cellStyle name="40% - Accent4 68 3" xfId="11306" xr:uid="{00000000-0005-0000-0000-0000033B0000}"/>
    <cellStyle name="40% - Accent4 68 3 2" xfId="22594" xr:uid="{00000000-0005-0000-0000-0000043B0000}"/>
    <cellStyle name="40% - Accent4 68 4" xfId="9312" xr:uid="{00000000-0005-0000-0000-0000053B0000}"/>
    <cellStyle name="40% - Accent4 68 4 2" xfId="20600" xr:uid="{00000000-0005-0000-0000-0000063B0000}"/>
    <cellStyle name="40% - Accent4 68 5" xfId="7318" xr:uid="{00000000-0005-0000-0000-0000073B0000}"/>
    <cellStyle name="40% - Accent4 68 5 2" xfId="18606" xr:uid="{00000000-0005-0000-0000-0000083B0000}"/>
    <cellStyle name="40% - Accent4 68 6" xfId="5324" xr:uid="{00000000-0005-0000-0000-0000093B0000}"/>
    <cellStyle name="40% - Accent4 68 6 2" xfId="16612" xr:uid="{00000000-0005-0000-0000-00000A3B0000}"/>
    <cellStyle name="40% - Accent4 68 7" xfId="14618" xr:uid="{00000000-0005-0000-0000-00000B3B0000}"/>
    <cellStyle name="40% - Accent4 68 8" xfId="13304" xr:uid="{00000000-0005-0000-0000-00000C3B0000}"/>
    <cellStyle name="40% - Accent4 69" xfId="1369" xr:uid="{00000000-0005-0000-0000-00000D3B0000}"/>
    <cellStyle name="40% - Accent4 69 2" xfId="4325" xr:uid="{00000000-0005-0000-0000-00000E3B0000}"/>
    <cellStyle name="40% - Accent4 69 2 2" xfId="12304" xr:uid="{00000000-0005-0000-0000-00000F3B0000}"/>
    <cellStyle name="40% - Accent4 69 2 2 2" xfId="23592" xr:uid="{00000000-0005-0000-0000-0000103B0000}"/>
    <cellStyle name="40% - Accent4 69 2 3" xfId="10310" xr:uid="{00000000-0005-0000-0000-0000113B0000}"/>
    <cellStyle name="40% - Accent4 69 2 3 2" xfId="21598" xr:uid="{00000000-0005-0000-0000-0000123B0000}"/>
    <cellStyle name="40% - Accent4 69 2 4" xfId="8316" xr:uid="{00000000-0005-0000-0000-0000133B0000}"/>
    <cellStyle name="40% - Accent4 69 2 4 2" xfId="19604" xr:uid="{00000000-0005-0000-0000-0000143B0000}"/>
    <cellStyle name="40% - Accent4 69 2 5" xfId="6322" xr:uid="{00000000-0005-0000-0000-0000153B0000}"/>
    <cellStyle name="40% - Accent4 69 2 5 2" xfId="17610" xr:uid="{00000000-0005-0000-0000-0000163B0000}"/>
    <cellStyle name="40% - Accent4 69 2 6" xfId="15616" xr:uid="{00000000-0005-0000-0000-0000173B0000}"/>
    <cellStyle name="40% - Accent4 69 3" xfId="11307" xr:uid="{00000000-0005-0000-0000-0000183B0000}"/>
    <cellStyle name="40% - Accent4 69 3 2" xfId="22595" xr:uid="{00000000-0005-0000-0000-0000193B0000}"/>
    <cellStyle name="40% - Accent4 69 4" xfId="9313" xr:uid="{00000000-0005-0000-0000-00001A3B0000}"/>
    <cellStyle name="40% - Accent4 69 4 2" xfId="20601" xr:uid="{00000000-0005-0000-0000-00001B3B0000}"/>
    <cellStyle name="40% - Accent4 69 5" xfId="7319" xr:uid="{00000000-0005-0000-0000-00001C3B0000}"/>
    <cellStyle name="40% - Accent4 69 5 2" xfId="18607" xr:uid="{00000000-0005-0000-0000-00001D3B0000}"/>
    <cellStyle name="40% - Accent4 69 6" xfId="5325" xr:uid="{00000000-0005-0000-0000-00001E3B0000}"/>
    <cellStyle name="40% - Accent4 69 6 2" xfId="16613" xr:uid="{00000000-0005-0000-0000-00001F3B0000}"/>
    <cellStyle name="40% - Accent4 69 7" xfId="14619" xr:uid="{00000000-0005-0000-0000-0000203B0000}"/>
    <cellStyle name="40% - Accent4 69 8" xfId="13305" xr:uid="{00000000-0005-0000-0000-0000213B0000}"/>
    <cellStyle name="40% - Accent4 7" xfId="1370" xr:uid="{00000000-0005-0000-0000-0000223B0000}"/>
    <cellStyle name="40% - Accent4 7 10" xfId="24618" xr:uid="{00000000-0005-0000-0000-0000233B0000}"/>
    <cellStyle name="40% - Accent4 7 11" xfId="25008" xr:uid="{00000000-0005-0000-0000-0000243B0000}"/>
    <cellStyle name="40% - Accent4 7 2" xfId="4326" xr:uid="{00000000-0005-0000-0000-0000253B0000}"/>
    <cellStyle name="40% - Accent4 7 2 2" xfId="12305" xr:uid="{00000000-0005-0000-0000-0000263B0000}"/>
    <cellStyle name="40% - Accent4 7 2 2 2" xfId="23593" xr:uid="{00000000-0005-0000-0000-0000273B0000}"/>
    <cellStyle name="40% - Accent4 7 2 3" xfId="10311" xr:uid="{00000000-0005-0000-0000-0000283B0000}"/>
    <cellStyle name="40% - Accent4 7 2 3 2" xfId="21599" xr:uid="{00000000-0005-0000-0000-0000293B0000}"/>
    <cellStyle name="40% - Accent4 7 2 4" xfId="8317" xr:uid="{00000000-0005-0000-0000-00002A3B0000}"/>
    <cellStyle name="40% - Accent4 7 2 4 2" xfId="19605" xr:uid="{00000000-0005-0000-0000-00002B3B0000}"/>
    <cellStyle name="40% - Accent4 7 2 5" xfId="6323" xr:uid="{00000000-0005-0000-0000-00002C3B0000}"/>
    <cellStyle name="40% - Accent4 7 2 5 2" xfId="17611" xr:uid="{00000000-0005-0000-0000-00002D3B0000}"/>
    <cellStyle name="40% - Accent4 7 2 6" xfId="15617" xr:uid="{00000000-0005-0000-0000-00002E3B0000}"/>
    <cellStyle name="40% - Accent4 7 2 7" xfId="24379" xr:uid="{00000000-0005-0000-0000-00002F3B0000}"/>
    <cellStyle name="40% - Accent4 7 2 8" xfId="24843" xr:uid="{00000000-0005-0000-0000-0000303B0000}"/>
    <cellStyle name="40% - Accent4 7 2 9" xfId="25210" xr:uid="{00000000-0005-0000-0000-0000313B0000}"/>
    <cellStyle name="40% - Accent4 7 3" xfId="11308" xr:uid="{00000000-0005-0000-0000-0000323B0000}"/>
    <cellStyle name="40% - Accent4 7 3 2" xfId="22596" xr:uid="{00000000-0005-0000-0000-0000333B0000}"/>
    <cellStyle name="40% - Accent4 7 4" xfId="9314" xr:uid="{00000000-0005-0000-0000-0000343B0000}"/>
    <cellStyle name="40% - Accent4 7 4 2" xfId="20602" xr:uid="{00000000-0005-0000-0000-0000353B0000}"/>
    <cellStyle name="40% - Accent4 7 5" xfId="7320" xr:uid="{00000000-0005-0000-0000-0000363B0000}"/>
    <cellStyle name="40% - Accent4 7 5 2" xfId="18608" xr:uid="{00000000-0005-0000-0000-0000373B0000}"/>
    <cellStyle name="40% - Accent4 7 6" xfId="5326" xr:uid="{00000000-0005-0000-0000-0000383B0000}"/>
    <cellStyle name="40% - Accent4 7 6 2" xfId="16614" xr:uid="{00000000-0005-0000-0000-0000393B0000}"/>
    <cellStyle name="40% - Accent4 7 7" xfId="14620" xr:uid="{00000000-0005-0000-0000-00003A3B0000}"/>
    <cellStyle name="40% - Accent4 7 8" xfId="13306" xr:uid="{00000000-0005-0000-0000-00003B3B0000}"/>
    <cellStyle name="40% - Accent4 7 9" xfId="23991" xr:uid="{00000000-0005-0000-0000-00003C3B0000}"/>
    <cellStyle name="40% - Accent4 70" xfId="1371" xr:uid="{00000000-0005-0000-0000-00003D3B0000}"/>
    <cellStyle name="40% - Accent4 70 2" xfId="4327" xr:uid="{00000000-0005-0000-0000-00003E3B0000}"/>
    <cellStyle name="40% - Accent4 70 2 2" xfId="12306" xr:uid="{00000000-0005-0000-0000-00003F3B0000}"/>
    <cellStyle name="40% - Accent4 70 2 2 2" xfId="23594" xr:uid="{00000000-0005-0000-0000-0000403B0000}"/>
    <cellStyle name="40% - Accent4 70 2 3" xfId="10312" xr:uid="{00000000-0005-0000-0000-0000413B0000}"/>
    <cellStyle name="40% - Accent4 70 2 3 2" xfId="21600" xr:uid="{00000000-0005-0000-0000-0000423B0000}"/>
    <cellStyle name="40% - Accent4 70 2 4" xfId="8318" xr:uid="{00000000-0005-0000-0000-0000433B0000}"/>
    <cellStyle name="40% - Accent4 70 2 4 2" xfId="19606" xr:uid="{00000000-0005-0000-0000-0000443B0000}"/>
    <cellStyle name="40% - Accent4 70 2 5" xfId="6324" xr:uid="{00000000-0005-0000-0000-0000453B0000}"/>
    <cellStyle name="40% - Accent4 70 2 5 2" xfId="17612" xr:uid="{00000000-0005-0000-0000-0000463B0000}"/>
    <cellStyle name="40% - Accent4 70 2 6" xfId="15618" xr:uid="{00000000-0005-0000-0000-0000473B0000}"/>
    <cellStyle name="40% - Accent4 70 3" xfId="11309" xr:uid="{00000000-0005-0000-0000-0000483B0000}"/>
    <cellStyle name="40% - Accent4 70 3 2" xfId="22597" xr:uid="{00000000-0005-0000-0000-0000493B0000}"/>
    <cellStyle name="40% - Accent4 70 4" xfId="9315" xr:uid="{00000000-0005-0000-0000-00004A3B0000}"/>
    <cellStyle name="40% - Accent4 70 4 2" xfId="20603" xr:uid="{00000000-0005-0000-0000-00004B3B0000}"/>
    <cellStyle name="40% - Accent4 70 5" xfId="7321" xr:uid="{00000000-0005-0000-0000-00004C3B0000}"/>
    <cellStyle name="40% - Accent4 70 5 2" xfId="18609" xr:uid="{00000000-0005-0000-0000-00004D3B0000}"/>
    <cellStyle name="40% - Accent4 70 6" xfId="5327" xr:uid="{00000000-0005-0000-0000-00004E3B0000}"/>
    <cellStyle name="40% - Accent4 70 6 2" xfId="16615" xr:uid="{00000000-0005-0000-0000-00004F3B0000}"/>
    <cellStyle name="40% - Accent4 70 7" xfId="14621" xr:uid="{00000000-0005-0000-0000-0000503B0000}"/>
    <cellStyle name="40% - Accent4 70 8" xfId="13307" xr:uid="{00000000-0005-0000-0000-0000513B0000}"/>
    <cellStyle name="40% - Accent4 71" xfId="1372" xr:uid="{00000000-0005-0000-0000-0000523B0000}"/>
    <cellStyle name="40% - Accent4 71 2" xfId="4328" xr:uid="{00000000-0005-0000-0000-0000533B0000}"/>
    <cellStyle name="40% - Accent4 71 2 2" xfId="12307" xr:uid="{00000000-0005-0000-0000-0000543B0000}"/>
    <cellStyle name="40% - Accent4 71 2 2 2" xfId="23595" xr:uid="{00000000-0005-0000-0000-0000553B0000}"/>
    <cellStyle name="40% - Accent4 71 2 3" xfId="10313" xr:uid="{00000000-0005-0000-0000-0000563B0000}"/>
    <cellStyle name="40% - Accent4 71 2 3 2" xfId="21601" xr:uid="{00000000-0005-0000-0000-0000573B0000}"/>
    <cellStyle name="40% - Accent4 71 2 4" xfId="8319" xr:uid="{00000000-0005-0000-0000-0000583B0000}"/>
    <cellStyle name="40% - Accent4 71 2 4 2" xfId="19607" xr:uid="{00000000-0005-0000-0000-0000593B0000}"/>
    <cellStyle name="40% - Accent4 71 2 5" xfId="6325" xr:uid="{00000000-0005-0000-0000-00005A3B0000}"/>
    <cellStyle name="40% - Accent4 71 2 5 2" xfId="17613" xr:uid="{00000000-0005-0000-0000-00005B3B0000}"/>
    <cellStyle name="40% - Accent4 71 2 6" xfId="15619" xr:uid="{00000000-0005-0000-0000-00005C3B0000}"/>
    <cellStyle name="40% - Accent4 71 3" xfId="11310" xr:uid="{00000000-0005-0000-0000-00005D3B0000}"/>
    <cellStyle name="40% - Accent4 71 3 2" xfId="22598" xr:uid="{00000000-0005-0000-0000-00005E3B0000}"/>
    <cellStyle name="40% - Accent4 71 4" xfId="9316" xr:uid="{00000000-0005-0000-0000-00005F3B0000}"/>
    <cellStyle name="40% - Accent4 71 4 2" xfId="20604" xr:uid="{00000000-0005-0000-0000-0000603B0000}"/>
    <cellStyle name="40% - Accent4 71 5" xfId="7322" xr:uid="{00000000-0005-0000-0000-0000613B0000}"/>
    <cellStyle name="40% - Accent4 71 5 2" xfId="18610" xr:uid="{00000000-0005-0000-0000-0000623B0000}"/>
    <cellStyle name="40% - Accent4 71 6" xfId="5328" xr:uid="{00000000-0005-0000-0000-0000633B0000}"/>
    <cellStyle name="40% - Accent4 71 6 2" xfId="16616" xr:uid="{00000000-0005-0000-0000-0000643B0000}"/>
    <cellStyle name="40% - Accent4 71 7" xfId="14622" xr:uid="{00000000-0005-0000-0000-0000653B0000}"/>
    <cellStyle name="40% - Accent4 71 8" xfId="13308" xr:uid="{00000000-0005-0000-0000-0000663B0000}"/>
    <cellStyle name="40% - Accent4 72" xfId="1373" xr:uid="{00000000-0005-0000-0000-0000673B0000}"/>
    <cellStyle name="40% - Accent4 72 2" xfId="4329" xr:uid="{00000000-0005-0000-0000-0000683B0000}"/>
    <cellStyle name="40% - Accent4 72 2 2" xfId="12308" xr:uid="{00000000-0005-0000-0000-0000693B0000}"/>
    <cellStyle name="40% - Accent4 72 2 2 2" xfId="23596" xr:uid="{00000000-0005-0000-0000-00006A3B0000}"/>
    <cellStyle name="40% - Accent4 72 2 3" xfId="10314" xr:uid="{00000000-0005-0000-0000-00006B3B0000}"/>
    <cellStyle name="40% - Accent4 72 2 3 2" xfId="21602" xr:uid="{00000000-0005-0000-0000-00006C3B0000}"/>
    <cellStyle name="40% - Accent4 72 2 4" xfId="8320" xr:uid="{00000000-0005-0000-0000-00006D3B0000}"/>
    <cellStyle name="40% - Accent4 72 2 4 2" xfId="19608" xr:uid="{00000000-0005-0000-0000-00006E3B0000}"/>
    <cellStyle name="40% - Accent4 72 2 5" xfId="6326" xr:uid="{00000000-0005-0000-0000-00006F3B0000}"/>
    <cellStyle name="40% - Accent4 72 2 5 2" xfId="17614" xr:uid="{00000000-0005-0000-0000-0000703B0000}"/>
    <cellStyle name="40% - Accent4 72 2 6" xfId="15620" xr:uid="{00000000-0005-0000-0000-0000713B0000}"/>
    <cellStyle name="40% - Accent4 72 3" xfId="11311" xr:uid="{00000000-0005-0000-0000-0000723B0000}"/>
    <cellStyle name="40% - Accent4 72 3 2" xfId="22599" xr:uid="{00000000-0005-0000-0000-0000733B0000}"/>
    <cellStyle name="40% - Accent4 72 4" xfId="9317" xr:uid="{00000000-0005-0000-0000-0000743B0000}"/>
    <cellStyle name="40% - Accent4 72 4 2" xfId="20605" xr:uid="{00000000-0005-0000-0000-0000753B0000}"/>
    <cellStyle name="40% - Accent4 72 5" xfId="7323" xr:uid="{00000000-0005-0000-0000-0000763B0000}"/>
    <cellStyle name="40% - Accent4 72 5 2" xfId="18611" xr:uid="{00000000-0005-0000-0000-0000773B0000}"/>
    <cellStyle name="40% - Accent4 72 6" xfId="5329" xr:uid="{00000000-0005-0000-0000-0000783B0000}"/>
    <cellStyle name="40% - Accent4 72 6 2" xfId="16617" xr:uid="{00000000-0005-0000-0000-0000793B0000}"/>
    <cellStyle name="40% - Accent4 72 7" xfId="14623" xr:uid="{00000000-0005-0000-0000-00007A3B0000}"/>
    <cellStyle name="40% - Accent4 72 8" xfId="13309" xr:uid="{00000000-0005-0000-0000-00007B3B0000}"/>
    <cellStyle name="40% - Accent4 8" xfId="1374" xr:uid="{00000000-0005-0000-0000-00007C3B0000}"/>
    <cellStyle name="40% - Accent4 8 2" xfId="4330" xr:uid="{00000000-0005-0000-0000-00007D3B0000}"/>
    <cellStyle name="40% - Accent4 8 2 2" xfId="12309" xr:uid="{00000000-0005-0000-0000-00007E3B0000}"/>
    <cellStyle name="40% - Accent4 8 2 2 2" xfId="23597" xr:uid="{00000000-0005-0000-0000-00007F3B0000}"/>
    <cellStyle name="40% - Accent4 8 2 3" xfId="10315" xr:uid="{00000000-0005-0000-0000-0000803B0000}"/>
    <cellStyle name="40% - Accent4 8 2 3 2" xfId="21603" xr:uid="{00000000-0005-0000-0000-0000813B0000}"/>
    <cellStyle name="40% - Accent4 8 2 4" xfId="8321" xr:uid="{00000000-0005-0000-0000-0000823B0000}"/>
    <cellStyle name="40% - Accent4 8 2 4 2" xfId="19609" xr:uid="{00000000-0005-0000-0000-0000833B0000}"/>
    <cellStyle name="40% - Accent4 8 2 5" xfId="6327" xr:uid="{00000000-0005-0000-0000-0000843B0000}"/>
    <cellStyle name="40% - Accent4 8 2 5 2" xfId="17615" xr:uid="{00000000-0005-0000-0000-0000853B0000}"/>
    <cellStyle name="40% - Accent4 8 2 6" xfId="15621" xr:uid="{00000000-0005-0000-0000-0000863B0000}"/>
    <cellStyle name="40% - Accent4 8 3" xfId="11312" xr:uid="{00000000-0005-0000-0000-0000873B0000}"/>
    <cellStyle name="40% - Accent4 8 3 2" xfId="22600" xr:uid="{00000000-0005-0000-0000-0000883B0000}"/>
    <cellStyle name="40% - Accent4 8 4" xfId="9318" xr:uid="{00000000-0005-0000-0000-0000893B0000}"/>
    <cellStyle name="40% - Accent4 8 4 2" xfId="20606" xr:uid="{00000000-0005-0000-0000-00008A3B0000}"/>
    <cellStyle name="40% - Accent4 8 5" xfId="7324" xr:uid="{00000000-0005-0000-0000-00008B3B0000}"/>
    <cellStyle name="40% - Accent4 8 5 2" xfId="18612" xr:uid="{00000000-0005-0000-0000-00008C3B0000}"/>
    <cellStyle name="40% - Accent4 8 6" xfId="5330" xr:uid="{00000000-0005-0000-0000-00008D3B0000}"/>
    <cellStyle name="40% - Accent4 8 6 2" xfId="16618" xr:uid="{00000000-0005-0000-0000-00008E3B0000}"/>
    <cellStyle name="40% - Accent4 8 7" xfId="14624" xr:uid="{00000000-0005-0000-0000-00008F3B0000}"/>
    <cellStyle name="40% - Accent4 8 8" xfId="13310" xr:uid="{00000000-0005-0000-0000-0000903B0000}"/>
    <cellStyle name="40% - Accent4 9" xfId="1375" xr:uid="{00000000-0005-0000-0000-0000913B0000}"/>
    <cellStyle name="40% - Accent4 9 2" xfId="4331" xr:uid="{00000000-0005-0000-0000-0000923B0000}"/>
    <cellStyle name="40% - Accent4 9 2 2" xfId="12310" xr:uid="{00000000-0005-0000-0000-0000933B0000}"/>
    <cellStyle name="40% - Accent4 9 2 2 2" xfId="23598" xr:uid="{00000000-0005-0000-0000-0000943B0000}"/>
    <cellStyle name="40% - Accent4 9 2 3" xfId="10316" xr:uid="{00000000-0005-0000-0000-0000953B0000}"/>
    <cellStyle name="40% - Accent4 9 2 3 2" xfId="21604" xr:uid="{00000000-0005-0000-0000-0000963B0000}"/>
    <cellStyle name="40% - Accent4 9 2 4" xfId="8322" xr:uid="{00000000-0005-0000-0000-0000973B0000}"/>
    <cellStyle name="40% - Accent4 9 2 4 2" xfId="19610" xr:uid="{00000000-0005-0000-0000-0000983B0000}"/>
    <cellStyle name="40% - Accent4 9 2 5" xfId="6328" xr:uid="{00000000-0005-0000-0000-0000993B0000}"/>
    <cellStyle name="40% - Accent4 9 2 5 2" xfId="17616" xr:uid="{00000000-0005-0000-0000-00009A3B0000}"/>
    <cellStyle name="40% - Accent4 9 2 6" xfId="15622" xr:uid="{00000000-0005-0000-0000-00009B3B0000}"/>
    <cellStyle name="40% - Accent4 9 3" xfId="11313" xr:uid="{00000000-0005-0000-0000-00009C3B0000}"/>
    <cellStyle name="40% - Accent4 9 3 2" xfId="22601" xr:uid="{00000000-0005-0000-0000-00009D3B0000}"/>
    <cellStyle name="40% - Accent4 9 4" xfId="9319" xr:uid="{00000000-0005-0000-0000-00009E3B0000}"/>
    <cellStyle name="40% - Accent4 9 4 2" xfId="20607" xr:uid="{00000000-0005-0000-0000-00009F3B0000}"/>
    <cellStyle name="40% - Accent4 9 5" xfId="7325" xr:uid="{00000000-0005-0000-0000-0000A03B0000}"/>
    <cellStyle name="40% - Accent4 9 5 2" xfId="18613" xr:uid="{00000000-0005-0000-0000-0000A13B0000}"/>
    <cellStyle name="40% - Accent4 9 6" xfId="5331" xr:uid="{00000000-0005-0000-0000-0000A23B0000}"/>
    <cellStyle name="40% - Accent4 9 6 2" xfId="16619" xr:uid="{00000000-0005-0000-0000-0000A33B0000}"/>
    <cellStyle name="40% - Accent4 9 7" xfId="14625" xr:uid="{00000000-0005-0000-0000-0000A43B0000}"/>
    <cellStyle name="40% - Accent4 9 8" xfId="13311" xr:uid="{00000000-0005-0000-0000-0000A53B0000}"/>
    <cellStyle name="40% - Accent5 10" xfId="1376" xr:uid="{00000000-0005-0000-0000-0000A63B0000}"/>
    <cellStyle name="40% - Accent5 10 2" xfId="4332" xr:uid="{00000000-0005-0000-0000-0000A73B0000}"/>
    <cellStyle name="40% - Accent5 10 2 2" xfId="12311" xr:uid="{00000000-0005-0000-0000-0000A83B0000}"/>
    <cellStyle name="40% - Accent5 10 2 2 2" xfId="23599" xr:uid="{00000000-0005-0000-0000-0000A93B0000}"/>
    <cellStyle name="40% - Accent5 10 2 3" xfId="10317" xr:uid="{00000000-0005-0000-0000-0000AA3B0000}"/>
    <cellStyle name="40% - Accent5 10 2 3 2" xfId="21605" xr:uid="{00000000-0005-0000-0000-0000AB3B0000}"/>
    <cellStyle name="40% - Accent5 10 2 4" xfId="8323" xr:uid="{00000000-0005-0000-0000-0000AC3B0000}"/>
    <cellStyle name="40% - Accent5 10 2 4 2" xfId="19611" xr:uid="{00000000-0005-0000-0000-0000AD3B0000}"/>
    <cellStyle name="40% - Accent5 10 2 5" xfId="6329" xr:uid="{00000000-0005-0000-0000-0000AE3B0000}"/>
    <cellStyle name="40% - Accent5 10 2 5 2" xfId="17617" xr:uid="{00000000-0005-0000-0000-0000AF3B0000}"/>
    <cellStyle name="40% - Accent5 10 2 6" xfId="15623" xr:uid="{00000000-0005-0000-0000-0000B03B0000}"/>
    <cellStyle name="40% - Accent5 10 3" xfId="11314" xr:uid="{00000000-0005-0000-0000-0000B13B0000}"/>
    <cellStyle name="40% - Accent5 10 3 2" xfId="22602" xr:uid="{00000000-0005-0000-0000-0000B23B0000}"/>
    <cellStyle name="40% - Accent5 10 4" xfId="9320" xr:uid="{00000000-0005-0000-0000-0000B33B0000}"/>
    <cellStyle name="40% - Accent5 10 4 2" xfId="20608" xr:uid="{00000000-0005-0000-0000-0000B43B0000}"/>
    <cellStyle name="40% - Accent5 10 5" xfId="7326" xr:uid="{00000000-0005-0000-0000-0000B53B0000}"/>
    <cellStyle name="40% - Accent5 10 5 2" xfId="18614" xr:uid="{00000000-0005-0000-0000-0000B63B0000}"/>
    <cellStyle name="40% - Accent5 10 6" xfId="5332" xr:uid="{00000000-0005-0000-0000-0000B73B0000}"/>
    <cellStyle name="40% - Accent5 10 6 2" xfId="16620" xr:uid="{00000000-0005-0000-0000-0000B83B0000}"/>
    <cellStyle name="40% - Accent5 10 7" xfId="14626" xr:uid="{00000000-0005-0000-0000-0000B93B0000}"/>
    <cellStyle name="40% - Accent5 10 8" xfId="13312" xr:uid="{00000000-0005-0000-0000-0000BA3B0000}"/>
    <cellStyle name="40% - Accent5 11" xfId="1377" xr:uid="{00000000-0005-0000-0000-0000BB3B0000}"/>
    <cellStyle name="40% - Accent5 11 2" xfId="4333" xr:uid="{00000000-0005-0000-0000-0000BC3B0000}"/>
    <cellStyle name="40% - Accent5 11 2 2" xfId="12312" xr:uid="{00000000-0005-0000-0000-0000BD3B0000}"/>
    <cellStyle name="40% - Accent5 11 2 2 2" xfId="23600" xr:uid="{00000000-0005-0000-0000-0000BE3B0000}"/>
    <cellStyle name="40% - Accent5 11 2 3" xfId="10318" xr:uid="{00000000-0005-0000-0000-0000BF3B0000}"/>
    <cellStyle name="40% - Accent5 11 2 3 2" xfId="21606" xr:uid="{00000000-0005-0000-0000-0000C03B0000}"/>
    <cellStyle name="40% - Accent5 11 2 4" xfId="8324" xr:uid="{00000000-0005-0000-0000-0000C13B0000}"/>
    <cellStyle name="40% - Accent5 11 2 4 2" xfId="19612" xr:uid="{00000000-0005-0000-0000-0000C23B0000}"/>
    <cellStyle name="40% - Accent5 11 2 5" xfId="6330" xr:uid="{00000000-0005-0000-0000-0000C33B0000}"/>
    <cellStyle name="40% - Accent5 11 2 5 2" xfId="17618" xr:uid="{00000000-0005-0000-0000-0000C43B0000}"/>
    <cellStyle name="40% - Accent5 11 2 6" xfId="15624" xr:uid="{00000000-0005-0000-0000-0000C53B0000}"/>
    <cellStyle name="40% - Accent5 11 3" xfId="11315" xr:uid="{00000000-0005-0000-0000-0000C63B0000}"/>
    <cellStyle name="40% - Accent5 11 3 2" xfId="22603" xr:uid="{00000000-0005-0000-0000-0000C73B0000}"/>
    <cellStyle name="40% - Accent5 11 4" xfId="9321" xr:uid="{00000000-0005-0000-0000-0000C83B0000}"/>
    <cellStyle name="40% - Accent5 11 4 2" xfId="20609" xr:uid="{00000000-0005-0000-0000-0000C93B0000}"/>
    <cellStyle name="40% - Accent5 11 5" xfId="7327" xr:uid="{00000000-0005-0000-0000-0000CA3B0000}"/>
    <cellStyle name="40% - Accent5 11 5 2" xfId="18615" xr:uid="{00000000-0005-0000-0000-0000CB3B0000}"/>
    <cellStyle name="40% - Accent5 11 6" xfId="5333" xr:uid="{00000000-0005-0000-0000-0000CC3B0000}"/>
    <cellStyle name="40% - Accent5 11 6 2" xfId="16621" xr:uid="{00000000-0005-0000-0000-0000CD3B0000}"/>
    <cellStyle name="40% - Accent5 11 7" xfId="14627" xr:uid="{00000000-0005-0000-0000-0000CE3B0000}"/>
    <cellStyle name="40% - Accent5 11 8" xfId="13313" xr:uid="{00000000-0005-0000-0000-0000CF3B0000}"/>
    <cellStyle name="40% - Accent5 12" xfId="1378" xr:uid="{00000000-0005-0000-0000-0000D03B0000}"/>
    <cellStyle name="40% - Accent5 12 2" xfId="4334" xr:uid="{00000000-0005-0000-0000-0000D13B0000}"/>
    <cellStyle name="40% - Accent5 12 2 2" xfId="12313" xr:uid="{00000000-0005-0000-0000-0000D23B0000}"/>
    <cellStyle name="40% - Accent5 12 2 2 2" xfId="23601" xr:uid="{00000000-0005-0000-0000-0000D33B0000}"/>
    <cellStyle name="40% - Accent5 12 2 3" xfId="10319" xr:uid="{00000000-0005-0000-0000-0000D43B0000}"/>
    <cellStyle name="40% - Accent5 12 2 3 2" xfId="21607" xr:uid="{00000000-0005-0000-0000-0000D53B0000}"/>
    <cellStyle name="40% - Accent5 12 2 4" xfId="8325" xr:uid="{00000000-0005-0000-0000-0000D63B0000}"/>
    <cellStyle name="40% - Accent5 12 2 4 2" xfId="19613" xr:uid="{00000000-0005-0000-0000-0000D73B0000}"/>
    <cellStyle name="40% - Accent5 12 2 5" xfId="6331" xr:uid="{00000000-0005-0000-0000-0000D83B0000}"/>
    <cellStyle name="40% - Accent5 12 2 5 2" xfId="17619" xr:uid="{00000000-0005-0000-0000-0000D93B0000}"/>
    <cellStyle name="40% - Accent5 12 2 6" xfId="15625" xr:uid="{00000000-0005-0000-0000-0000DA3B0000}"/>
    <cellStyle name="40% - Accent5 12 3" xfId="11316" xr:uid="{00000000-0005-0000-0000-0000DB3B0000}"/>
    <cellStyle name="40% - Accent5 12 3 2" xfId="22604" xr:uid="{00000000-0005-0000-0000-0000DC3B0000}"/>
    <cellStyle name="40% - Accent5 12 4" xfId="9322" xr:uid="{00000000-0005-0000-0000-0000DD3B0000}"/>
    <cellStyle name="40% - Accent5 12 4 2" xfId="20610" xr:uid="{00000000-0005-0000-0000-0000DE3B0000}"/>
    <cellStyle name="40% - Accent5 12 5" xfId="7328" xr:uid="{00000000-0005-0000-0000-0000DF3B0000}"/>
    <cellStyle name="40% - Accent5 12 5 2" xfId="18616" xr:uid="{00000000-0005-0000-0000-0000E03B0000}"/>
    <cellStyle name="40% - Accent5 12 6" xfId="5334" xr:uid="{00000000-0005-0000-0000-0000E13B0000}"/>
    <cellStyle name="40% - Accent5 12 6 2" xfId="16622" xr:uid="{00000000-0005-0000-0000-0000E23B0000}"/>
    <cellStyle name="40% - Accent5 12 7" xfId="14628" xr:uid="{00000000-0005-0000-0000-0000E33B0000}"/>
    <cellStyle name="40% - Accent5 12 8" xfId="13314" xr:uid="{00000000-0005-0000-0000-0000E43B0000}"/>
    <cellStyle name="40% - Accent5 13" xfId="1379" xr:uid="{00000000-0005-0000-0000-0000E53B0000}"/>
    <cellStyle name="40% - Accent5 13 2" xfId="4335" xr:uid="{00000000-0005-0000-0000-0000E63B0000}"/>
    <cellStyle name="40% - Accent5 13 2 2" xfId="12314" xr:uid="{00000000-0005-0000-0000-0000E73B0000}"/>
    <cellStyle name="40% - Accent5 13 2 2 2" xfId="23602" xr:uid="{00000000-0005-0000-0000-0000E83B0000}"/>
    <cellStyle name="40% - Accent5 13 2 3" xfId="10320" xr:uid="{00000000-0005-0000-0000-0000E93B0000}"/>
    <cellStyle name="40% - Accent5 13 2 3 2" xfId="21608" xr:uid="{00000000-0005-0000-0000-0000EA3B0000}"/>
    <cellStyle name="40% - Accent5 13 2 4" xfId="8326" xr:uid="{00000000-0005-0000-0000-0000EB3B0000}"/>
    <cellStyle name="40% - Accent5 13 2 4 2" xfId="19614" xr:uid="{00000000-0005-0000-0000-0000EC3B0000}"/>
    <cellStyle name="40% - Accent5 13 2 5" xfId="6332" xr:uid="{00000000-0005-0000-0000-0000ED3B0000}"/>
    <cellStyle name="40% - Accent5 13 2 5 2" xfId="17620" xr:uid="{00000000-0005-0000-0000-0000EE3B0000}"/>
    <cellStyle name="40% - Accent5 13 2 6" xfId="15626" xr:uid="{00000000-0005-0000-0000-0000EF3B0000}"/>
    <cellStyle name="40% - Accent5 13 3" xfId="11317" xr:uid="{00000000-0005-0000-0000-0000F03B0000}"/>
    <cellStyle name="40% - Accent5 13 3 2" xfId="22605" xr:uid="{00000000-0005-0000-0000-0000F13B0000}"/>
    <cellStyle name="40% - Accent5 13 4" xfId="9323" xr:uid="{00000000-0005-0000-0000-0000F23B0000}"/>
    <cellStyle name="40% - Accent5 13 4 2" xfId="20611" xr:uid="{00000000-0005-0000-0000-0000F33B0000}"/>
    <cellStyle name="40% - Accent5 13 5" xfId="7329" xr:uid="{00000000-0005-0000-0000-0000F43B0000}"/>
    <cellStyle name="40% - Accent5 13 5 2" xfId="18617" xr:uid="{00000000-0005-0000-0000-0000F53B0000}"/>
    <cellStyle name="40% - Accent5 13 6" xfId="5335" xr:uid="{00000000-0005-0000-0000-0000F63B0000}"/>
    <cellStyle name="40% - Accent5 13 6 2" xfId="16623" xr:uid="{00000000-0005-0000-0000-0000F73B0000}"/>
    <cellStyle name="40% - Accent5 13 7" xfId="14629" xr:uid="{00000000-0005-0000-0000-0000F83B0000}"/>
    <cellStyle name="40% - Accent5 13 8" xfId="13315" xr:uid="{00000000-0005-0000-0000-0000F93B0000}"/>
    <cellStyle name="40% - Accent5 14" xfId="1380" xr:uid="{00000000-0005-0000-0000-0000FA3B0000}"/>
    <cellStyle name="40% - Accent5 14 2" xfId="4336" xr:uid="{00000000-0005-0000-0000-0000FB3B0000}"/>
    <cellStyle name="40% - Accent5 14 2 2" xfId="12315" xr:uid="{00000000-0005-0000-0000-0000FC3B0000}"/>
    <cellStyle name="40% - Accent5 14 2 2 2" xfId="23603" xr:uid="{00000000-0005-0000-0000-0000FD3B0000}"/>
    <cellStyle name="40% - Accent5 14 2 3" xfId="10321" xr:uid="{00000000-0005-0000-0000-0000FE3B0000}"/>
    <cellStyle name="40% - Accent5 14 2 3 2" xfId="21609" xr:uid="{00000000-0005-0000-0000-0000FF3B0000}"/>
    <cellStyle name="40% - Accent5 14 2 4" xfId="8327" xr:uid="{00000000-0005-0000-0000-0000003C0000}"/>
    <cellStyle name="40% - Accent5 14 2 4 2" xfId="19615" xr:uid="{00000000-0005-0000-0000-0000013C0000}"/>
    <cellStyle name="40% - Accent5 14 2 5" xfId="6333" xr:uid="{00000000-0005-0000-0000-0000023C0000}"/>
    <cellStyle name="40% - Accent5 14 2 5 2" xfId="17621" xr:uid="{00000000-0005-0000-0000-0000033C0000}"/>
    <cellStyle name="40% - Accent5 14 2 6" xfId="15627" xr:uid="{00000000-0005-0000-0000-0000043C0000}"/>
    <cellStyle name="40% - Accent5 14 3" xfId="11318" xr:uid="{00000000-0005-0000-0000-0000053C0000}"/>
    <cellStyle name="40% - Accent5 14 3 2" xfId="22606" xr:uid="{00000000-0005-0000-0000-0000063C0000}"/>
    <cellStyle name="40% - Accent5 14 4" xfId="9324" xr:uid="{00000000-0005-0000-0000-0000073C0000}"/>
    <cellStyle name="40% - Accent5 14 4 2" xfId="20612" xr:uid="{00000000-0005-0000-0000-0000083C0000}"/>
    <cellStyle name="40% - Accent5 14 5" xfId="7330" xr:uid="{00000000-0005-0000-0000-0000093C0000}"/>
    <cellStyle name="40% - Accent5 14 5 2" xfId="18618" xr:uid="{00000000-0005-0000-0000-00000A3C0000}"/>
    <cellStyle name="40% - Accent5 14 6" xfId="5336" xr:uid="{00000000-0005-0000-0000-00000B3C0000}"/>
    <cellStyle name="40% - Accent5 14 6 2" xfId="16624" xr:uid="{00000000-0005-0000-0000-00000C3C0000}"/>
    <cellStyle name="40% - Accent5 14 7" xfId="14630" xr:uid="{00000000-0005-0000-0000-00000D3C0000}"/>
    <cellStyle name="40% - Accent5 14 8" xfId="13316" xr:uid="{00000000-0005-0000-0000-00000E3C0000}"/>
    <cellStyle name="40% - Accent5 15" xfId="1381" xr:uid="{00000000-0005-0000-0000-00000F3C0000}"/>
    <cellStyle name="40% - Accent5 15 2" xfId="4337" xr:uid="{00000000-0005-0000-0000-0000103C0000}"/>
    <cellStyle name="40% - Accent5 15 2 2" xfId="12316" xr:uid="{00000000-0005-0000-0000-0000113C0000}"/>
    <cellStyle name="40% - Accent5 15 2 2 2" xfId="23604" xr:uid="{00000000-0005-0000-0000-0000123C0000}"/>
    <cellStyle name="40% - Accent5 15 2 3" xfId="10322" xr:uid="{00000000-0005-0000-0000-0000133C0000}"/>
    <cellStyle name="40% - Accent5 15 2 3 2" xfId="21610" xr:uid="{00000000-0005-0000-0000-0000143C0000}"/>
    <cellStyle name="40% - Accent5 15 2 4" xfId="8328" xr:uid="{00000000-0005-0000-0000-0000153C0000}"/>
    <cellStyle name="40% - Accent5 15 2 4 2" xfId="19616" xr:uid="{00000000-0005-0000-0000-0000163C0000}"/>
    <cellStyle name="40% - Accent5 15 2 5" xfId="6334" xr:uid="{00000000-0005-0000-0000-0000173C0000}"/>
    <cellStyle name="40% - Accent5 15 2 5 2" xfId="17622" xr:uid="{00000000-0005-0000-0000-0000183C0000}"/>
    <cellStyle name="40% - Accent5 15 2 6" xfId="15628" xr:uid="{00000000-0005-0000-0000-0000193C0000}"/>
    <cellStyle name="40% - Accent5 15 3" xfId="11319" xr:uid="{00000000-0005-0000-0000-00001A3C0000}"/>
    <cellStyle name="40% - Accent5 15 3 2" xfId="22607" xr:uid="{00000000-0005-0000-0000-00001B3C0000}"/>
    <cellStyle name="40% - Accent5 15 4" xfId="9325" xr:uid="{00000000-0005-0000-0000-00001C3C0000}"/>
    <cellStyle name="40% - Accent5 15 4 2" xfId="20613" xr:uid="{00000000-0005-0000-0000-00001D3C0000}"/>
    <cellStyle name="40% - Accent5 15 5" xfId="7331" xr:uid="{00000000-0005-0000-0000-00001E3C0000}"/>
    <cellStyle name="40% - Accent5 15 5 2" xfId="18619" xr:uid="{00000000-0005-0000-0000-00001F3C0000}"/>
    <cellStyle name="40% - Accent5 15 6" xfId="5337" xr:uid="{00000000-0005-0000-0000-0000203C0000}"/>
    <cellStyle name="40% - Accent5 15 6 2" xfId="16625" xr:uid="{00000000-0005-0000-0000-0000213C0000}"/>
    <cellStyle name="40% - Accent5 15 7" xfId="14631" xr:uid="{00000000-0005-0000-0000-0000223C0000}"/>
    <cellStyle name="40% - Accent5 15 8" xfId="13317" xr:uid="{00000000-0005-0000-0000-0000233C0000}"/>
    <cellStyle name="40% - Accent5 16" xfId="1382" xr:uid="{00000000-0005-0000-0000-0000243C0000}"/>
    <cellStyle name="40% - Accent5 16 2" xfId="4338" xr:uid="{00000000-0005-0000-0000-0000253C0000}"/>
    <cellStyle name="40% - Accent5 16 2 2" xfId="12317" xr:uid="{00000000-0005-0000-0000-0000263C0000}"/>
    <cellStyle name="40% - Accent5 16 2 2 2" xfId="23605" xr:uid="{00000000-0005-0000-0000-0000273C0000}"/>
    <cellStyle name="40% - Accent5 16 2 3" xfId="10323" xr:uid="{00000000-0005-0000-0000-0000283C0000}"/>
    <cellStyle name="40% - Accent5 16 2 3 2" xfId="21611" xr:uid="{00000000-0005-0000-0000-0000293C0000}"/>
    <cellStyle name="40% - Accent5 16 2 4" xfId="8329" xr:uid="{00000000-0005-0000-0000-00002A3C0000}"/>
    <cellStyle name="40% - Accent5 16 2 4 2" xfId="19617" xr:uid="{00000000-0005-0000-0000-00002B3C0000}"/>
    <cellStyle name="40% - Accent5 16 2 5" xfId="6335" xr:uid="{00000000-0005-0000-0000-00002C3C0000}"/>
    <cellStyle name="40% - Accent5 16 2 5 2" xfId="17623" xr:uid="{00000000-0005-0000-0000-00002D3C0000}"/>
    <cellStyle name="40% - Accent5 16 2 6" xfId="15629" xr:uid="{00000000-0005-0000-0000-00002E3C0000}"/>
    <cellStyle name="40% - Accent5 16 3" xfId="11320" xr:uid="{00000000-0005-0000-0000-00002F3C0000}"/>
    <cellStyle name="40% - Accent5 16 3 2" xfId="22608" xr:uid="{00000000-0005-0000-0000-0000303C0000}"/>
    <cellStyle name="40% - Accent5 16 4" xfId="9326" xr:uid="{00000000-0005-0000-0000-0000313C0000}"/>
    <cellStyle name="40% - Accent5 16 4 2" xfId="20614" xr:uid="{00000000-0005-0000-0000-0000323C0000}"/>
    <cellStyle name="40% - Accent5 16 5" xfId="7332" xr:uid="{00000000-0005-0000-0000-0000333C0000}"/>
    <cellStyle name="40% - Accent5 16 5 2" xfId="18620" xr:uid="{00000000-0005-0000-0000-0000343C0000}"/>
    <cellStyle name="40% - Accent5 16 6" xfId="5338" xr:uid="{00000000-0005-0000-0000-0000353C0000}"/>
    <cellStyle name="40% - Accent5 16 6 2" xfId="16626" xr:uid="{00000000-0005-0000-0000-0000363C0000}"/>
    <cellStyle name="40% - Accent5 16 7" xfId="14632" xr:uid="{00000000-0005-0000-0000-0000373C0000}"/>
    <cellStyle name="40% - Accent5 16 8" xfId="13318" xr:uid="{00000000-0005-0000-0000-0000383C0000}"/>
    <cellStyle name="40% - Accent5 17" xfId="1383" xr:uid="{00000000-0005-0000-0000-0000393C0000}"/>
    <cellStyle name="40% - Accent5 17 2" xfId="4339" xr:uid="{00000000-0005-0000-0000-00003A3C0000}"/>
    <cellStyle name="40% - Accent5 17 2 2" xfId="12318" xr:uid="{00000000-0005-0000-0000-00003B3C0000}"/>
    <cellStyle name="40% - Accent5 17 2 2 2" xfId="23606" xr:uid="{00000000-0005-0000-0000-00003C3C0000}"/>
    <cellStyle name="40% - Accent5 17 2 3" xfId="10324" xr:uid="{00000000-0005-0000-0000-00003D3C0000}"/>
    <cellStyle name="40% - Accent5 17 2 3 2" xfId="21612" xr:uid="{00000000-0005-0000-0000-00003E3C0000}"/>
    <cellStyle name="40% - Accent5 17 2 4" xfId="8330" xr:uid="{00000000-0005-0000-0000-00003F3C0000}"/>
    <cellStyle name="40% - Accent5 17 2 4 2" xfId="19618" xr:uid="{00000000-0005-0000-0000-0000403C0000}"/>
    <cellStyle name="40% - Accent5 17 2 5" xfId="6336" xr:uid="{00000000-0005-0000-0000-0000413C0000}"/>
    <cellStyle name="40% - Accent5 17 2 5 2" xfId="17624" xr:uid="{00000000-0005-0000-0000-0000423C0000}"/>
    <cellStyle name="40% - Accent5 17 2 6" xfId="15630" xr:uid="{00000000-0005-0000-0000-0000433C0000}"/>
    <cellStyle name="40% - Accent5 17 3" xfId="11321" xr:uid="{00000000-0005-0000-0000-0000443C0000}"/>
    <cellStyle name="40% - Accent5 17 3 2" xfId="22609" xr:uid="{00000000-0005-0000-0000-0000453C0000}"/>
    <cellStyle name="40% - Accent5 17 4" xfId="9327" xr:uid="{00000000-0005-0000-0000-0000463C0000}"/>
    <cellStyle name="40% - Accent5 17 4 2" xfId="20615" xr:uid="{00000000-0005-0000-0000-0000473C0000}"/>
    <cellStyle name="40% - Accent5 17 5" xfId="7333" xr:uid="{00000000-0005-0000-0000-0000483C0000}"/>
    <cellStyle name="40% - Accent5 17 5 2" xfId="18621" xr:uid="{00000000-0005-0000-0000-0000493C0000}"/>
    <cellStyle name="40% - Accent5 17 6" xfId="5339" xr:uid="{00000000-0005-0000-0000-00004A3C0000}"/>
    <cellStyle name="40% - Accent5 17 6 2" xfId="16627" xr:uid="{00000000-0005-0000-0000-00004B3C0000}"/>
    <cellStyle name="40% - Accent5 17 7" xfId="14633" xr:uid="{00000000-0005-0000-0000-00004C3C0000}"/>
    <cellStyle name="40% - Accent5 17 8" xfId="13319" xr:uid="{00000000-0005-0000-0000-00004D3C0000}"/>
    <cellStyle name="40% - Accent5 18" xfId="1384" xr:uid="{00000000-0005-0000-0000-00004E3C0000}"/>
    <cellStyle name="40% - Accent5 18 2" xfId="4340" xr:uid="{00000000-0005-0000-0000-00004F3C0000}"/>
    <cellStyle name="40% - Accent5 18 2 2" xfId="12319" xr:uid="{00000000-0005-0000-0000-0000503C0000}"/>
    <cellStyle name="40% - Accent5 18 2 2 2" xfId="23607" xr:uid="{00000000-0005-0000-0000-0000513C0000}"/>
    <cellStyle name="40% - Accent5 18 2 3" xfId="10325" xr:uid="{00000000-0005-0000-0000-0000523C0000}"/>
    <cellStyle name="40% - Accent5 18 2 3 2" xfId="21613" xr:uid="{00000000-0005-0000-0000-0000533C0000}"/>
    <cellStyle name="40% - Accent5 18 2 4" xfId="8331" xr:uid="{00000000-0005-0000-0000-0000543C0000}"/>
    <cellStyle name="40% - Accent5 18 2 4 2" xfId="19619" xr:uid="{00000000-0005-0000-0000-0000553C0000}"/>
    <cellStyle name="40% - Accent5 18 2 5" xfId="6337" xr:uid="{00000000-0005-0000-0000-0000563C0000}"/>
    <cellStyle name="40% - Accent5 18 2 5 2" xfId="17625" xr:uid="{00000000-0005-0000-0000-0000573C0000}"/>
    <cellStyle name="40% - Accent5 18 2 6" xfId="15631" xr:uid="{00000000-0005-0000-0000-0000583C0000}"/>
    <cellStyle name="40% - Accent5 18 3" xfId="11322" xr:uid="{00000000-0005-0000-0000-0000593C0000}"/>
    <cellStyle name="40% - Accent5 18 3 2" xfId="22610" xr:uid="{00000000-0005-0000-0000-00005A3C0000}"/>
    <cellStyle name="40% - Accent5 18 4" xfId="9328" xr:uid="{00000000-0005-0000-0000-00005B3C0000}"/>
    <cellStyle name="40% - Accent5 18 4 2" xfId="20616" xr:uid="{00000000-0005-0000-0000-00005C3C0000}"/>
    <cellStyle name="40% - Accent5 18 5" xfId="7334" xr:uid="{00000000-0005-0000-0000-00005D3C0000}"/>
    <cellStyle name="40% - Accent5 18 5 2" xfId="18622" xr:uid="{00000000-0005-0000-0000-00005E3C0000}"/>
    <cellStyle name="40% - Accent5 18 6" xfId="5340" xr:uid="{00000000-0005-0000-0000-00005F3C0000}"/>
    <cellStyle name="40% - Accent5 18 6 2" xfId="16628" xr:uid="{00000000-0005-0000-0000-0000603C0000}"/>
    <cellStyle name="40% - Accent5 18 7" xfId="14634" xr:uid="{00000000-0005-0000-0000-0000613C0000}"/>
    <cellStyle name="40% - Accent5 18 8" xfId="13320" xr:uid="{00000000-0005-0000-0000-0000623C0000}"/>
    <cellStyle name="40% - Accent5 19" xfId="1385" xr:uid="{00000000-0005-0000-0000-0000633C0000}"/>
    <cellStyle name="40% - Accent5 19 2" xfId="4341" xr:uid="{00000000-0005-0000-0000-0000643C0000}"/>
    <cellStyle name="40% - Accent5 19 2 2" xfId="12320" xr:uid="{00000000-0005-0000-0000-0000653C0000}"/>
    <cellStyle name="40% - Accent5 19 2 2 2" xfId="23608" xr:uid="{00000000-0005-0000-0000-0000663C0000}"/>
    <cellStyle name="40% - Accent5 19 2 3" xfId="10326" xr:uid="{00000000-0005-0000-0000-0000673C0000}"/>
    <cellStyle name="40% - Accent5 19 2 3 2" xfId="21614" xr:uid="{00000000-0005-0000-0000-0000683C0000}"/>
    <cellStyle name="40% - Accent5 19 2 4" xfId="8332" xr:uid="{00000000-0005-0000-0000-0000693C0000}"/>
    <cellStyle name="40% - Accent5 19 2 4 2" xfId="19620" xr:uid="{00000000-0005-0000-0000-00006A3C0000}"/>
    <cellStyle name="40% - Accent5 19 2 5" xfId="6338" xr:uid="{00000000-0005-0000-0000-00006B3C0000}"/>
    <cellStyle name="40% - Accent5 19 2 5 2" xfId="17626" xr:uid="{00000000-0005-0000-0000-00006C3C0000}"/>
    <cellStyle name="40% - Accent5 19 2 6" xfId="15632" xr:uid="{00000000-0005-0000-0000-00006D3C0000}"/>
    <cellStyle name="40% - Accent5 19 3" xfId="11323" xr:uid="{00000000-0005-0000-0000-00006E3C0000}"/>
    <cellStyle name="40% - Accent5 19 3 2" xfId="22611" xr:uid="{00000000-0005-0000-0000-00006F3C0000}"/>
    <cellStyle name="40% - Accent5 19 4" xfId="9329" xr:uid="{00000000-0005-0000-0000-0000703C0000}"/>
    <cellStyle name="40% - Accent5 19 4 2" xfId="20617" xr:uid="{00000000-0005-0000-0000-0000713C0000}"/>
    <cellStyle name="40% - Accent5 19 5" xfId="7335" xr:uid="{00000000-0005-0000-0000-0000723C0000}"/>
    <cellStyle name="40% - Accent5 19 5 2" xfId="18623" xr:uid="{00000000-0005-0000-0000-0000733C0000}"/>
    <cellStyle name="40% - Accent5 19 6" xfId="5341" xr:uid="{00000000-0005-0000-0000-0000743C0000}"/>
    <cellStyle name="40% - Accent5 19 6 2" xfId="16629" xr:uid="{00000000-0005-0000-0000-0000753C0000}"/>
    <cellStyle name="40% - Accent5 19 7" xfId="14635" xr:uid="{00000000-0005-0000-0000-0000763C0000}"/>
    <cellStyle name="40% - Accent5 19 8" xfId="13321" xr:uid="{00000000-0005-0000-0000-0000773C0000}"/>
    <cellStyle name="40% - Accent5 2" xfId="1386" xr:uid="{00000000-0005-0000-0000-0000783C0000}"/>
    <cellStyle name="40% - Accent5 2 10" xfId="24619" xr:uid="{00000000-0005-0000-0000-0000793C0000}"/>
    <cellStyle name="40% - Accent5 2 11" xfId="25009" xr:uid="{00000000-0005-0000-0000-00007A3C0000}"/>
    <cellStyle name="40% - Accent5 2 2" xfId="4342" xr:uid="{00000000-0005-0000-0000-00007B3C0000}"/>
    <cellStyle name="40% - Accent5 2 2 2" xfId="12321" xr:uid="{00000000-0005-0000-0000-00007C3C0000}"/>
    <cellStyle name="40% - Accent5 2 2 2 2" xfId="23609" xr:uid="{00000000-0005-0000-0000-00007D3C0000}"/>
    <cellStyle name="40% - Accent5 2 2 3" xfId="10327" xr:uid="{00000000-0005-0000-0000-00007E3C0000}"/>
    <cellStyle name="40% - Accent5 2 2 3 2" xfId="21615" xr:uid="{00000000-0005-0000-0000-00007F3C0000}"/>
    <cellStyle name="40% - Accent5 2 2 4" xfId="8333" xr:uid="{00000000-0005-0000-0000-0000803C0000}"/>
    <cellStyle name="40% - Accent5 2 2 4 2" xfId="19621" xr:uid="{00000000-0005-0000-0000-0000813C0000}"/>
    <cellStyle name="40% - Accent5 2 2 5" xfId="6339" xr:uid="{00000000-0005-0000-0000-0000823C0000}"/>
    <cellStyle name="40% - Accent5 2 2 5 2" xfId="17627" xr:uid="{00000000-0005-0000-0000-0000833C0000}"/>
    <cellStyle name="40% - Accent5 2 2 6" xfId="15633" xr:uid="{00000000-0005-0000-0000-0000843C0000}"/>
    <cellStyle name="40% - Accent5 2 2 7" xfId="24380" xr:uid="{00000000-0005-0000-0000-0000853C0000}"/>
    <cellStyle name="40% - Accent5 2 2 8" xfId="24844" xr:uid="{00000000-0005-0000-0000-0000863C0000}"/>
    <cellStyle name="40% - Accent5 2 2 9" xfId="25211" xr:uid="{00000000-0005-0000-0000-0000873C0000}"/>
    <cellStyle name="40% - Accent5 2 3" xfId="11324" xr:uid="{00000000-0005-0000-0000-0000883C0000}"/>
    <cellStyle name="40% - Accent5 2 3 2" xfId="22612" xr:uid="{00000000-0005-0000-0000-0000893C0000}"/>
    <cellStyle name="40% - Accent5 2 4" xfId="9330" xr:uid="{00000000-0005-0000-0000-00008A3C0000}"/>
    <cellStyle name="40% - Accent5 2 4 2" xfId="20618" xr:uid="{00000000-0005-0000-0000-00008B3C0000}"/>
    <cellStyle name="40% - Accent5 2 5" xfId="7336" xr:uid="{00000000-0005-0000-0000-00008C3C0000}"/>
    <cellStyle name="40% - Accent5 2 5 2" xfId="18624" xr:uid="{00000000-0005-0000-0000-00008D3C0000}"/>
    <cellStyle name="40% - Accent5 2 6" xfId="5342" xr:uid="{00000000-0005-0000-0000-00008E3C0000}"/>
    <cellStyle name="40% - Accent5 2 6 2" xfId="16630" xr:uid="{00000000-0005-0000-0000-00008F3C0000}"/>
    <cellStyle name="40% - Accent5 2 7" xfId="14636" xr:uid="{00000000-0005-0000-0000-0000903C0000}"/>
    <cellStyle name="40% - Accent5 2 8" xfId="13322" xr:uid="{00000000-0005-0000-0000-0000913C0000}"/>
    <cellStyle name="40% - Accent5 2 9" xfId="23992" xr:uid="{00000000-0005-0000-0000-0000923C0000}"/>
    <cellStyle name="40% - Accent5 20" xfId="1387" xr:uid="{00000000-0005-0000-0000-0000933C0000}"/>
    <cellStyle name="40% - Accent5 20 2" xfId="4343" xr:uid="{00000000-0005-0000-0000-0000943C0000}"/>
    <cellStyle name="40% - Accent5 20 2 2" xfId="12322" xr:uid="{00000000-0005-0000-0000-0000953C0000}"/>
    <cellStyle name="40% - Accent5 20 2 2 2" xfId="23610" xr:uid="{00000000-0005-0000-0000-0000963C0000}"/>
    <cellStyle name="40% - Accent5 20 2 3" xfId="10328" xr:uid="{00000000-0005-0000-0000-0000973C0000}"/>
    <cellStyle name="40% - Accent5 20 2 3 2" xfId="21616" xr:uid="{00000000-0005-0000-0000-0000983C0000}"/>
    <cellStyle name="40% - Accent5 20 2 4" xfId="8334" xr:uid="{00000000-0005-0000-0000-0000993C0000}"/>
    <cellStyle name="40% - Accent5 20 2 4 2" xfId="19622" xr:uid="{00000000-0005-0000-0000-00009A3C0000}"/>
    <cellStyle name="40% - Accent5 20 2 5" xfId="6340" xr:uid="{00000000-0005-0000-0000-00009B3C0000}"/>
    <cellStyle name="40% - Accent5 20 2 5 2" xfId="17628" xr:uid="{00000000-0005-0000-0000-00009C3C0000}"/>
    <cellStyle name="40% - Accent5 20 2 6" xfId="15634" xr:uid="{00000000-0005-0000-0000-00009D3C0000}"/>
    <cellStyle name="40% - Accent5 20 3" xfId="11325" xr:uid="{00000000-0005-0000-0000-00009E3C0000}"/>
    <cellStyle name="40% - Accent5 20 3 2" xfId="22613" xr:uid="{00000000-0005-0000-0000-00009F3C0000}"/>
    <cellStyle name="40% - Accent5 20 4" xfId="9331" xr:uid="{00000000-0005-0000-0000-0000A03C0000}"/>
    <cellStyle name="40% - Accent5 20 4 2" xfId="20619" xr:uid="{00000000-0005-0000-0000-0000A13C0000}"/>
    <cellStyle name="40% - Accent5 20 5" xfId="7337" xr:uid="{00000000-0005-0000-0000-0000A23C0000}"/>
    <cellStyle name="40% - Accent5 20 5 2" xfId="18625" xr:uid="{00000000-0005-0000-0000-0000A33C0000}"/>
    <cellStyle name="40% - Accent5 20 6" xfId="5343" xr:uid="{00000000-0005-0000-0000-0000A43C0000}"/>
    <cellStyle name="40% - Accent5 20 6 2" xfId="16631" xr:uid="{00000000-0005-0000-0000-0000A53C0000}"/>
    <cellStyle name="40% - Accent5 20 7" xfId="14637" xr:uid="{00000000-0005-0000-0000-0000A63C0000}"/>
    <cellStyle name="40% - Accent5 20 8" xfId="13323" xr:uid="{00000000-0005-0000-0000-0000A73C0000}"/>
    <cellStyle name="40% - Accent5 21" xfId="1388" xr:uid="{00000000-0005-0000-0000-0000A83C0000}"/>
    <cellStyle name="40% - Accent5 21 2" xfId="4344" xr:uid="{00000000-0005-0000-0000-0000A93C0000}"/>
    <cellStyle name="40% - Accent5 21 2 2" xfId="12323" xr:uid="{00000000-0005-0000-0000-0000AA3C0000}"/>
    <cellStyle name="40% - Accent5 21 2 2 2" xfId="23611" xr:uid="{00000000-0005-0000-0000-0000AB3C0000}"/>
    <cellStyle name="40% - Accent5 21 2 3" xfId="10329" xr:uid="{00000000-0005-0000-0000-0000AC3C0000}"/>
    <cellStyle name="40% - Accent5 21 2 3 2" xfId="21617" xr:uid="{00000000-0005-0000-0000-0000AD3C0000}"/>
    <cellStyle name="40% - Accent5 21 2 4" xfId="8335" xr:uid="{00000000-0005-0000-0000-0000AE3C0000}"/>
    <cellStyle name="40% - Accent5 21 2 4 2" xfId="19623" xr:uid="{00000000-0005-0000-0000-0000AF3C0000}"/>
    <cellStyle name="40% - Accent5 21 2 5" xfId="6341" xr:uid="{00000000-0005-0000-0000-0000B03C0000}"/>
    <cellStyle name="40% - Accent5 21 2 5 2" xfId="17629" xr:uid="{00000000-0005-0000-0000-0000B13C0000}"/>
    <cellStyle name="40% - Accent5 21 2 6" xfId="15635" xr:uid="{00000000-0005-0000-0000-0000B23C0000}"/>
    <cellStyle name="40% - Accent5 21 3" xfId="11326" xr:uid="{00000000-0005-0000-0000-0000B33C0000}"/>
    <cellStyle name="40% - Accent5 21 3 2" xfId="22614" xr:uid="{00000000-0005-0000-0000-0000B43C0000}"/>
    <cellStyle name="40% - Accent5 21 4" xfId="9332" xr:uid="{00000000-0005-0000-0000-0000B53C0000}"/>
    <cellStyle name="40% - Accent5 21 4 2" xfId="20620" xr:uid="{00000000-0005-0000-0000-0000B63C0000}"/>
    <cellStyle name="40% - Accent5 21 5" xfId="7338" xr:uid="{00000000-0005-0000-0000-0000B73C0000}"/>
    <cellStyle name="40% - Accent5 21 5 2" xfId="18626" xr:uid="{00000000-0005-0000-0000-0000B83C0000}"/>
    <cellStyle name="40% - Accent5 21 6" xfId="5344" xr:uid="{00000000-0005-0000-0000-0000B93C0000}"/>
    <cellStyle name="40% - Accent5 21 6 2" xfId="16632" xr:uid="{00000000-0005-0000-0000-0000BA3C0000}"/>
    <cellStyle name="40% - Accent5 21 7" xfId="14638" xr:uid="{00000000-0005-0000-0000-0000BB3C0000}"/>
    <cellStyle name="40% - Accent5 21 8" xfId="13324" xr:uid="{00000000-0005-0000-0000-0000BC3C0000}"/>
    <cellStyle name="40% - Accent5 22" xfId="1389" xr:uid="{00000000-0005-0000-0000-0000BD3C0000}"/>
    <cellStyle name="40% - Accent5 22 2" xfId="4345" xr:uid="{00000000-0005-0000-0000-0000BE3C0000}"/>
    <cellStyle name="40% - Accent5 22 2 2" xfId="12324" xr:uid="{00000000-0005-0000-0000-0000BF3C0000}"/>
    <cellStyle name="40% - Accent5 22 2 2 2" xfId="23612" xr:uid="{00000000-0005-0000-0000-0000C03C0000}"/>
    <cellStyle name="40% - Accent5 22 2 3" xfId="10330" xr:uid="{00000000-0005-0000-0000-0000C13C0000}"/>
    <cellStyle name="40% - Accent5 22 2 3 2" xfId="21618" xr:uid="{00000000-0005-0000-0000-0000C23C0000}"/>
    <cellStyle name="40% - Accent5 22 2 4" xfId="8336" xr:uid="{00000000-0005-0000-0000-0000C33C0000}"/>
    <cellStyle name="40% - Accent5 22 2 4 2" xfId="19624" xr:uid="{00000000-0005-0000-0000-0000C43C0000}"/>
    <cellStyle name="40% - Accent5 22 2 5" xfId="6342" xr:uid="{00000000-0005-0000-0000-0000C53C0000}"/>
    <cellStyle name="40% - Accent5 22 2 5 2" xfId="17630" xr:uid="{00000000-0005-0000-0000-0000C63C0000}"/>
    <cellStyle name="40% - Accent5 22 2 6" xfId="15636" xr:uid="{00000000-0005-0000-0000-0000C73C0000}"/>
    <cellStyle name="40% - Accent5 22 3" xfId="11327" xr:uid="{00000000-0005-0000-0000-0000C83C0000}"/>
    <cellStyle name="40% - Accent5 22 3 2" xfId="22615" xr:uid="{00000000-0005-0000-0000-0000C93C0000}"/>
    <cellStyle name="40% - Accent5 22 4" xfId="9333" xr:uid="{00000000-0005-0000-0000-0000CA3C0000}"/>
    <cellStyle name="40% - Accent5 22 4 2" xfId="20621" xr:uid="{00000000-0005-0000-0000-0000CB3C0000}"/>
    <cellStyle name="40% - Accent5 22 5" xfId="7339" xr:uid="{00000000-0005-0000-0000-0000CC3C0000}"/>
    <cellStyle name="40% - Accent5 22 5 2" xfId="18627" xr:uid="{00000000-0005-0000-0000-0000CD3C0000}"/>
    <cellStyle name="40% - Accent5 22 6" xfId="5345" xr:uid="{00000000-0005-0000-0000-0000CE3C0000}"/>
    <cellStyle name="40% - Accent5 22 6 2" xfId="16633" xr:uid="{00000000-0005-0000-0000-0000CF3C0000}"/>
    <cellStyle name="40% - Accent5 22 7" xfId="14639" xr:uid="{00000000-0005-0000-0000-0000D03C0000}"/>
    <cellStyle name="40% - Accent5 22 8" xfId="13325" xr:uid="{00000000-0005-0000-0000-0000D13C0000}"/>
    <cellStyle name="40% - Accent5 23" xfId="1390" xr:uid="{00000000-0005-0000-0000-0000D23C0000}"/>
    <cellStyle name="40% - Accent5 23 2" xfId="4346" xr:uid="{00000000-0005-0000-0000-0000D33C0000}"/>
    <cellStyle name="40% - Accent5 23 2 2" xfId="12325" xr:uid="{00000000-0005-0000-0000-0000D43C0000}"/>
    <cellStyle name="40% - Accent5 23 2 2 2" xfId="23613" xr:uid="{00000000-0005-0000-0000-0000D53C0000}"/>
    <cellStyle name="40% - Accent5 23 2 3" xfId="10331" xr:uid="{00000000-0005-0000-0000-0000D63C0000}"/>
    <cellStyle name="40% - Accent5 23 2 3 2" xfId="21619" xr:uid="{00000000-0005-0000-0000-0000D73C0000}"/>
    <cellStyle name="40% - Accent5 23 2 4" xfId="8337" xr:uid="{00000000-0005-0000-0000-0000D83C0000}"/>
    <cellStyle name="40% - Accent5 23 2 4 2" xfId="19625" xr:uid="{00000000-0005-0000-0000-0000D93C0000}"/>
    <cellStyle name="40% - Accent5 23 2 5" xfId="6343" xr:uid="{00000000-0005-0000-0000-0000DA3C0000}"/>
    <cellStyle name="40% - Accent5 23 2 5 2" xfId="17631" xr:uid="{00000000-0005-0000-0000-0000DB3C0000}"/>
    <cellStyle name="40% - Accent5 23 2 6" xfId="15637" xr:uid="{00000000-0005-0000-0000-0000DC3C0000}"/>
    <cellStyle name="40% - Accent5 23 3" xfId="11328" xr:uid="{00000000-0005-0000-0000-0000DD3C0000}"/>
    <cellStyle name="40% - Accent5 23 3 2" xfId="22616" xr:uid="{00000000-0005-0000-0000-0000DE3C0000}"/>
    <cellStyle name="40% - Accent5 23 4" xfId="9334" xr:uid="{00000000-0005-0000-0000-0000DF3C0000}"/>
    <cellStyle name="40% - Accent5 23 4 2" xfId="20622" xr:uid="{00000000-0005-0000-0000-0000E03C0000}"/>
    <cellStyle name="40% - Accent5 23 5" xfId="7340" xr:uid="{00000000-0005-0000-0000-0000E13C0000}"/>
    <cellStyle name="40% - Accent5 23 5 2" xfId="18628" xr:uid="{00000000-0005-0000-0000-0000E23C0000}"/>
    <cellStyle name="40% - Accent5 23 6" xfId="5346" xr:uid="{00000000-0005-0000-0000-0000E33C0000}"/>
    <cellStyle name="40% - Accent5 23 6 2" xfId="16634" xr:uid="{00000000-0005-0000-0000-0000E43C0000}"/>
    <cellStyle name="40% - Accent5 23 7" xfId="14640" xr:uid="{00000000-0005-0000-0000-0000E53C0000}"/>
    <cellStyle name="40% - Accent5 23 8" xfId="13326" xr:uid="{00000000-0005-0000-0000-0000E63C0000}"/>
    <cellStyle name="40% - Accent5 24" xfId="1391" xr:uid="{00000000-0005-0000-0000-0000E73C0000}"/>
    <cellStyle name="40% - Accent5 24 2" xfId="4347" xr:uid="{00000000-0005-0000-0000-0000E83C0000}"/>
    <cellStyle name="40% - Accent5 24 2 2" xfId="12326" xr:uid="{00000000-0005-0000-0000-0000E93C0000}"/>
    <cellStyle name="40% - Accent5 24 2 2 2" xfId="23614" xr:uid="{00000000-0005-0000-0000-0000EA3C0000}"/>
    <cellStyle name="40% - Accent5 24 2 3" xfId="10332" xr:uid="{00000000-0005-0000-0000-0000EB3C0000}"/>
    <cellStyle name="40% - Accent5 24 2 3 2" xfId="21620" xr:uid="{00000000-0005-0000-0000-0000EC3C0000}"/>
    <cellStyle name="40% - Accent5 24 2 4" xfId="8338" xr:uid="{00000000-0005-0000-0000-0000ED3C0000}"/>
    <cellStyle name="40% - Accent5 24 2 4 2" xfId="19626" xr:uid="{00000000-0005-0000-0000-0000EE3C0000}"/>
    <cellStyle name="40% - Accent5 24 2 5" xfId="6344" xr:uid="{00000000-0005-0000-0000-0000EF3C0000}"/>
    <cellStyle name="40% - Accent5 24 2 5 2" xfId="17632" xr:uid="{00000000-0005-0000-0000-0000F03C0000}"/>
    <cellStyle name="40% - Accent5 24 2 6" xfId="15638" xr:uid="{00000000-0005-0000-0000-0000F13C0000}"/>
    <cellStyle name="40% - Accent5 24 3" xfId="11329" xr:uid="{00000000-0005-0000-0000-0000F23C0000}"/>
    <cellStyle name="40% - Accent5 24 3 2" xfId="22617" xr:uid="{00000000-0005-0000-0000-0000F33C0000}"/>
    <cellStyle name="40% - Accent5 24 4" xfId="9335" xr:uid="{00000000-0005-0000-0000-0000F43C0000}"/>
    <cellStyle name="40% - Accent5 24 4 2" xfId="20623" xr:uid="{00000000-0005-0000-0000-0000F53C0000}"/>
    <cellStyle name="40% - Accent5 24 5" xfId="7341" xr:uid="{00000000-0005-0000-0000-0000F63C0000}"/>
    <cellStyle name="40% - Accent5 24 5 2" xfId="18629" xr:uid="{00000000-0005-0000-0000-0000F73C0000}"/>
    <cellStyle name="40% - Accent5 24 6" xfId="5347" xr:uid="{00000000-0005-0000-0000-0000F83C0000}"/>
    <cellStyle name="40% - Accent5 24 6 2" xfId="16635" xr:uid="{00000000-0005-0000-0000-0000F93C0000}"/>
    <cellStyle name="40% - Accent5 24 7" xfId="14641" xr:uid="{00000000-0005-0000-0000-0000FA3C0000}"/>
    <cellStyle name="40% - Accent5 24 8" xfId="13327" xr:uid="{00000000-0005-0000-0000-0000FB3C0000}"/>
    <cellStyle name="40% - Accent5 25" xfId="1392" xr:uid="{00000000-0005-0000-0000-0000FC3C0000}"/>
    <cellStyle name="40% - Accent5 25 2" xfId="4348" xr:uid="{00000000-0005-0000-0000-0000FD3C0000}"/>
    <cellStyle name="40% - Accent5 25 2 2" xfId="12327" xr:uid="{00000000-0005-0000-0000-0000FE3C0000}"/>
    <cellStyle name="40% - Accent5 25 2 2 2" xfId="23615" xr:uid="{00000000-0005-0000-0000-0000FF3C0000}"/>
    <cellStyle name="40% - Accent5 25 2 3" xfId="10333" xr:uid="{00000000-0005-0000-0000-0000003D0000}"/>
    <cellStyle name="40% - Accent5 25 2 3 2" xfId="21621" xr:uid="{00000000-0005-0000-0000-0000013D0000}"/>
    <cellStyle name="40% - Accent5 25 2 4" xfId="8339" xr:uid="{00000000-0005-0000-0000-0000023D0000}"/>
    <cellStyle name="40% - Accent5 25 2 4 2" xfId="19627" xr:uid="{00000000-0005-0000-0000-0000033D0000}"/>
    <cellStyle name="40% - Accent5 25 2 5" xfId="6345" xr:uid="{00000000-0005-0000-0000-0000043D0000}"/>
    <cellStyle name="40% - Accent5 25 2 5 2" xfId="17633" xr:uid="{00000000-0005-0000-0000-0000053D0000}"/>
    <cellStyle name="40% - Accent5 25 2 6" xfId="15639" xr:uid="{00000000-0005-0000-0000-0000063D0000}"/>
    <cellStyle name="40% - Accent5 25 3" xfId="11330" xr:uid="{00000000-0005-0000-0000-0000073D0000}"/>
    <cellStyle name="40% - Accent5 25 3 2" xfId="22618" xr:uid="{00000000-0005-0000-0000-0000083D0000}"/>
    <cellStyle name="40% - Accent5 25 4" xfId="9336" xr:uid="{00000000-0005-0000-0000-0000093D0000}"/>
    <cellStyle name="40% - Accent5 25 4 2" xfId="20624" xr:uid="{00000000-0005-0000-0000-00000A3D0000}"/>
    <cellStyle name="40% - Accent5 25 5" xfId="7342" xr:uid="{00000000-0005-0000-0000-00000B3D0000}"/>
    <cellStyle name="40% - Accent5 25 5 2" xfId="18630" xr:uid="{00000000-0005-0000-0000-00000C3D0000}"/>
    <cellStyle name="40% - Accent5 25 6" xfId="5348" xr:uid="{00000000-0005-0000-0000-00000D3D0000}"/>
    <cellStyle name="40% - Accent5 25 6 2" xfId="16636" xr:uid="{00000000-0005-0000-0000-00000E3D0000}"/>
    <cellStyle name="40% - Accent5 25 7" xfId="14642" xr:uid="{00000000-0005-0000-0000-00000F3D0000}"/>
    <cellStyle name="40% - Accent5 25 8" xfId="13328" xr:uid="{00000000-0005-0000-0000-0000103D0000}"/>
    <cellStyle name="40% - Accent5 26" xfId="1393" xr:uid="{00000000-0005-0000-0000-0000113D0000}"/>
    <cellStyle name="40% - Accent5 26 2" xfId="4349" xr:uid="{00000000-0005-0000-0000-0000123D0000}"/>
    <cellStyle name="40% - Accent5 26 2 2" xfId="12328" xr:uid="{00000000-0005-0000-0000-0000133D0000}"/>
    <cellStyle name="40% - Accent5 26 2 2 2" xfId="23616" xr:uid="{00000000-0005-0000-0000-0000143D0000}"/>
    <cellStyle name="40% - Accent5 26 2 3" xfId="10334" xr:uid="{00000000-0005-0000-0000-0000153D0000}"/>
    <cellStyle name="40% - Accent5 26 2 3 2" xfId="21622" xr:uid="{00000000-0005-0000-0000-0000163D0000}"/>
    <cellStyle name="40% - Accent5 26 2 4" xfId="8340" xr:uid="{00000000-0005-0000-0000-0000173D0000}"/>
    <cellStyle name="40% - Accent5 26 2 4 2" xfId="19628" xr:uid="{00000000-0005-0000-0000-0000183D0000}"/>
    <cellStyle name="40% - Accent5 26 2 5" xfId="6346" xr:uid="{00000000-0005-0000-0000-0000193D0000}"/>
    <cellStyle name="40% - Accent5 26 2 5 2" xfId="17634" xr:uid="{00000000-0005-0000-0000-00001A3D0000}"/>
    <cellStyle name="40% - Accent5 26 2 6" xfId="15640" xr:uid="{00000000-0005-0000-0000-00001B3D0000}"/>
    <cellStyle name="40% - Accent5 26 3" xfId="11331" xr:uid="{00000000-0005-0000-0000-00001C3D0000}"/>
    <cellStyle name="40% - Accent5 26 3 2" xfId="22619" xr:uid="{00000000-0005-0000-0000-00001D3D0000}"/>
    <cellStyle name="40% - Accent5 26 4" xfId="9337" xr:uid="{00000000-0005-0000-0000-00001E3D0000}"/>
    <cellStyle name="40% - Accent5 26 4 2" xfId="20625" xr:uid="{00000000-0005-0000-0000-00001F3D0000}"/>
    <cellStyle name="40% - Accent5 26 5" xfId="7343" xr:uid="{00000000-0005-0000-0000-0000203D0000}"/>
    <cellStyle name="40% - Accent5 26 5 2" xfId="18631" xr:uid="{00000000-0005-0000-0000-0000213D0000}"/>
    <cellStyle name="40% - Accent5 26 6" xfId="5349" xr:uid="{00000000-0005-0000-0000-0000223D0000}"/>
    <cellStyle name="40% - Accent5 26 6 2" xfId="16637" xr:uid="{00000000-0005-0000-0000-0000233D0000}"/>
    <cellStyle name="40% - Accent5 26 7" xfId="14643" xr:uid="{00000000-0005-0000-0000-0000243D0000}"/>
    <cellStyle name="40% - Accent5 26 8" xfId="13329" xr:uid="{00000000-0005-0000-0000-0000253D0000}"/>
    <cellStyle name="40% - Accent5 27" xfId="1394" xr:uid="{00000000-0005-0000-0000-0000263D0000}"/>
    <cellStyle name="40% - Accent5 27 2" xfId="4350" xr:uid="{00000000-0005-0000-0000-0000273D0000}"/>
    <cellStyle name="40% - Accent5 27 2 2" xfId="12329" xr:uid="{00000000-0005-0000-0000-0000283D0000}"/>
    <cellStyle name="40% - Accent5 27 2 2 2" xfId="23617" xr:uid="{00000000-0005-0000-0000-0000293D0000}"/>
    <cellStyle name="40% - Accent5 27 2 3" xfId="10335" xr:uid="{00000000-0005-0000-0000-00002A3D0000}"/>
    <cellStyle name="40% - Accent5 27 2 3 2" xfId="21623" xr:uid="{00000000-0005-0000-0000-00002B3D0000}"/>
    <cellStyle name="40% - Accent5 27 2 4" xfId="8341" xr:uid="{00000000-0005-0000-0000-00002C3D0000}"/>
    <cellStyle name="40% - Accent5 27 2 4 2" xfId="19629" xr:uid="{00000000-0005-0000-0000-00002D3D0000}"/>
    <cellStyle name="40% - Accent5 27 2 5" xfId="6347" xr:uid="{00000000-0005-0000-0000-00002E3D0000}"/>
    <cellStyle name="40% - Accent5 27 2 5 2" xfId="17635" xr:uid="{00000000-0005-0000-0000-00002F3D0000}"/>
    <cellStyle name="40% - Accent5 27 2 6" xfId="15641" xr:uid="{00000000-0005-0000-0000-0000303D0000}"/>
    <cellStyle name="40% - Accent5 27 3" xfId="11332" xr:uid="{00000000-0005-0000-0000-0000313D0000}"/>
    <cellStyle name="40% - Accent5 27 3 2" xfId="22620" xr:uid="{00000000-0005-0000-0000-0000323D0000}"/>
    <cellStyle name="40% - Accent5 27 4" xfId="9338" xr:uid="{00000000-0005-0000-0000-0000333D0000}"/>
    <cellStyle name="40% - Accent5 27 4 2" xfId="20626" xr:uid="{00000000-0005-0000-0000-0000343D0000}"/>
    <cellStyle name="40% - Accent5 27 5" xfId="7344" xr:uid="{00000000-0005-0000-0000-0000353D0000}"/>
    <cellStyle name="40% - Accent5 27 5 2" xfId="18632" xr:uid="{00000000-0005-0000-0000-0000363D0000}"/>
    <cellStyle name="40% - Accent5 27 6" xfId="5350" xr:uid="{00000000-0005-0000-0000-0000373D0000}"/>
    <cellStyle name="40% - Accent5 27 6 2" xfId="16638" xr:uid="{00000000-0005-0000-0000-0000383D0000}"/>
    <cellStyle name="40% - Accent5 27 7" xfId="14644" xr:uid="{00000000-0005-0000-0000-0000393D0000}"/>
    <cellStyle name="40% - Accent5 27 8" xfId="13330" xr:uid="{00000000-0005-0000-0000-00003A3D0000}"/>
    <cellStyle name="40% - Accent5 28" xfId="1395" xr:uid="{00000000-0005-0000-0000-00003B3D0000}"/>
    <cellStyle name="40% - Accent5 28 2" xfId="4351" xr:uid="{00000000-0005-0000-0000-00003C3D0000}"/>
    <cellStyle name="40% - Accent5 28 2 2" xfId="12330" xr:uid="{00000000-0005-0000-0000-00003D3D0000}"/>
    <cellStyle name="40% - Accent5 28 2 2 2" xfId="23618" xr:uid="{00000000-0005-0000-0000-00003E3D0000}"/>
    <cellStyle name="40% - Accent5 28 2 3" xfId="10336" xr:uid="{00000000-0005-0000-0000-00003F3D0000}"/>
    <cellStyle name="40% - Accent5 28 2 3 2" xfId="21624" xr:uid="{00000000-0005-0000-0000-0000403D0000}"/>
    <cellStyle name="40% - Accent5 28 2 4" xfId="8342" xr:uid="{00000000-0005-0000-0000-0000413D0000}"/>
    <cellStyle name="40% - Accent5 28 2 4 2" xfId="19630" xr:uid="{00000000-0005-0000-0000-0000423D0000}"/>
    <cellStyle name="40% - Accent5 28 2 5" xfId="6348" xr:uid="{00000000-0005-0000-0000-0000433D0000}"/>
    <cellStyle name="40% - Accent5 28 2 5 2" xfId="17636" xr:uid="{00000000-0005-0000-0000-0000443D0000}"/>
    <cellStyle name="40% - Accent5 28 2 6" xfId="15642" xr:uid="{00000000-0005-0000-0000-0000453D0000}"/>
    <cellStyle name="40% - Accent5 28 3" xfId="11333" xr:uid="{00000000-0005-0000-0000-0000463D0000}"/>
    <cellStyle name="40% - Accent5 28 3 2" xfId="22621" xr:uid="{00000000-0005-0000-0000-0000473D0000}"/>
    <cellStyle name="40% - Accent5 28 4" xfId="9339" xr:uid="{00000000-0005-0000-0000-0000483D0000}"/>
    <cellStyle name="40% - Accent5 28 4 2" xfId="20627" xr:uid="{00000000-0005-0000-0000-0000493D0000}"/>
    <cellStyle name="40% - Accent5 28 5" xfId="7345" xr:uid="{00000000-0005-0000-0000-00004A3D0000}"/>
    <cellStyle name="40% - Accent5 28 5 2" xfId="18633" xr:uid="{00000000-0005-0000-0000-00004B3D0000}"/>
    <cellStyle name="40% - Accent5 28 6" xfId="5351" xr:uid="{00000000-0005-0000-0000-00004C3D0000}"/>
    <cellStyle name="40% - Accent5 28 6 2" xfId="16639" xr:uid="{00000000-0005-0000-0000-00004D3D0000}"/>
    <cellStyle name="40% - Accent5 28 7" xfId="14645" xr:uid="{00000000-0005-0000-0000-00004E3D0000}"/>
    <cellStyle name="40% - Accent5 28 8" xfId="13331" xr:uid="{00000000-0005-0000-0000-00004F3D0000}"/>
    <cellStyle name="40% - Accent5 29" xfId="1396" xr:uid="{00000000-0005-0000-0000-0000503D0000}"/>
    <cellStyle name="40% - Accent5 29 2" xfId="4352" xr:uid="{00000000-0005-0000-0000-0000513D0000}"/>
    <cellStyle name="40% - Accent5 29 2 2" xfId="12331" xr:uid="{00000000-0005-0000-0000-0000523D0000}"/>
    <cellStyle name="40% - Accent5 29 2 2 2" xfId="23619" xr:uid="{00000000-0005-0000-0000-0000533D0000}"/>
    <cellStyle name="40% - Accent5 29 2 3" xfId="10337" xr:uid="{00000000-0005-0000-0000-0000543D0000}"/>
    <cellStyle name="40% - Accent5 29 2 3 2" xfId="21625" xr:uid="{00000000-0005-0000-0000-0000553D0000}"/>
    <cellStyle name="40% - Accent5 29 2 4" xfId="8343" xr:uid="{00000000-0005-0000-0000-0000563D0000}"/>
    <cellStyle name="40% - Accent5 29 2 4 2" xfId="19631" xr:uid="{00000000-0005-0000-0000-0000573D0000}"/>
    <cellStyle name="40% - Accent5 29 2 5" xfId="6349" xr:uid="{00000000-0005-0000-0000-0000583D0000}"/>
    <cellStyle name="40% - Accent5 29 2 5 2" xfId="17637" xr:uid="{00000000-0005-0000-0000-0000593D0000}"/>
    <cellStyle name="40% - Accent5 29 2 6" xfId="15643" xr:uid="{00000000-0005-0000-0000-00005A3D0000}"/>
    <cellStyle name="40% - Accent5 29 3" xfId="11334" xr:uid="{00000000-0005-0000-0000-00005B3D0000}"/>
    <cellStyle name="40% - Accent5 29 3 2" xfId="22622" xr:uid="{00000000-0005-0000-0000-00005C3D0000}"/>
    <cellStyle name="40% - Accent5 29 4" xfId="9340" xr:uid="{00000000-0005-0000-0000-00005D3D0000}"/>
    <cellStyle name="40% - Accent5 29 4 2" xfId="20628" xr:uid="{00000000-0005-0000-0000-00005E3D0000}"/>
    <cellStyle name="40% - Accent5 29 5" xfId="7346" xr:uid="{00000000-0005-0000-0000-00005F3D0000}"/>
    <cellStyle name="40% - Accent5 29 5 2" xfId="18634" xr:uid="{00000000-0005-0000-0000-0000603D0000}"/>
    <cellStyle name="40% - Accent5 29 6" xfId="5352" xr:uid="{00000000-0005-0000-0000-0000613D0000}"/>
    <cellStyle name="40% - Accent5 29 6 2" xfId="16640" xr:uid="{00000000-0005-0000-0000-0000623D0000}"/>
    <cellStyle name="40% - Accent5 29 7" xfId="14646" xr:uid="{00000000-0005-0000-0000-0000633D0000}"/>
    <cellStyle name="40% - Accent5 29 8" xfId="13332" xr:uid="{00000000-0005-0000-0000-0000643D0000}"/>
    <cellStyle name="40% - Accent5 3" xfId="1397" xr:uid="{00000000-0005-0000-0000-0000653D0000}"/>
    <cellStyle name="40% - Accent5 3 10" xfId="24620" xr:uid="{00000000-0005-0000-0000-0000663D0000}"/>
    <cellStyle name="40% - Accent5 3 11" xfId="25010" xr:uid="{00000000-0005-0000-0000-0000673D0000}"/>
    <cellStyle name="40% - Accent5 3 2" xfId="4353" xr:uid="{00000000-0005-0000-0000-0000683D0000}"/>
    <cellStyle name="40% - Accent5 3 2 2" xfId="12332" xr:uid="{00000000-0005-0000-0000-0000693D0000}"/>
    <cellStyle name="40% - Accent5 3 2 2 2" xfId="23620" xr:uid="{00000000-0005-0000-0000-00006A3D0000}"/>
    <cellStyle name="40% - Accent5 3 2 3" xfId="10338" xr:uid="{00000000-0005-0000-0000-00006B3D0000}"/>
    <cellStyle name="40% - Accent5 3 2 3 2" xfId="21626" xr:uid="{00000000-0005-0000-0000-00006C3D0000}"/>
    <cellStyle name="40% - Accent5 3 2 4" xfId="8344" xr:uid="{00000000-0005-0000-0000-00006D3D0000}"/>
    <cellStyle name="40% - Accent5 3 2 4 2" xfId="19632" xr:uid="{00000000-0005-0000-0000-00006E3D0000}"/>
    <cellStyle name="40% - Accent5 3 2 5" xfId="6350" xr:uid="{00000000-0005-0000-0000-00006F3D0000}"/>
    <cellStyle name="40% - Accent5 3 2 5 2" xfId="17638" xr:uid="{00000000-0005-0000-0000-0000703D0000}"/>
    <cellStyle name="40% - Accent5 3 2 6" xfId="15644" xr:uid="{00000000-0005-0000-0000-0000713D0000}"/>
    <cellStyle name="40% - Accent5 3 2 7" xfId="24381" xr:uid="{00000000-0005-0000-0000-0000723D0000}"/>
    <cellStyle name="40% - Accent5 3 2 8" xfId="24845" xr:uid="{00000000-0005-0000-0000-0000733D0000}"/>
    <cellStyle name="40% - Accent5 3 2 9" xfId="25212" xr:uid="{00000000-0005-0000-0000-0000743D0000}"/>
    <cellStyle name="40% - Accent5 3 3" xfId="11335" xr:uid="{00000000-0005-0000-0000-0000753D0000}"/>
    <cellStyle name="40% - Accent5 3 3 2" xfId="22623" xr:uid="{00000000-0005-0000-0000-0000763D0000}"/>
    <cellStyle name="40% - Accent5 3 4" xfId="9341" xr:uid="{00000000-0005-0000-0000-0000773D0000}"/>
    <cellStyle name="40% - Accent5 3 4 2" xfId="20629" xr:uid="{00000000-0005-0000-0000-0000783D0000}"/>
    <cellStyle name="40% - Accent5 3 5" xfId="7347" xr:uid="{00000000-0005-0000-0000-0000793D0000}"/>
    <cellStyle name="40% - Accent5 3 5 2" xfId="18635" xr:uid="{00000000-0005-0000-0000-00007A3D0000}"/>
    <cellStyle name="40% - Accent5 3 6" xfId="5353" xr:uid="{00000000-0005-0000-0000-00007B3D0000}"/>
    <cellStyle name="40% - Accent5 3 6 2" xfId="16641" xr:uid="{00000000-0005-0000-0000-00007C3D0000}"/>
    <cellStyle name="40% - Accent5 3 7" xfId="14647" xr:uid="{00000000-0005-0000-0000-00007D3D0000}"/>
    <cellStyle name="40% - Accent5 3 8" xfId="13333" xr:uid="{00000000-0005-0000-0000-00007E3D0000}"/>
    <cellStyle name="40% - Accent5 3 9" xfId="23993" xr:uid="{00000000-0005-0000-0000-00007F3D0000}"/>
    <cellStyle name="40% - Accent5 30" xfId="1398" xr:uid="{00000000-0005-0000-0000-0000803D0000}"/>
    <cellStyle name="40% - Accent5 30 2" xfId="4354" xr:uid="{00000000-0005-0000-0000-0000813D0000}"/>
    <cellStyle name="40% - Accent5 30 2 2" xfId="12333" xr:uid="{00000000-0005-0000-0000-0000823D0000}"/>
    <cellStyle name="40% - Accent5 30 2 2 2" xfId="23621" xr:uid="{00000000-0005-0000-0000-0000833D0000}"/>
    <cellStyle name="40% - Accent5 30 2 3" xfId="10339" xr:uid="{00000000-0005-0000-0000-0000843D0000}"/>
    <cellStyle name="40% - Accent5 30 2 3 2" xfId="21627" xr:uid="{00000000-0005-0000-0000-0000853D0000}"/>
    <cellStyle name="40% - Accent5 30 2 4" xfId="8345" xr:uid="{00000000-0005-0000-0000-0000863D0000}"/>
    <cellStyle name="40% - Accent5 30 2 4 2" xfId="19633" xr:uid="{00000000-0005-0000-0000-0000873D0000}"/>
    <cellStyle name="40% - Accent5 30 2 5" xfId="6351" xr:uid="{00000000-0005-0000-0000-0000883D0000}"/>
    <cellStyle name="40% - Accent5 30 2 5 2" xfId="17639" xr:uid="{00000000-0005-0000-0000-0000893D0000}"/>
    <cellStyle name="40% - Accent5 30 2 6" xfId="15645" xr:uid="{00000000-0005-0000-0000-00008A3D0000}"/>
    <cellStyle name="40% - Accent5 30 3" xfId="11336" xr:uid="{00000000-0005-0000-0000-00008B3D0000}"/>
    <cellStyle name="40% - Accent5 30 3 2" xfId="22624" xr:uid="{00000000-0005-0000-0000-00008C3D0000}"/>
    <cellStyle name="40% - Accent5 30 4" xfId="9342" xr:uid="{00000000-0005-0000-0000-00008D3D0000}"/>
    <cellStyle name="40% - Accent5 30 4 2" xfId="20630" xr:uid="{00000000-0005-0000-0000-00008E3D0000}"/>
    <cellStyle name="40% - Accent5 30 5" xfId="7348" xr:uid="{00000000-0005-0000-0000-00008F3D0000}"/>
    <cellStyle name="40% - Accent5 30 5 2" xfId="18636" xr:uid="{00000000-0005-0000-0000-0000903D0000}"/>
    <cellStyle name="40% - Accent5 30 6" xfId="5354" xr:uid="{00000000-0005-0000-0000-0000913D0000}"/>
    <cellStyle name="40% - Accent5 30 6 2" xfId="16642" xr:uid="{00000000-0005-0000-0000-0000923D0000}"/>
    <cellStyle name="40% - Accent5 30 7" xfId="14648" xr:uid="{00000000-0005-0000-0000-0000933D0000}"/>
    <cellStyle name="40% - Accent5 30 8" xfId="13334" xr:uid="{00000000-0005-0000-0000-0000943D0000}"/>
    <cellStyle name="40% - Accent5 31" xfId="1399" xr:uid="{00000000-0005-0000-0000-0000953D0000}"/>
    <cellStyle name="40% - Accent5 31 2" xfId="4355" xr:uid="{00000000-0005-0000-0000-0000963D0000}"/>
    <cellStyle name="40% - Accent5 31 2 2" xfId="12334" xr:uid="{00000000-0005-0000-0000-0000973D0000}"/>
    <cellStyle name="40% - Accent5 31 2 2 2" xfId="23622" xr:uid="{00000000-0005-0000-0000-0000983D0000}"/>
    <cellStyle name="40% - Accent5 31 2 3" xfId="10340" xr:uid="{00000000-0005-0000-0000-0000993D0000}"/>
    <cellStyle name="40% - Accent5 31 2 3 2" xfId="21628" xr:uid="{00000000-0005-0000-0000-00009A3D0000}"/>
    <cellStyle name="40% - Accent5 31 2 4" xfId="8346" xr:uid="{00000000-0005-0000-0000-00009B3D0000}"/>
    <cellStyle name="40% - Accent5 31 2 4 2" xfId="19634" xr:uid="{00000000-0005-0000-0000-00009C3D0000}"/>
    <cellStyle name="40% - Accent5 31 2 5" xfId="6352" xr:uid="{00000000-0005-0000-0000-00009D3D0000}"/>
    <cellStyle name="40% - Accent5 31 2 5 2" xfId="17640" xr:uid="{00000000-0005-0000-0000-00009E3D0000}"/>
    <cellStyle name="40% - Accent5 31 2 6" xfId="15646" xr:uid="{00000000-0005-0000-0000-00009F3D0000}"/>
    <cellStyle name="40% - Accent5 31 3" xfId="11337" xr:uid="{00000000-0005-0000-0000-0000A03D0000}"/>
    <cellStyle name="40% - Accent5 31 3 2" xfId="22625" xr:uid="{00000000-0005-0000-0000-0000A13D0000}"/>
    <cellStyle name="40% - Accent5 31 4" xfId="9343" xr:uid="{00000000-0005-0000-0000-0000A23D0000}"/>
    <cellStyle name="40% - Accent5 31 4 2" xfId="20631" xr:uid="{00000000-0005-0000-0000-0000A33D0000}"/>
    <cellStyle name="40% - Accent5 31 5" xfId="7349" xr:uid="{00000000-0005-0000-0000-0000A43D0000}"/>
    <cellStyle name="40% - Accent5 31 5 2" xfId="18637" xr:uid="{00000000-0005-0000-0000-0000A53D0000}"/>
    <cellStyle name="40% - Accent5 31 6" xfId="5355" xr:uid="{00000000-0005-0000-0000-0000A63D0000}"/>
    <cellStyle name="40% - Accent5 31 6 2" xfId="16643" xr:uid="{00000000-0005-0000-0000-0000A73D0000}"/>
    <cellStyle name="40% - Accent5 31 7" xfId="14649" xr:uid="{00000000-0005-0000-0000-0000A83D0000}"/>
    <cellStyle name="40% - Accent5 31 8" xfId="13335" xr:uid="{00000000-0005-0000-0000-0000A93D0000}"/>
    <cellStyle name="40% - Accent5 32" xfId="1400" xr:uid="{00000000-0005-0000-0000-0000AA3D0000}"/>
    <cellStyle name="40% - Accent5 32 2" xfId="4356" xr:uid="{00000000-0005-0000-0000-0000AB3D0000}"/>
    <cellStyle name="40% - Accent5 32 2 2" xfId="12335" xr:uid="{00000000-0005-0000-0000-0000AC3D0000}"/>
    <cellStyle name="40% - Accent5 32 2 2 2" xfId="23623" xr:uid="{00000000-0005-0000-0000-0000AD3D0000}"/>
    <cellStyle name="40% - Accent5 32 2 3" xfId="10341" xr:uid="{00000000-0005-0000-0000-0000AE3D0000}"/>
    <cellStyle name="40% - Accent5 32 2 3 2" xfId="21629" xr:uid="{00000000-0005-0000-0000-0000AF3D0000}"/>
    <cellStyle name="40% - Accent5 32 2 4" xfId="8347" xr:uid="{00000000-0005-0000-0000-0000B03D0000}"/>
    <cellStyle name="40% - Accent5 32 2 4 2" xfId="19635" xr:uid="{00000000-0005-0000-0000-0000B13D0000}"/>
    <cellStyle name="40% - Accent5 32 2 5" xfId="6353" xr:uid="{00000000-0005-0000-0000-0000B23D0000}"/>
    <cellStyle name="40% - Accent5 32 2 5 2" xfId="17641" xr:uid="{00000000-0005-0000-0000-0000B33D0000}"/>
    <cellStyle name="40% - Accent5 32 2 6" xfId="15647" xr:uid="{00000000-0005-0000-0000-0000B43D0000}"/>
    <cellStyle name="40% - Accent5 32 3" xfId="11338" xr:uid="{00000000-0005-0000-0000-0000B53D0000}"/>
    <cellStyle name="40% - Accent5 32 3 2" xfId="22626" xr:uid="{00000000-0005-0000-0000-0000B63D0000}"/>
    <cellStyle name="40% - Accent5 32 4" xfId="9344" xr:uid="{00000000-0005-0000-0000-0000B73D0000}"/>
    <cellStyle name="40% - Accent5 32 4 2" xfId="20632" xr:uid="{00000000-0005-0000-0000-0000B83D0000}"/>
    <cellStyle name="40% - Accent5 32 5" xfId="7350" xr:uid="{00000000-0005-0000-0000-0000B93D0000}"/>
    <cellStyle name="40% - Accent5 32 5 2" xfId="18638" xr:uid="{00000000-0005-0000-0000-0000BA3D0000}"/>
    <cellStyle name="40% - Accent5 32 6" xfId="5356" xr:uid="{00000000-0005-0000-0000-0000BB3D0000}"/>
    <cellStyle name="40% - Accent5 32 6 2" xfId="16644" xr:uid="{00000000-0005-0000-0000-0000BC3D0000}"/>
    <cellStyle name="40% - Accent5 32 7" xfId="14650" xr:uid="{00000000-0005-0000-0000-0000BD3D0000}"/>
    <cellStyle name="40% - Accent5 32 8" xfId="13336" xr:uid="{00000000-0005-0000-0000-0000BE3D0000}"/>
    <cellStyle name="40% - Accent5 33" xfId="1401" xr:uid="{00000000-0005-0000-0000-0000BF3D0000}"/>
    <cellStyle name="40% - Accent5 33 2" xfId="4357" xr:uid="{00000000-0005-0000-0000-0000C03D0000}"/>
    <cellStyle name="40% - Accent5 33 2 2" xfId="12336" xr:uid="{00000000-0005-0000-0000-0000C13D0000}"/>
    <cellStyle name="40% - Accent5 33 2 2 2" xfId="23624" xr:uid="{00000000-0005-0000-0000-0000C23D0000}"/>
    <cellStyle name="40% - Accent5 33 2 3" xfId="10342" xr:uid="{00000000-0005-0000-0000-0000C33D0000}"/>
    <cellStyle name="40% - Accent5 33 2 3 2" xfId="21630" xr:uid="{00000000-0005-0000-0000-0000C43D0000}"/>
    <cellStyle name="40% - Accent5 33 2 4" xfId="8348" xr:uid="{00000000-0005-0000-0000-0000C53D0000}"/>
    <cellStyle name="40% - Accent5 33 2 4 2" xfId="19636" xr:uid="{00000000-0005-0000-0000-0000C63D0000}"/>
    <cellStyle name="40% - Accent5 33 2 5" xfId="6354" xr:uid="{00000000-0005-0000-0000-0000C73D0000}"/>
    <cellStyle name="40% - Accent5 33 2 5 2" xfId="17642" xr:uid="{00000000-0005-0000-0000-0000C83D0000}"/>
    <cellStyle name="40% - Accent5 33 2 6" xfId="15648" xr:uid="{00000000-0005-0000-0000-0000C93D0000}"/>
    <cellStyle name="40% - Accent5 33 3" xfId="11339" xr:uid="{00000000-0005-0000-0000-0000CA3D0000}"/>
    <cellStyle name="40% - Accent5 33 3 2" xfId="22627" xr:uid="{00000000-0005-0000-0000-0000CB3D0000}"/>
    <cellStyle name="40% - Accent5 33 4" xfId="9345" xr:uid="{00000000-0005-0000-0000-0000CC3D0000}"/>
    <cellStyle name="40% - Accent5 33 4 2" xfId="20633" xr:uid="{00000000-0005-0000-0000-0000CD3D0000}"/>
    <cellStyle name="40% - Accent5 33 5" xfId="7351" xr:uid="{00000000-0005-0000-0000-0000CE3D0000}"/>
    <cellStyle name="40% - Accent5 33 5 2" xfId="18639" xr:uid="{00000000-0005-0000-0000-0000CF3D0000}"/>
    <cellStyle name="40% - Accent5 33 6" xfId="5357" xr:uid="{00000000-0005-0000-0000-0000D03D0000}"/>
    <cellStyle name="40% - Accent5 33 6 2" xfId="16645" xr:uid="{00000000-0005-0000-0000-0000D13D0000}"/>
    <cellStyle name="40% - Accent5 33 7" xfId="14651" xr:uid="{00000000-0005-0000-0000-0000D23D0000}"/>
    <cellStyle name="40% - Accent5 33 8" xfId="13337" xr:uid="{00000000-0005-0000-0000-0000D33D0000}"/>
    <cellStyle name="40% - Accent5 34" xfId="1402" xr:uid="{00000000-0005-0000-0000-0000D43D0000}"/>
    <cellStyle name="40% - Accent5 34 2" xfId="4358" xr:uid="{00000000-0005-0000-0000-0000D53D0000}"/>
    <cellStyle name="40% - Accent5 34 2 2" xfId="12337" xr:uid="{00000000-0005-0000-0000-0000D63D0000}"/>
    <cellStyle name="40% - Accent5 34 2 2 2" xfId="23625" xr:uid="{00000000-0005-0000-0000-0000D73D0000}"/>
    <cellStyle name="40% - Accent5 34 2 3" xfId="10343" xr:uid="{00000000-0005-0000-0000-0000D83D0000}"/>
    <cellStyle name="40% - Accent5 34 2 3 2" xfId="21631" xr:uid="{00000000-0005-0000-0000-0000D93D0000}"/>
    <cellStyle name="40% - Accent5 34 2 4" xfId="8349" xr:uid="{00000000-0005-0000-0000-0000DA3D0000}"/>
    <cellStyle name="40% - Accent5 34 2 4 2" xfId="19637" xr:uid="{00000000-0005-0000-0000-0000DB3D0000}"/>
    <cellStyle name="40% - Accent5 34 2 5" xfId="6355" xr:uid="{00000000-0005-0000-0000-0000DC3D0000}"/>
    <cellStyle name="40% - Accent5 34 2 5 2" xfId="17643" xr:uid="{00000000-0005-0000-0000-0000DD3D0000}"/>
    <cellStyle name="40% - Accent5 34 2 6" xfId="15649" xr:uid="{00000000-0005-0000-0000-0000DE3D0000}"/>
    <cellStyle name="40% - Accent5 34 3" xfId="11340" xr:uid="{00000000-0005-0000-0000-0000DF3D0000}"/>
    <cellStyle name="40% - Accent5 34 3 2" xfId="22628" xr:uid="{00000000-0005-0000-0000-0000E03D0000}"/>
    <cellStyle name="40% - Accent5 34 4" xfId="9346" xr:uid="{00000000-0005-0000-0000-0000E13D0000}"/>
    <cellStyle name="40% - Accent5 34 4 2" xfId="20634" xr:uid="{00000000-0005-0000-0000-0000E23D0000}"/>
    <cellStyle name="40% - Accent5 34 5" xfId="7352" xr:uid="{00000000-0005-0000-0000-0000E33D0000}"/>
    <cellStyle name="40% - Accent5 34 5 2" xfId="18640" xr:uid="{00000000-0005-0000-0000-0000E43D0000}"/>
    <cellStyle name="40% - Accent5 34 6" xfId="5358" xr:uid="{00000000-0005-0000-0000-0000E53D0000}"/>
    <cellStyle name="40% - Accent5 34 6 2" xfId="16646" xr:uid="{00000000-0005-0000-0000-0000E63D0000}"/>
    <cellStyle name="40% - Accent5 34 7" xfId="14652" xr:uid="{00000000-0005-0000-0000-0000E73D0000}"/>
    <cellStyle name="40% - Accent5 34 8" xfId="13338" xr:uid="{00000000-0005-0000-0000-0000E83D0000}"/>
    <cellStyle name="40% - Accent5 35" xfId="1403" xr:uid="{00000000-0005-0000-0000-0000E93D0000}"/>
    <cellStyle name="40% - Accent5 35 2" xfId="4359" xr:uid="{00000000-0005-0000-0000-0000EA3D0000}"/>
    <cellStyle name="40% - Accent5 35 2 2" xfId="12338" xr:uid="{00000000-0005-0000-0000-0000EB3D0000}"/>
    <cellStyle name="40% - Accent5 35 2 2 2" xfId="23626" xr:uid="{00000000-0005-0000-0000-0000EC3D0000}"/>
    <cellStyle name="40% - Accent5 35 2 3" xfId="10344" xr:uid="{00000000-0005-0000-0000-0000ED3D0000}"/>
    <cellStyle name="40% - Accent5 35 2 3 2" xfId="21632" xr:uid="{00000000-0005-0000-0000-0000EE3D0000}"/>
    <cellStyle name="40% - Accent5 35 2 4" xfId="8350" xr:uid="{00000000-0005-0000-0000-0000EF3D0000}"/>
    <cellStyle name="40% - Accent5 35 2 4 2" xfId="19638" xr:uid="{00000000-0005-0000-0000-0000F03D0000}"/>
    <cellStyle name="40% - Accent5 35 2 5" xfId="6356" xr:uid="{00000000-0005-0000-0000-0000F13D0000}"/>
    <cellStyle name="40% - Accent5 35 2 5 2" xfId="17644" xr:uid="{00000000-0005-0000-0000-0000F23D0000}"/>
    <cellStyle name="40% - Accent5 35 2 6" xfId="15650" xr:uid="{00000000-0005-0000-0000-0000F33D0000}"/>
    <cellStyle name="40% - Accent5 35 3" xfId="11341" xr:uid="{00000000-0005-0000-0000-0000F43D0000}"/>
    <cellStyle name="40% - Accent5 35 3 2" xfId="22629" xr:uid="{00000000-0005-0000-0000-0000F53D0000}"/>
    <cellStyle name="40% - Accent5 35 4" xfId="9347" xr:uid="{00000000-0005-0000-0000-0000F63D0000}"/>
    <cellStyle name="40% - Accent5 35 4 2" xfId="20635" xr:uid="{00000000-0005-0000-0000-0000F73D0000}"/>
    <cellStyle name="40% - Accent5 35 5" xfId="7353" xr:uid="{00000000-0005-0000-0000-0000F83D0000}"/>
    <cellStyle name="40% - Accent5 35 5 2" xfId="18641" xr:uid="{00000000-0005-0000-0000-0000F93D0000}"/>
    <cellStyle name="40% - Accent5 35 6" xfId="5359" xr:uid="{00000000-0005-0000-0000-0000FA3D0000}"/>
    <cellStyle name="40% - Accent5 35 6 2" xfId="16647" xr:uid="{00000000-0005-0000-0000-0000FB3D0000}"/>
    <cellStyle name="40% - Accent5 35 7" xfId="14653" xr:uid="{00000000-0005-0000-0000-0000FC3D0000}"/>
    <cellStyle name="40% - Accent5 35 8" xfId="13339" xr:uid="{00000000-0005-0000-0000-0000FD3D0000}"/>
    <cellStyle name="40% - Accent5 36" xfId="1404" xr:uid="{00000000-0005-0000-0000-0000FE3D0000}"/>
    <cellStyle name="40% - Accent5 36 2" xfId="4360" xr:uid="{00000000-0005-0000-0000-0000FF3D0000}"/>
    <cellStyle name="40% - Accent5 36 2 2" xfId="12339" xr:uid="{00000000-0005-0000-0000-0000003E0000}"/>
    <cellStyle name="40% - Accent5 36 2 2 2" xfId="23627" xr:uid="{00000000-0005-0000-0000-0000013E0000}"/>
    <cellStyle name="40% - Accent5 36 2 3" xfId="10345" xr:uid="{00000000-0005-0000-0000-0000023E0000}"/>
    <cellStyle name="40% - Accent5 36 2 3 2" xfId="21633" xr:uid="{00000000-0005-0000-0000-0000033E0000}"/>
    <cellStyle name="40% - Accent5 36 2 4" xfId="8351" xr:uid="{00000000-0005-0000-0000-0000043E0000}"/>
    <cellStyle name="40% - Accent5 36 2 4 2" xfId="19639" xr:uid="{00000000-0005-0000-0000-0000053E0000}"/>
    <cellStyle name="40% - Accent5 36 2 5" xfId="6357" xr:uid="{00000000-0005-0000-0000-0000063E0000}"/>
    <cellStyle name="40% - Accent5 36 2 5 2" xfId="17645" xr:uid="{00000000-0005-0000-0000-0000073E0000}"/>
    <cellStyle name="40% - Accent5 36 2 6" xfId="15651" xr:uid="{00000000-0005-0000-0000-0000083E0000}"/>
    <cellStyle name="40% - Accent5 36 3" xfId="11342" xr:uid="{00000000-0005-0000-0000-0000093E0000}"/>
    <cellStyle name="40% - Accent5 36 3 2" xfId="22630" xr:uid="{00000000-0005-0000-0000-00000A3E0000}"/>
    <cellStyle name="40% - Accent5 36 4" xfId="9348" xr:uid="{00000000-0005-0000-0000-00000B3E0000}"/>
    <cellStyle name="40% - Accent5 36 4 2" xfId="20636" xr:uid="{00000000-0005-0000-0000-00000C3E0000}"/>
    <cellStyle name="40% - Accent5 36 5" xfId="7354" xr:uid="{00000000-0005-0000-0000-00000D3E0000}"/>
    <cellStyle name="40% - Accent5 36 5 2" xfId="18642" xr:uid="{00000000-0005-0000-0000-00000E3E0000}"/>
    <cellStyle name="40% - Accent5 36 6" xfId="5360" xr:uid="{00000000-0005-0000-0000-00000F3E0000}"/>
    <cellStyle name="40% - Accent5 36 6 2" xfId="16648" xr:uid="{00000000-0005-0000-0000-0000103E0000}"/>
    <cellStyle name="40% - Accent5 36 7" xfId="14654" xr:uid="{00000000-0005-0000-0000-0000113E0000}"/>
    <cellStyle name="40% - Accent5 36 8" xfId="13340" xr:uid="{00000000-0005-0000-0000-0000123E0000}"/>
    <cellStyle name="40% - Accent5 37" xfId="1405" xr:uid="{00000000-0005-0000-0000-0000133E0000}"/>
    <cellStyle name="40% - Accent5 37 2" xfId="4361" xr:uid="{00000000-0005-0000-0000-0000143E0000}"/>
    <cellStyle name="40% - Accent5 37 2 2" xfId="12340" xr:uid="{00000000-0005-0000-0000-0000153E0000}"/>
    <cellStyle name="40% - Accent5 37 2 2 2" xfId="23628" xr:uid="{00000000-0005-0000-0000-0000163E0000}"/>
    <cellStyle name="40% - Accent5 37 2 3" xfId="10346" xr:uid="{00000000-0005-0000-0000-0000173E0000}"/>
    <cellStyle name="40% - Accent5 37 2 3 2" xfId="21634" xr:uid="{00000000-0005-0000-0000-0000183E0000}"/>
    <cellStyle name="40% - Accent5 37 2 4" xfId="8352" xr:uid="{00000000-0005-0000-0000-0000193E0000}"/>
    <cellStyle name="40% - Accent5 37 2 4 2" xfId="19640" xr:uid="{00000000-0005-0000-0000-00001A3E0000}"/>
    <cellStyle name="40% - Accent5 37 2 5" xfId="6358" xr:uid="{00000000-0005-0000-0000-00001B3E0000}"/>
    <cellStyle name="40% - Accent5 37 2 5 2" xfId="17646" xr:uid="{00000000-0005-0000-0000-00001C3E0000}"/>
    <cellStyle name="40% - Accent5 37 2 6" xfId="15652" xr:uid="{00000000-0005-0000-0000-00001D3E0000}"/>
    <cellStyle name="40% - Accent5 37 3" xfId="11343" xr:uid="{00000000-0005-0000-0000-00001E3E0000}"/>
    <cellStyle name="40% - Accent5 37 3 2" xfId="22631" xr:uid="{00000000-0005-0000-0000-00001F3E0000}"/>
    <cellStyle name="40% - Accent5 37 4" xfId="9349" xr:uid="{00000000-0005-0000-0000-0000203E0000}"/>
    <cellStyle name="40% - Accent5 37 4 2" xfId="20637" xr:uid="{00000000-0005-0000-0000-0000213E0000}"/>
    <cellStyle name="40% - Accent5 37 5" xfId="7355" xr:uid="{00000000-0005-0000-0000-0000223E0000}"/>
    <cellStyle name="40% - Accent5 37 5 2" xfId="18643" xr:uid="{00000000-0005-0000-0000-0000233E0000}"/>
    <cellStyle name="40% - Accent5 37 6" xfId="5361" xr:uid="{00000000-0005-0000-0000-0000243E0000}"/>
    <cellStyle name="40% - Accent5 37 6 2" xfId="16649" xr:uid="{00000000-0005-0000-0000-0000253E0000}"/>
    <cellStyle name="40% - Accent5 37 7" xfId="14655" xr:uid="{00000000-0005-0000-0000-0000263E0000}"/>
    <cellStyle name="40% - Accent5 37 8" xfId="13341" xr:uid="{00000000-0005-0000-0000-0000273E0000}"/>
    <cellStyle name="40% - Accent5 38" xfId="1406" xr:uid="{00000000-0005-0000-0000-0000283E0000}"/>
    <cellStyle name="40% - Accent5 38 2" xfId="4362" xr:uid="{00000000-0005-0000-0000-0000293E0000}"/>
    <cellStyle name="40% - Accent5 38 2 2" xfId="12341" xr:uid="{00000000-0005-0000-0000-00002A3E0000}"/>
    <cellStyle name="40% - Accent5 38 2 2 2" xfId="23629" xr:uid="{00000000-0005-0000-0000-00002B3E0000}"/>
    <cellStyle name="40% - Accent5 38 2 3" xfId="10347" xr:uid="{00000000-0005-0000-0000-00002C3E0000}"/>
    <cellStyle name="40% - Accent5 38 2 3 2" xfId="21635" xr:uid="{00000000-0005-0000-0000-00002D3E0000}"/>
    <cellStyle name="40% - Accent5 38 2 4" xfId="8353" xr:uid="{00000000-0005-0000-0000-00002E3E0000}"/>
    <cellStyle name="40% - Accent5 38 2 4 2" xfId="19641" xr:uid="{00000000-0005-0000-0000-00002F3E0000}"/>
    <cellStyle name="40% - Accent5 38 2 5" xfId="6359" xr:uid="{00000000-0005-0000-0000-0000303E0000}"/>
    <cellStyle name="40% - Accent5 38 2 5 2" xfId="17647" xr:uid="{00000000-0005-0000-0000-0000313E0000}"/>
    <cellStyle name="40% - Accent5 38 2 6" xfId="15653" xr:uid="{00000000-0005-0000-0000-0000323E0000}"/>
    <cellStyle name="40% - Accent5 38 3" xfId="11344" xr:uid="{00000000-0005-0000-0000-0000333E0000}"/>
    <cellStyle name="40% - Accent5 38 3 2" xfId="22632" xr:uid="{00000000-0005-0000-0000-0000343E0000}"/>
    <cellStyle name="40% - Accent5 38 4" xfId="9350" xr:uid="{00000000-0005-0000-0000-0000353E0000}"/>
    <cellStyle name="40% - Accent5 38 4 2" xfId="20638" xr:uid="{00000000-0005-0000-0000-0000363E0000}"/>
    <cellStyle name="40% - Accent5 38 5" xfId="7356" xr:uid="{00000000-0005-0000-0000-0000373E0000}"/>
    <cellStyle name="40% - Accent5 38 5 2" xfId="18644" xr:uid="{00000000-0005-0000-0000-0000383E0000}"/>
    <cellStyle name="40% - Accent5 38 6" xfId="5362" xr:uid="{00000000-0005-0000-0000-0000393E0000}"/>
    <cellStyle name="40% - Accent5 38 6 2" xfId="16650" xr:uid="{00000000-0005-0000-0000-00003A3E0000}"/>
    <cellStyle name="40% - Accent5 38 7" xfId="14656" xr:uid="{00000000-0005-0000-0000-00003B3E0000}"/>
    <cellStyle name="40% - Accent5 38 8" xfId="13342" xr:uid="{00000000-0005-0000-0000-00003C3E0000}"/>
    <cellStyle name="40% - Accent5 39" xfId="1407" xr:uid="{00000000-0005-0000-0000-00003D3E0000}"/>
    <cellStyle name="40% - Accent5 39 2" xfId="4363" xr:uid="{00000000-0005-0000-0000-00003E3E0000}"/>
    <cellStyle name="40% - Accent5 39 2 2" xfId="12342" xr:uid="{00000000-0005-0000-0000-00003F3E0000}"/>
    <cellStyle name="40% - Accent5 39 2 2 2" xfId="23630" xr:uid="{00000000-0005-0000-0000-0000403E0000}"/>
    <cellStyle name="40% - Accent5 39 2 3" xfId="10348" xr:uid="{00000000-0005-0000-0000-0000413E0000}"/>
    <cellStyle name="40% - Accent5 39 2 3 2" xfId="21636" xr:uid="{00000000-0005-0000-0000-0000423E0000}"/>
    <cellStyle name="40% - Accent5 39 2 4" xfId="8354" xr:uid="{00000000-0005-0000-0000-0000433E0000}"/>
    <cellStyle name="40% - Accent5 39 2 4 2" xfId="19642" xr:uid="{00000000-0005-0000-0000-0000443E0000}"/>
    <cellStyle name="40% - Accent5 39 2 5" xfId="6360" xr:uid="{00000000-0005-0000-0000-0000453E0000}"/>
    <cellStyle name="40% - Accent5 39 2 5 2" xfId="17648" xr:uid="{00000000-0005-0000-0000-0000463E0000}"/>
    <cellStyle name="40% - Accent5 39 2 6" xfId="15654" xr:uid="{00000000-0005-0000-0000-0000473E0000}"/>
    <cellStyle name="40% - Accent5 39 3" xfId="11345" xr:uid="{00000000-0005-0000-0000-0000483E0000}"/>
    <cellStyle name="40% - Accent5 39 3 2" xfId="22633" xr:uid="{00000000-0005-0000-0000-0000493E0000}"/>
    <cellStyle name="40% - Accent5 39 4" xfId="9351" xr:uid="{00000000-0005-0000-0000-00004A3E0000}"/>
    <cellStyle name="40% - Accent5 39 4 2" xfId="20639" xr:uid="{00000000-0005-0000-0000-00004B3E0000}"/>
    <cellStyle name="40% - Accent5 39 5" xfId="7357" xr:uid="{00000000-0005-0000-0000-00004C3E0000}"/>
    <cellStyle name="40% - Accent5 39 5 2" xfId="18645" xr:uid="{00000000-0005-0000-0000-00004D3E0000}"/>
    <cellStyle name="40% - Accent5 39 6" xfId="5363" xr:uid="{00000000-0005-0000-0000-00004E3E0000}"/>
    <cellStyle name="40% - Accent5 39 6 2" xfId="16651" xr:uid="{00000000-0005-0000-0000-00004F3E0000}"/>
    <cellStyle name="40% - Accent5 39 7" xfId="14657" xr:uid="{00000000-0005-0000-0000-0000503E0000}"/>
    <cellStyle name="40% - Accent5 39 8" xfId="13343" xr:uid="{00000000-0005-0000-0000-0000513E0000}"/>
    <cellStyle name="40% - Accent5 4" xfId="1408" xr:uid="{00000000-0005-0000-0000-0000523E0000}"/>
    <cellStyle name="40% - Accent5 4 10" xfId="24621" xr:uid="{00000000-0005-0000-0000-0000533E0000}"/>
    <cellStyle name="40% - Accent5 4 11" xfId="25011" xr:uid="{00000000-0005-0000-0000-0000543E0000}"/>
    <cellStyle name="40% - Accent5 4 2" xfId="4364" xr:uid="{00000000-0005-0000-0000-0000553E0000}"/>
    <cellStyle name="40% - Accent5 4 2 2" xfId="12343" xr:uid="{00000000-0005-0000-0000-0000563E0000}"/>
    <cellStyle name="40% - Accent5 4 2 2 2" xfId="23631" xr:uid="{00000000-0005-0000-0000-0000573E0000}"/>
    <cellStyle name="40% - Accent5 4 2 3" xfId="10349" xr:uid="{00000000-0005-0000-0000-0000583E0000}"/>
    <cellStyle name="40% - Accent5 4 2 3 2" xfId="21637" xr:uid="{00000000-0005-0000-0000-0000593E0000}"/>
    <cellStyle name="40% - Accent5 4 2 4" xfId="8355" xr:uid="{00000000-0005-0000-0000-00005A3E0000}"/>
    <cellStyle name="40% - Accent5 4 2 4 2" xfId="19643" xr:uid="{00000000-0005-0000-0000-00005B3E0000}"/>
    <cellStyle name="40% - Accent5 4 2 5" xfId="6361" xr:uid="{00000000-0005-0000-0000-00005C3E0000}"/>
    <cellStyle name="40% - Accent5 4 2 5 2" xfId="17649" xr:uid="{00000000-0005-0000-0000-00005D3E0000}"/>
    <cellStyle name="40% - Accent5 4 2 6" xfId="15655" xr:uid="{00000000-0005-0000-0000-00005E3E0000}"/>
    <cellStyle name="40% - Accent5 4 2 7" xfId="24382" xr:uid="{00000000-0005-0000-0000-00005F3E0000}"/>
    <cellStyle name="40% - Accent5 4 2 8" xfId="24846" xr:uid="{00000000-0005-0000-0000-0000603E0000}"/>
    <cellStyle name="40% - Accent5 4 2 9" xfId="25213" xr:uid="{00000000-0005-0000-0000-0000613E0000}"/>
    <cellStyle name="40% - Accent5 4 3" xfId="11346" xr:uid="{00000000-0005-0000-0000-0000623E0000}"/>
    <cellStyle name="40% - Accent5 4 3 2" xfId="22634" xr:uid="{00000000-0005-0000-0000-0000633E0000}"/>
    <cellStyle name="40% - Accent5 4 4" xfId="9352" xr:uid="{00000000-0005-0000-0000-0000643E0000}"/>
    <cellStyle name="40% - Accent5 4 4 2" xfId="20640" xr:uid="{00000000-0005-0000-0000-0000653E0000}"/>
    <cellStyle name="40% - Accent5 4 5" xfId="7358" xr:uid="{00000000-0005-0000-0000-0000663E0000}"/>
    <cellStyle name="40% - Accent5 4 5 2" xfId="18646" xr:uid="{00000000-0005-0000-0000-0000673E0000}"/>
    <cellStyle name="40% - Accent5 4 6" xfId="5364" xr:uid="{00000000-0005-0000-0000-0000683E0000}"/>
    <cellStyle name="40% - Accent5 4 6 2" xfId="16652" xr:uid="{00000000-0005-0000-0000-0000693E0000}"/>
    <cellStyle name="40% - Accent5 4 7" xfId="14658" xr:uid="{00000000-0005-0000-0000-00006A3E0000}"/>
    <cellStyle name="40% - Accent5 4 8" xfId="13344" xr:uid="{00000000-0005-0000-0000-00006B3E0000}"/>
    <cellStyle name="40% - Accent5 4 9" xfId="23994" xr:uid="{00000000-0005-0000-0000-00006C3E0000}"/>
    <cellStyle name="40% - Accent5 40" xfId="1409" xr:uid="{00000000-0005-0000-0000-00006D3E0000}"/>
    <cellStyle name="40% - Accent5 40 2" xfId="4365" xr:uid="{00000000-0005-0000-0000-00006E3E0000}"/>
    <cellStyle name="40% - Accent5 40 2 2" xfId="12344" xr:uid="{00000000-0005-0000-0000-00006F3E0000}"/>
    <cellStyle name="40% - Accent5 40 2 2 2" xfId="23632" xr:uid="{00000000-0005-0000-0000-0000703E0000}"/>
    <cellStyle name="40% - Accent5 40 2 3" xfId="10350" xr:uid="{00000000-0005-0000-0000-0000713E0000}"/>
    <cellStyle name="40% - Accent5 40 2 3 2" xfId="21638" xr:uid="{00000000-0005-0000-0000-0000723E0000}"/>
    <cellStyle name="40% - Accent5 40 2 4" xfId="8356" xr:uid="{00000000-0005-0000-0000-0000733E0000}"/>
    <cellStyle name="40% - Accent5 40 2 4 2" xfId="19644" xr:uid="{00000000-0005-0000-0000-0000743E0000}"/>
    <cellStyle name="40% - Accent5 40 2 5" xfId="6362" xr:uid="{00000000-0005-0000-0000-0000753E0000}"/>
    <cellStyle name="40% - Accent5 40 2 5 2" xfId="17650" xr:uid="{00000000-0005-0000-0000-0000763E0000}"/>
    <cellStyle name="40% - Accent5 40 2 6" xfId="15656" xr:uid="{00000000-0005-0000-0000-0000773E0000}"/>
    <cellStyle name="40% - Accent5 40 3" xfId="11347" xr:uid="{00000000-0005-0000-0000-0000783E0000}"/>
    <cellStyle name="40% - Accent5 40 3 2" xfId="22635" xr:uid="{00000000-0005-0000-0000-0000793E0000}"/>
    <cellStyle name="40% - Accent5 40 4" xfId="9353" xr:uid="{00000000-0005-0000-0000-00007A3E0000}"/>
    <cellStyle name="40% - Accent5 40 4 2" xfId="20641" xr:uid="{00000000-0005-0000-0000-00007B3E0000}"/>
    <cellStyle name="40% - Accent5 40 5" xfId="7359" xr:uid="{00000000-0005-0000-0000-00007C3E0000}"/>
    <cellStyle name="40% - Accent5 40 5 2" xfId="18647" xr:uid="{00000000-0005-0000-0000-00007D3E0000}"/>
    <cellStyle name="40% - Accent5 40 6" xfId="5365" xr:uid="{00000000-0005-0000-0000-00007E3E0000}"/>
    <cellStyle name="40% - Accent5 40 6 2" xfId="16653" xr:uid="{00000000-0005-0000-0000-00007F3E0000}"/>
    <cellStyle name="40% - Accent5 40 7" xfId="14659" xr:uid="{00000000-0005-0000-0000-0000803E0000}"/>
    <cellStyle name="40% - Accent5 40 8" xfId="13345" xr:uid="{00000000-0005-0000-0000-0000813E0000}"/>
    <cellStyle name="40% - Accent5 41" xfId="1410" xr:uid="{00000000-0005-0000-0000-0000823E0000}"/>
    <cellStyle name="40% - Accent5 41 2" xfId="4366" xr:uid="{00000000-0005-0000-0000-0000833E0000}"/>
    <cellStyle name="40% - Accent5 41 2 2" xfId="12345" xr:uid="{00000000-0005-0000-0000-0000843E0000}"/>
    <cellStyle name="40% - Accent5 41 2 2 2" xfId="23633" xr:uid="{00000000-0005-0000-0000-0000853E0000}"/>
    <cellStyle name="40% - Accent5 41 2 3" xfId="10351" xr:uid="{00000000-0005-0000-0000-0000863E0000}"/>
    <cellStyle name="40% - Accent5 41 2 3 2" xfId="21639" xr:uid="{00000000-0005-0000-0000-0000873E0000}"/>
    <cellStyle name="40% - Accent5 41 2 4" xfId="8357" xr:uid="{00000000-0005-0000-0000-0000883E0000}"/>
    <cellStyle name="40% - Accent5 41 2 4 2" xfId="19645" xr:uid="{00000000-0005-0000-0000-0000893E0000}"/>
    <cellStyle name="40% - Accent5 41 2 5" xfId="6363" xr:uid="{00000000-0005-0000-0000-00008A3E0000}"/>
    <cellStyle name="40% - Accent5 41 2 5 2" xfId="17651" xr:uid="{00000000-0005-0000-0000-00008B3E0000}"/>
    <cellStyle name="40% - Accent5 41 2 6" xfId="15657" xr:uid="{00000000-0005-0000-0000-00008C3E0000}"/>
    <cellStyle name="40% - Accent5 41 3" xfId="11348" xr:uid="{00000000-0005-0000-0000-00008D3E0000}"/>
    <cellStyle name="40% - Accent5 41 3 2" xfId="22636" xr:uid="{00000000-0005-0000-0000-00008E3E0000}"/>
    <cellStyle name="40% - Accent5 41 4" xfId="9354" xr:uid="{00000000-0005-0000-0000-00008F3E0000}"/>
    <cellStyle name="40% - Accent5 41 4 2" xfId="20642" xr:uid="{00000000-0005-0000-0000-0000903E0000}"/>
    <cellStyle name="40% - Accent5 41 5" xfId="7360" xr:uid="{00000000-0005-0000-0000-0000913E0000}"/>
    <cellStyle name="40% - Accent5 41 5 2" xfId="18648" xr:uid="{00000000-0005-0000-0000-0000923E0000}"/>
    <cellStyle name="40% - Accent5 41 6" xfId="5366" xr:uid="{00000000-0005-0000-0000-0000933E0000}"/>
    <cellStyle name="40% - Accent5 41 6 2" xfId="16654" xr:uid="{00000000-0005-0000-0000-0000943E0000}"/>
    <cellStyle name="40% - Accent5 41 7" xfId="14660" xr:uid="{00000000-0005-0000-0000-0000953E0000}"/>
    <cellStyle name="40% - Accent5 41 8" xfId="13346" xr:uid="{00000000-0005-0000-0000-0000963E0000}"/>
    <cellStyle name="40% - Accent5 42" xfId="1411" xr:uid="{00000000-0005-0000-0000-0000973E0000}"/>
    <cellStyle name="40% - Accent5 42 2" xfId="4367" xr:uid="{00000000-0005-0000-0000-0000983E0000}"/>
    <cellStyle name="40% - Accent5 42 2 2" xfId="12346" xr:uid="{00000000-0005-0000-0000-0000993E0000}"/>
    <cellStyle name="40% - Accent5 42 2 2 2" xfId="23634" xr:uid="{00000000-0005-0000-0000-00009A3E0000}"/>
    <cellStyle name="40% - Accent5 42 2 3" xfId="10352" xr:uid="{00000000-0005-0000-0000-00009B3E0000}"/>
    <cellStyle name="40% - Accent5 42 2 3 2" xfId="21640" xr:uid="{00000000-0005-0000-0000-00009C3E0000}"/>
    <cellStyle name="40% - Accent5 42 2 4" xfId="8358" xr:uid="{00000000-0005-0000-0000-00009D3E0000}"/>
    <cellStyle name="40% - Accent5 42 2 4 2" xfId="19646" xr:uid="{00000000-0005-0000-0000-00009E3E0000}"/>
    <cellStyle name="40% - Accent5 42 2 5" xfId="6364" xr:uid="{00000000-0005-0000-0000-00009F3E0000}"/>
    <cellStyle name="40% - Accent5 42 2 5 2" xfId="17652" xr:uid="{00000000-0005-0000-0000-0000A03E0000}"/>
    <cellStyle name="40% - Accent5 42 2 6" xfId="15658" xr:uid="{00000000-0005-0000-0000-0000A13E0000}"/>
    <cellStyle name="40% - Accent5 42 3" xfId="11349" xr:uid="{00000000-0005-0000-0000-0000A23E0000}"/>
    <cellStyle name="40% - Accent5 42 3 2" xfId="22637" xr:uid="{00000000-0005-0000-0000-0000A33E0000}"/>
    <cellStyle name="40% - Accent5 42 4" xfId="9355" xr:uid="{00000000-0005-0000-0000-0000A43E0000}"/>
    <cellStyle name="40% - Accent5 42 4 2" xfId="20643" xr:uid="{00000000-0005-0000-0000-0000A53E0000}"/>
    <cellStyle name="40% - Accent5 42 5" xfId="7361" xr:uid="{00000000-0005-0000-0000-0000A63E0000}"/>
    <cellStyle name="40% - Accent5 42 5 2" xfId="18649" xr:uid="{00000000-0005-0000-0000-0000A73E0000}"/>
    <cellStyle name="40% - Accent5 42 6" xfId="5367" xr:uid="{00000000-0005-0000-0000-0000A83E0000}"/>
    <cellStyle name="40% - Accent5 42 6 2" xfId="16655" xr:uid="{00000000-0005-0000-0000-0000A93E0000}"/>
    <cellStyle name="40% - Accent5 42 7" xfId="14661" xr:uid="{00000000-0005-0000-0000-0000AA3E0000}"/>
    <cellStyle name="40% - Accent5 42 8" xfId="13347" xr:uid="{00000000-0005-0000-0000-0000AB3E0000}"/>
    <cellStyle name="40% - Accent5 43" xfId="1412" xr:uid="{00000000-0005-0000-0000-0000AC3E0000}"/>
    <cellStyle name="40% - Accent5 43 2" xfId="4368" xr:uid="{00000000-0005-0000-0000-0000AD3E0000}"/>
    <cellStyle name="40% - Accent5 43 2 2" xfId="12347" xr:uid="{00000000-0005-0000-0000-0000AE3E0000}"/>
    <cellStyle name="40% - Accent5 43 2 2 2" xfId="23635" xr:uid="{00000000-0005-0000-0000-0000AF3E0000}"/>
    <cellStyle name="40% - Accent5 43 2 3" xfId="10353" xr:uid="{00000000-0005-0000-0000-0000B03E0000}"/>
    <cellStyle name="40% - Accent5 43 2 3 2" xfId="21641" xr:uid="{00000000-0005-0000-0000-0000B13E0000}"/>
    <cellStyle name="40% - Accent5 43 2 4" xfId="8359" xr:uid="{00000000-0005-0000-0000-0000B23E0000}"/>
    <cellStyle name="40% - Accent5 43 2 4 2" xfId="19647" xr:uid="{00000000-0005-0000-0000-0000B33E0000}"/>
    <cellStyle name="40% - Accent5 43 2 5" xfId="6365" xr:uid="{00000000-0005-0000-0000-0000B43E0000}"/>
    <cellStyle name="40% - Accent5 43 2 5 2" xfId="17653" xr:uid="{00000000-0005-0000-0000-0000B53E0000}"/>
    <cellStyle name="40% - Accent5 43 2 6" xfId="15659" xr:uid="{00000000-0005-0000-0000-0000B63E0000}"/>
    <cellStyle name="40% - Accent5 43 3" xfId="11350" xr:uid="{00000000-0005-0000-0000-0000B73E0000}"/>
    <cellStyle name="40% - Accent5 43 3 2" xfId="22638" xr:uid="{00000000-0005-0000-0000-0000B83E0000}"/>
    <cellStyle name="40% - Accent5 43 4" xfId="9356" xr:uid="{00000000-0005-0000-0000-0000B93E0000}"/>
    <cellStyle name="40% - Accent5 43 4 2" xfId="20644" xr:uid="{00000000-0005-0000-0000-0000BA3E0000}"/>
    <cellStyle name="40% - Accent5 43 5" xfId="7362" xr:uid="{00000000-0005-0000-0000-0000BB3E0000}"/>
    <cellStyle name="40% - Accent5 43 5 2" xfId="18650" xr:uid="{00000000-0005-0000-0000-0000BC3E0000}"/>
    <cellStyle name="40% - Accent5 43 6" xfId="5368" xr:uid="{00000000-0005-0000-0000-0000BD3E0000}"/>
    <cellStyle name="40% - Accent5 43 6 2" xfId="16656" xr:uid="{00000000-0005-0000-0000-0000BE3E0000}"/>
    <cellStyle name="40% - Accent5 43 7" xfId="14662" xr:uid="{00000000-0005-0000-0000-0000BF3E0000}"/>
    <cellStyle name="40% - Accent5 43 8" xfId="13348" xr:uid="{00000000-0005-0000-0000-0000C03E0000}"/>
    <cellStyle name="40% - Accent5 44" xfId="1413" xr:uid="{00000000-0005-0000-0000-0000C13E0000}"/>
    <cellStyle name="40% - Accent5 44 2" xfId="4369" xr:uid="{00000000-0005-0000-0000-0000C23E0000}"/>
    <cellStyle name="40% - Accent5 44 2 2" xfId="12348" xr:uid="{00000000-0005-0000-0000-0000C33E0000}"/>
    <cellStyle name="40% - Accent5 44 2 2 2" xfId="23636" xr:uid="{00000000-0005-0000-0000-0000C43E0000}"/>
    <cellStyle name="40% - Accent5 44 2 3" xfId="10354" xr:uid="{00000000-0005-0000-0000-0000C53E0000}"/>
    <cellStyle name="40% - Accent5 44 2 3 2" xfId="21642" xr:uid="{00000000-0005-0000-0000-0000C63E0000}"/>
    <cellStyle name="40% - Accent5 44 2 4" xfId="8360" xr:uid="{00000000-0005-0000-0000-0000C73E0000}"/>
    <cellStyle name="40% - Accent5 44 2 4 2" xfId="19648" xr:uid="{00000000-0005-0000-0000-0000C83E0000}"/>
    <cellStyle name="40% - Accent5 44 2 5" xfId="6366" xr:uid="{00000000-0005-0000-0000-0000C93E0000}"/>
    <cellStyle name="40% - Accent5 44 2 5 2" xfId="17654" xr:uid="{00000000-0005-0000-0000-0000CA3E0000}"/>
    <cellStyle name="40% - Accent5 44 2 6" xfId="15660" xr:uid="{00000000-0005-0000-0000-0000CB3E0000}"/>
    <cellStyle name="40% - Accent5 44 3" xfId="11351" xr:uid="{00000000-0005-0000-0000-0000CC3E0000}"/>
    <cellStyle name="40% - Accent5 44 3 2" xfId="22639" xr:uid="{00000000-0005-0000-0000-0000CD3E0000}"/>
    <cellStyle name="40% - Accent5 44 4" xfId="9357" xr:uid="{00000000-0005-0000-0000-0000CE3E0000}"/>
    <cellStyle name="40% - Accent5 44 4 2" xfId="20645" xr:uid="{00000000-0005-0000-0000-0000CF3E0000}"/>
    <cellStyle name="40% - Accent5 44 5" xfId="7363" xr:uid="{00000000-0005-0000-0000-0000D03E0000}"/>
    <cellStyle name="40% - Accent5 44 5 2" xfId="18651" xr:uid="{00000000-0005-0000-0000-0000D13E0000}"/>
    <cellStyle name="40% - Accent5 44 6" xfId="5369" xr:uid="{00000000-0005-0000-0000-0000D23E0000}"/>
    <cellStyle name="40% - Accent5 44 6 2" xfId="16657" xr:uid="{00000000-0005-0000-0000-0000D33E0000}"/>
    <cellStyle name="40% - Accent5 44 7" xfId="14663" xr:uid="{00000000-0005-0000-0000-0000D43E0000}"/>
    <cellStyle name="40% - Accent5 44 8" xfId="13349" xr:uid="{00000000-0005-0000-0000-0000D53E0000}"/>
    <cellStyle name="40% - Accent5 45" xfId="1414" xr:uid="{00000000-0005-0000-0000-0000D63E0000}"/>
    <cellStyle name="40% - Accent5 45 2" xfId="4370" xr:uid="{00000000-0005-0000-0000-0000D73E0000}"/>
    <cellStyle name="40% - Accent5 45 2 2" xfId="12349" xr:uid="{00000000-0005-0000-0000-0000D83E0000}"/>
    <cellStyle name="40% - Accent5 45 2 2 2" xfId="23637" xr:uid="{00000000-0005-0000-0000-0000D93E0000}"/>
    <cellStyle name="40% - Accent5 45 2 3" xfId="10355" xr:uid="{00000000-0005-0000-0000-0000DA3E0000}"/>
    <cellStyle name="40% - Accent5 45 2 3 2" xfId="21643" xr:uid="{00000000-0005-0000-0000-0000DB3E0000}"/>
    <cellStyle name="40% - Accent5 45 2 4" xfId="8361" xr:uid="{00000000-0005-0000-0000-0000DC3E0000}"/>
    <cellStyle name="40% - Accent5 45 2 4 2" xfId="19649" xr:uid="{00000000-0005-0000-0000-0000DD3E0000}"/>
    <cellStyle name="40% - Accent5 45 2 5" xfId="6367" xr:uid="{00000000-0005-0000-0000-0000DE3E0000}"/>
    <cellStyle name="40% - Accent5 45 2 5 2" xfId="17655" xr:uid="{00000000-0005-0000-0000-0000DF3E0000}"/>
    <cellStyle name="40% - Accent5 45 2 6" xfId="15661" xr:uid="{00000000-0005-0000-0000-0000E03E0000}"/>
    <cellStyle name="40% - Accent5 45 3" xfId="11352" xr:uid="{00000000-0005-0000-0000-0000E13E0000}"/>
    <cellStyle name="40% - Accent5 45 3 2" xfId="22640" xr:uid="{00000000-0005-0000-0000-0000E23E0000}"/>
    <cellStyle name="40% - Accent5 45 4" xfId="9358" xr:uid="{00000000-0005-0000-0000-0000E33E0000}"/>
    <cellStyle name="40% - Accent5 45 4 2" xfId="20646" xr:uid="{00000000-0005-0000-0000-0000E43E0000}"/>
    <cellStyle name="40% - Accent5 45 5" xfId="7364" xr:uid="{00000000-0005-0000-0000-0000E53E0000}"/>
    <cellStyle name="40% - Accent5 45 5 2" xfId="18652" xr:uid="{00000000-0005-0000-0000-0000E63E0000}"/>
    <cellStyle name="40% - Accent5 45 6" xfId="5370" xr:uid="{00000000-0005-0000-0000-0000E73E0000}"/>
    <cellStyle name="40% - Accent5 45 6 2" xfId="16658" xr:uid="{00000000-0005-0000-0000-0000E83E0000}"/>
    <cellStyle name="40% - Accent5 45 7" xfId="14664" xr:uid="{00000000-0005-0000-0000-0000E93E0000}"/>
    <cellStyle name="40% - Accent5 45 8" xfId="13350" xr:uid="{00000000-0005-0000-0000-0000EA3E0000}"/>
    <cellStyle name="40% - Accent5 46" xfId="1415" xr:uid="{00000000-0005-0000-0000-0000EB3E0000}"/>
    <cellStyle name="40% - Accent5 46 2" xfId="4371" xr:uid="{00000000-0005-0000-0000-0000EC3E0000}"/>
    <cellStyle name="40% - Accent5 46 2 2" xfId="12350" xr:uid="{00000000-0005-0000-0000-0000ED3E0000}"/>
    <cellStyle name="40% - Accent5 46 2 2 2" xfId="23638" xr:uid="{00000000-0005-0000-0000-0000EE3E0000}"/>
    <cellStyle name="40% - Accent5 46 2 3" xfId="10356" xr:uid="{00000000-0005-0000-0000-0000EF3E0000}"/>
    <cellStyle name="40% - Accent5 46 2 3 2" xfId="21644" xr:uid="{00000000-0005-0000-0000-0000F03E0000}"/>
    <cellStyle name="40% - Accent5 46 2 4" xfId="8362" xr:uid="{00000000-0005-0000-0000-0000F13E0000}"/>
    <cellStyle name="40% - Accent5 46 2 4 2" xfId="19650" xr:uid="{00000000-0005-0000-0000-0000F23E0000}"/>
    <cellStyle name="40% - Accent5 46 2 5" xfId="6368" xr:uid="{00000000-0005-0000-0000-0000F33E0000}"/>
    <cellStyle name="40% - Accent5 46 2 5 2" xfId="17656" xr:uid="{00000000-0005-0000-0000-0000F43E0000}"/>
    <cellStyle name="40% - Accent5 46 2 6" xfId="15662" xr:uid="{00000000-0005-0000-0000-0000F53E0000}"/>
    <cellStyle name="40% - Accent5 46 3" xfId="11353" xr:uid="{00000000-0005-0000-0000-0000F63E0000}"/>
    <cellStyle name="40% - Accent5 46 3 2" xfId="22641" xr:uid="{00000000-0005-0000-0000-0000F73E0000}"/>
    <cellStyle name="40% - Accent5 46 4" xfId="9359" xr:uid="{00000000-0005-0000-0000-0000F83E0000}"/>
    <cellStyle name="40% - Accent5 46 4 2" xfId="20647" xr:uid="{00000000-0005-0000-0000-0000F93E0000}"/>
    <cellStyle name="40% - Accent5 46 5" xfId="7365" xr:uid="{00000000-0005-0000-0000-0000FA3E0000}"/>
    <cellStyle name="40% - Accent5 46 5 2" xfId="18653" xr:uid="{00000000-0005-0000-0000-0000FB3E0000}"/>
    <cellStyle name="40% - Accent5 46 6" xfId="5371" xr:uid="{00000000-0005-0000-0000-0000FC3E0000}"/>
    <cellStyle name="40% - Accent5 46 6 2" xfId="16659" xr:uid="{00000000-0005-0000-0000-0000FD3E0000}"/>
    <cellStyle name="40% - Accent5 46 7" xfId="14665" xr:uid="{00000000-0005-0000-0000-0000FE3E0000}"/>
    <cellStyle name="40% - Accent5 46 8" xfId="13351" xr:uid="{00000000-0005-0000-0000-0000FF3E0000}"/>
    <cellStyle name="40% - Accent5 47" xfId="1416" xr:uid="{00000000-0005-0000-0000-0000003F0000}"/>
    <cellStyle name="40% - Accent5 47 2" xfId="4372" xr:uid="{00000000-0005-0000-0000-0000013F0000}"/>
    <cellStyle name="40% - Accent5 47 2 2" xfId="12351" xr:uid="{00000000-0005-0000-0000-0000023F0000}"/>
    <cellStyle name="40% - Accent5 47 2 2 2" xfId="23639" xr:uid="{00000000-0005-0000-0000-0000033F0000}"/>
    <cellStyle name="40% - Accent5 47 2 3" xfId="10357" xr:uid="{00000000-0005-0000-0000-0000043F0000}"/>
    <cellStyle name="40% - Accent5 47 2 3 2" xfId="21645" xr:uid="{00000000-0005-0000-0000-0000053F0000}"/>
    <cellStyle name="40% - Accent5 47 2 4" xfId="8363" xr:uid="{00000000-0005-0000-0000-0000063F0000}"/>
    <cellStyle name="40% - Accent5 47 2 4 2" xfId="19651" xr:uid="{00000000-0005-0000-0000-0000073F0000}"/>
    <cellStyle name="40% - Accent5 47 2 5" xfId="6369" xr:uid="{00000000-0005-0000-0000-0000083F0000}"/>
    <cellStyle name="40% - Accent5 47 2 5 2" xfId="17657" xr:uid="{00000000-0005-0000-0000-0000093F0000}"/>
    <cellStyle name="40% - Accent5 47 2 6" xfId="15663" xr:uid="{00000000-0005-0000-0000-00000A3F0000}"/>
    <cellStyle name="40% - Accent5 47 3" xfId="11354" xr:uid="{00000000-0005-0000-0000-00000B3F0000}"/>
    <cellStyle name="40% - Accent5 47 3 2" xfId="22642" xr:uid="{00000000-0005-0000-0000-00000C3F0000}"/>
    <cellStyle name="40% - Accent5 47 4" xfId="9360" xr:uid="{00000000-0005-0000-0000-00000D3F0000}"/>
    <cellStyle name="40% - Accent5 47 4 2" xfId="20648" xr:uid="{00000000-0005-0000-0000-00000E3F0000}"/>
    <cellStyle name="40% - Accent5 47 5" xfId="7366" xr:uid="{00000000-0005-0000-0000-00000F3F0000}"/>
    <cellStyle name="40% - Accent5 47 5 2" xfId="18654" xr:uid="{00000000-0005-0000-0000-0000103F0000}"/>
    <cellStyle name="40% - Accent5 47 6" xfId="5372" xr:uid="{00000000-0005-0000-0000-0000113F0000}"/>
    <cellStyle name="40% - Accent5 47 6 2" xfId="16660" xr:uid="{00000000-0005-0000-0000-0000123F0000}"/>
    <cellStyle name="40% - Accent5 47 7" xfId="14666" xr:uid="{00000000-0005-0000-0000-0000133F0000}"/>
    <cellStyle name="40% - Accent5 47 8" xfId="13352" xr:uid="{00000000-0005-0000-0000-0000143F0000}"/>
    <cellStyle name="40% - Accent5 48" xfId="1417" xr:uid="{00000000-0005-0000-0000-0000153F0000}"/>
    <cellStyle name="40% - Accent5 48 2" xfId="4373" xr:uid="{00000000-0005-0000-0000-0000163F0000}"/>
    <cellStyle name="40% - Accent5 48 2 2" xfId="12352" xr:uid="{00000000-0005-0000-0000-0000173F0000}"/>
    <cellStyle name="40% - Accent5 48 2 2 2" xfId="23640" xr:uid="{00000000-0005-0000-0000-0000183F0000}"/>
    <cellStyle name="40% - Accent5 48 2 3" xfId="10358" xr:uid="{00000000-0005-0000-0000-0000193F0000}"/>
    <cellStyle name="40% - Accent5 48 2 3 2" xfId="21646" xr:uid="{00000000-0005-0000-0000-00001A3F0000}"/>
    <cellStyle name="40% - Accent5 48 2 4" xfId="8364" xr:uid="{00000000-0005-0000-0000-00001B3F0000}"/>
    <cellStyle name="40% - Accent5 48 2 4 2" xfId="19652" xr:uid="{00000000-0005-0000-0000-00001C3F0000}"/>
    <cellStyle name="40% - Accent5 48 2 5" xfId="6370" xr:uid="{00000000-0005-0000-0000-00001D3F0000}"/>
    <cellStyle name="40% - Accent5 48 2 5 2" xfId="17658" xr:uid="{00000000-0005-0000-0000-00001E3F0000}"/>
    <cellStyle name="40% - Accent5 48 2 6" xfId="15664" xr:uid="{00000000-0005-0000-0000-00001F3F0000}"/>
    <cellStyle name="40% - Accent5 48 3" xfId="11355" xr:uid="{00000000-0005-0000-0000-0000203F0000}"/>
    <cellStyle name="40% - Accent5 48 3 2" xfId="22643" xr:uid="{00000000-0005-0000-0000-0000213F0000}"/>
    <cellStyle name="40% - Accent5 48 4" xfId="9361" xr:uid="{00000000-0005-0000-0000-0000223F0000}"/>
    <cellStyle name="40% - Accent5 48 4 2" xfId="20649" xr:uid="{00000000-0005-0000-0000-0000233F0000}"/>
    <cellStyle name="40% - Accent5 48 5" xfId="7367" xr:uid="{00000000-0005-0000-0000-0000243F0000}"/>
    <cellStyle name="40% - Accent5 48 5 2" xfId="18655" xr:uid="{00000000-0005-0000-0000-0000253F0000}"/>
    <cellStyle name="40% - Accent5 48 6" xfId="5373" xr:uid="{00000000-0005-0000-0000-0000263F0000}"/>
    <cellStyle name="40% - Accent5 48 6 2" xfId="16661" xr:uid="{00000000-0005-0000-0000-0000273F0000}"/>
    <cellStyle name="40% - Accent5 48 7" xfId="14667" xr:uid="{00000000-0005-0000-0000-0000283F0000}"/>
    <cellStyle name="40% - Accent5 48 8" xfId="13353" xr:uid="{00000000-0005-0000-0000-0000293F0000}"/>
    <cellStyle name="40% - Accent5 49" xfId="1418" xr:uid="{00000000-0005-0000-0000-00002A3F0000}"/>
    <cellStyle name="40% - Accent5 49 2" xfId="4374" xr:uid="{00000000-0005-0000-0000-00002B3F0000}"/>
    <cellStyle name="40% - Accent5 49 2 2" xfId="12353" xr:uid="{00000000-0005-0000-0000-00002C3F0000}"/>
    <cellStyle name="40% - Accent5 49 2 2 2" xfId="23641" xr:uid="{00000000-0005-0000-0000-00002D3F0000}"/>
    <cellStyle name="40% - Accent5 49 2 3" xfId="10359" xr:uid="{00000000-0005-0000-0000-00002E3F0000}"/>
    <cellStyle name="40% - Accent5 49 2 3 2" xfId="21647" xr:uid="{00000000-0005-0000-0000-00002F3F0000}"/>
    <cellStyle name="40% - Accent5 49 2 4" xfId="8365" xr:uid="{00000000-0005-0000-0000-0000303F0000}"/>
    <cellStyle name="40% - Accent5 49 2 4 2" xfId="19653" xr:uid="{00000000-0005-0000-0000-0000313F0000}"/>
    <cellStyle name="40% - Accent5 49 2 5" xfId="6371" xr:uid="{00000000-0005-0000-0000-0000323F0000}"/>
    <cellStyle name="40% - Accent5 49 2 5 2" xfId="17659" xr:uid="{00000000-0005-0000-0000-0000333F0000}"/>
    <cellStyle name="40% - Accent5 49 2 6" xfId="15665" xr:uid="{00000000-0005-0000-0000-0000343F0000}"/>
    <cellStyle name="40% - Accent5 49 3" xfId="11356" xr:uid="{00000000-0005-0000-0000-0000353F0000}"/>
    <cellStyle name="40% - Accent5 49 3 2" xfId="22644" xr:uid="{00000000-0005-0000-0000-0000363F0000}"/>
    <cellStyle name="40% - Accent5 49 4" xfId="9362" xr:uid="{00000000-0005-0000-0000-0000373F0000}"/>
    <cellStyle name="40% - Accent5 49 4 2" xfId="20650" xr:uid="{00000000-0005-0000-0000-0000383F0000}"/>
    <cellStyle name="40% - Accent5 49 5" xfId="7368" xr:uid="{00000000-0005-0000-0000-0000393F0000}"/>
    <cellStyle name="40% - Accent5 49 5 2" xfId="18656" xr:uid="{00000000-0005-0000-0000-00003A3F0000}"/>
    <cellStyle name="40% - Accent5 49 6" xfId="5374" xr:uid="{00000000-0005-0000-0000-00003B3F0000}"/>
    <cellStyle name="40% - Accent5 49 6 2" xfId="16662" xr:uid="{00000000-0005-0000-0000-00003C3F0000}"/>
    <cellStyle name="40% - Accent5 49 7" xfId="14668" xr:uid="{00000000-0005-0000-0000-00003D3F0000}"/>
    <cellStyle name="40% - Accent5 49 8" xfId="13354" xr:uid="{00000000-0005-0000-0000-00003E3F0000}"/>
    <cellStyle name="40% - Accent5 5" xfId="1419" xr:uid="{00000000-0005-0000-0000-00003F3F0000}"/>
    <cellStyle name="40% - Accent5 5 10" xfId="24622" xr:uid="{00000000-0005-0000-0000-0000403F0000}"/>
    <cellStyle name="40% - Accent5 5 11" xfId="25012" xr:uid="{00000000-0005-0000-0000-0000413F0000}"/>
    <cellStyle name="40% - Accent5 5 2" xfId="4375" xr:uid="{00000000-0005-0000-0000-0000423F0000}"/>
    <cellStyle name="40% - Accent5 5 2 2" xfId="12354" xr:uid="{00000000-0005-0000-0000-0000433F0000}"/>
    <cellStyle name="40% - Accent5 5 2 2 2" xfId="23642" xr:uid="{00000000-0005-0000-0000-0000443F0000}"/>
    <cellStyle name="40% - Accent5 5 2 3" xfId="10360" xr:uid="{00000000-0005-0000-0000-0000453F0000}"/>
    <cellStyle name="40% - Accent5 5 2 3 2" xfId="21648" xr:uid="{00000000-0005-0000-0000-0000463F0000}"/>
    <cellStyle name="40% - Accent5 5 2 4" xfId="8366" xr:uid="{00000000-0005-0000-0000-0000473F0000}"/>
    <cellStyle name="40% - Accent5 5 2 4 2" xfId="19654" xr:uid="{00000000-0005-0000-0000-0000483F0000}"/>
    <cellStyle name="40% - Accent5 5 2 5" xfId="6372" xr:uid="{00000000-0005-0000-0000-0000493F0000}"/>
    <cellStyle name="40% - Accent5 5 2 5 2" xfId="17660" xr:uid="{00000000-0005-0000-0000-00004A3F0000}"/>
    <cellStyle name="40% - Accent5 5 2 6" xfId="15666" xr:uid="{00000000-0005-0000-0000-00004B3F0000}"/>
    <cellStyle name="40% - Accent5 5 2 7" xfId="24383" xr:uid="{00000000-0005-0000-0000-00004C3F0000}"/>
    <cellStyle name="40% - Accent5 5 2 8" xfId="24847" xr:uid="{00000000-0005-0000-0000-00004D3F0000}"/>
    <cellStyle name="40% - Accent5 5 2 9" xfId="25214" xr:uid="{00000000-0005-0000-0000-00004E3F0000}"/>
    <cellStyle name="40% - Accent5 5 3" xfId="11357" xr:uid="{00000000-0005-0000-0000-00004F3F0000}"/>
    <cellStyle name="40% - Accent5 5 3 2" xfId="22645" xr:uid="{00000000-0005-0000-0000-0000503F0000}"/>
    <cellStyle name="40% - Accent5 5 4" xfId="9363" xr:uid="{00000000-0005-0000-0000-0000513F0000}"/>
    <cellStyle name="40% - Accent5 5 4 2" xfId="20651" xr:uid="{00000000-0005-0000-0000-0000523F0000}"/>
    <cellStyle name="40% - Accent5 5 5" xfId="7369" xr:uid="{00000000-0005-0000-0000-0000533F0000}"/>
    <cellStyle name="40% - Accent5 5 5 2" xfId="18657" xr:uid="{00000000-0005-0000-0000-0000543F0000}"/>
    <cellStyle name="40% - Accent5 5 6" xfId="5375" xr:uid="{00000000-0005-0000-0000-0000553F0000}"/>
    <cellStyle name="40% - Accent5 5 6 2" xfId="16663" xr:uid="{00000000-0005-0000-0000-0000563F0000}"/>
    <cellStyle name="40% - Accent5 5 7" xfId="14669" xr:uid="{00000000-0005-0000-0000-0000573F0000}"/>
    <cellStyle name="40% - Accent5 5 8" xfId="13355" xr:uid="{00000000-0005-0000-0000-0000583F0000}"/>
    <cellStyle name="40% - Accent5 5 9" xfId="23995" xr:uid="{00000000-0005-0000-0000-0000593F0000}"/>
    <cellStyle name="40% - Accent5 50" xfId="1420" xr:uid="{00000000-0005-0000-0000-00005A3F0000}"/>
    <cellStyle name="40% - Accent5 50 2" xfId="4376" xr:uid="{00000000-0005-0000-0000-00005B3F0000}"/>
    <cellStyle name="40% - Accent5 50 2 2" xfId="12355" xr:uid="{00000000-0005-0000-0000-00005C3F0000}"/>
    <cellStyle name="40% - Accent5 50 2 2 2" xfId="23643" xr:uid="{00000000-0005-0000-0000-00005D3F0000}"/>
    <cellStyle name="40% - Accent5 50 2 3" xfId="10361" xr:uid="{00000000-0005-0000-0000-00005E3F0000}"/>
    <cellStyle name="40% - Accent5 50 2 3 2" xfId="21649" xr:uid="{00000000-0005-0000-0000-00005F3F0000}"/>
    <cellStyle name="40% - Accent5 50 2 4" xfId="8367" xr:uid="{00000000-0005-0000-0000-0000603F0000}"/>
    <cellStyle name="40% - Accent5 50 2 4 2" xfId="19655" xr:uid="{00000000-0005-0000-0000-0000613F0000}"/>
    <cellStyle name="40% - Accent5 50 2 5" xfId="6373" xr:uid="{00000000-0005-0000-0000-0000623F0000}"/>
    <cellStyle name="40% - Accent5 50 2 5 2" xfId="17661" xr:uid="{00000000-0005-0000-0000-0000633F0000}"/>
    <cellStyle name="40% - Accent5 50 2 6" xfId="15667" xr:uid="{00000000-0005-0000-0000-0000643F0000}"/>
    <cellStyle name="40% - Accent5 50 3" xfId="11358" xr:uid="{00000000-0005-0000-0000-0000653F0000}"/>
    <cellStyle name="40% - Accent5 50 3 2" xfId="22646" xr:uid="{00000000-0005-0000-0000-0000663F0000}"/>
    <cellStyle name="40% - Accent5 50 4" xfId="9364" xr:uid="{00000000-0005-0000-0000-0000673F0000}"/>
    <cellStyle name="40% - Accent5 50 4 2" xfId="20652" xr:uid="{00000000-0005-0000-0000-0000683F0000}"/>
    <cellStyle name="40% - Accent5 50 5" xfId="7370" xr:uid="{00000000-0005-0000-0000-0000693F0000}"/>
    <cellStyle name="40% - Accent5 50 5 2" xfId="18658" xr:uid="{00000000-0005-0000-0000-00006A3F0000}"/>
    <cellStyle name="40% - Accent5 50 6" xfId="5376" xr:uid="{00000000-0005-0000-0000-00006B3F0000}"/>
    <cellStyle name="40% - Accent5 50 6 2" xfId="16664" xr:uid="{00000000-0005-0000-0000-00006C3F0000}"/>
    <cellStyle name="40% - Accent5 50 7" xfId="14670" xr:uid="{00000000-0005-0000-0000-00006D3F0000}"/>
    <cellStyle name="40% - Accent5 50 8" xfId="13356" xr:uid="{00000000-0005-0000-0000-00006E3F0000}"/>
    <cellStyle name="40% - Accent5 51" xfId="1421" xr:uid="{00000000-0005-0000-0000-00006F3F0000}"/>
    <cellStyle name="40% - Accent5 51 2" xfId="4377" xr:uid="{00000000-0005-0000-0000-0000703F0000}"/>
    <cellStyle name="40% - Accent5 51 2 2" xfId="12356" xr:uid="{00000000-0005-0000-0000-0000713F0000}"/>
    <cellStyle name="40% - Accent5 51 2 2 2" xfId="23644" xr:uid="{00000000-0005-0000-0000-0000723F0000}"/>
    <cellStyle name="40% - Accent5 51 2 3" xfId="10362" xr:uid="{00000000-0005-0000-0000-0000733F0000}"/>
    <cellStyle name="40% - Accent5 51 2 3 2" xfId="21650" xr:uid="{00000000-0005-0000-0000-0000743F0000}"/>
    <cellStyle name="40% - Accent5 51 2 4" xfId="8368" xr:uid="{00000000-0005-0000-0000-0000753F0000}"/>
    <cellStyle name="40% - Accent5 51 2 4 2" xfId="19656" xr:uid="{00000000-0005-0000-0000-0000763F0000}"/>
    <cellStyle name="40% - Accent5 51 2 5" xfId="6374" xr:uid="{00000000-0005-0000-0000-0000773F0000}"/>
    <cellStyle name="40% - Accent5 51 2 5 2" xfId="17662" xr:uid="{00000000-0005-0000-0000-0000783F0000}"/>
    <cellStyle name="40% - Accent5 51 2 6" xfId="15668" xr:uid="{00000000-0005-0000-0000-0000793F0000}"/>
    <cellStyle name="40% - Accent5 51 3" xfId="11359" xr:uid="{00000000-0005-0000-0000-00007A3F0000}"/>
    <cellStyle name="40% - Accent5 51 3 2" xfId="22647" xr:uid="{00000000-0005-0000-0000-00007B3F0000}"/>
    <cellStyle name="40% - Accent5 51 4" xfId="9365" xr:uid="{00000000-0005-0000-0000-00007C3F0000}"/>
    <cellStyle name="40% - Accent5 51 4 2" xfId="20653" xr:uid="{00000000-0005-0000-0000-00007D3F0000}"/>
    <cellStyle name="40% - Accent5 51 5" xfId="7371" xr:uid="{00000000-0005-0000-0000-00007E3F0000}"/>
    <cellStyle name="40% - Accent5 51 5 2" xfId="18659" xr:uid="{00000000-0005-0000-0000-00007F3F0000}"/>
    <cellStyle name="40% - Accent5 51 6" xfId="5377" xr:uid="{00000000-0005-0000-0000-0000803F0000}"/>
    <cellStyle name="40% - Accent5 51 6 2" xfId="16665" xr:uid="{00000000-0005-0000-0000-0000813F0000}"/>
    <cellStyle name="40% - Accent5 51 7" xfId="14671" xr:uid="{00000000-0005-0000-0000-0000823F0000}"/>
    <cellStyle name="40% - Accent5 51 8" xfId="13357" xr:uid="{00000000-0005-0000-0000-0000833F0000}"/>
    <cellStyle name="40% - Accent5 52" xfId="1422" xr:uid="{00000000-0005-0000-0000-0000843F0000}"/>
    <cellStyle name="40% - Accent5 52 2" xfId="4378" xr:uid="{00000000-0005-0000-0000-0000853F0000}"/>
    <cellStyle name="40% - Accent5 52 2 2" xfId="12357" xr:uid="{00000000-0005-0000-0000-0000863F0000}"/>
    <cellStyle name="40% - Accent5 52 2 2 2" xfId="23645" xr:uid="{00000000-0005-0000-0000-0000873F0000}"/>
    <cellStyle name="40% - Accent5 52 2 3" xfId="10363" xr:uid="{00000000-0005-0000-0000-0000883F0000}"/>
    <cellStyle name="40% - Accent5 52 2 3 2" xfId="21651" xr:uid="{00000000-0005-0000-0000-0000893F0000}"/>
    <cellStyle name="40% - Accent5 52 2 4" xfId="8369" xr:uid="{00000000-0005-0000-0000-00008A3F0000}"/>
    <cellStyle name="40% - Accent5 52 2 4 2" xfId="19657" xr:uid="{00000000-0005-0000-0000-00008B3F0000}"/>
    <cellStyle name="40% - Accent5 52 2 5" xfId="6375" xr:uid="{00000000-0005-0000-0000-00008C3F0000}"/>
    <cellStyle name="40% - Accent5 52 2 5 2" xfId="17663" xr:uid="{00000000-0005-0000-0000-00008D3F0000}"/>
    <cellStyle name="40% - Accent5 52 2 6" xfId="15669" xr:uid="{00000000-0005-0000-0000-00008E3F0000}"/>
    <cellStyle name="40% - Accent5 52 3" xfId="11360" xr:uid="{00000000-0005-0000-0000-00008F3F0000}"/>
    <cellStyle name="40% - Accent5 52 3 2" xfId="22648" xr:uid="{00000000-0005-0000-0000-0000903F0000}"/>
    <cellStyle name="40% - Accent5 52 4" xfId="9366" xr:uid="{00000000-0005-0000-0000-0000913F0000}"/>
    <cellStyle name="40% - Accent5 52 4 2" xfId="20654" xr:uid="{00000000-0005-0000-0000-0000923F0000}"/>
    <cellStyle name="40% - Accent5 52 5" xfId="7372" xr:uid="{00000000-0005-0000-0000-0000933F0000}"/>
    <cellStyle name="40% - Accent5 52 5 2" xfId="18660" xr:uid="{00000000-0005-0000-0000-0000943F0000}"/>
    <cellStyle name="40% - Accent5 52 6" xfId="5378" xr:uid="{00000000-0005-0000-0000-0000953F0000}"/>
    <cellStyle name="40% - Accent5 52 6 2" xfId="16666" xr:uid="{00000000-0005-0000-0000-0000963F0000}"/>
    <cellStyle name="40% - Accent5 52 7" xfId="14672" xr:uid="{00000000-0005-0000-0000-0000973F0000}"/>
    <cellStyle name="40% - Accent5 52 8" xfId="13358" xr:uid="{00000000-0005-0000-0000-0000983F0000}"/>
    <cellStyle name="40% - Accent5 53" xfId="1423" xr:uid="{00000000-0005-0000-0000-0000993F0000}"/>
    <cellStyle name="40% - Accent5 53 2" xfId="4379" xr:uid="{00000000-0005-0000-0000-00009A3F0000}"/>
    <cellStyle name="40% - Accent5 53 2 2" xfId="12358" xr:uid="{00000000-0005-0000-0000-00009B3F0000}"/>
    <cellStyle name="40% - Accent5 53 2 2 2" xfId="23646" xr:uid="{00000000-0005-0000-0000-00009C3F0000}"/>
    <cellStyle name="40% - Accent5 53 2 3" xfId="10364" xr:uid="{00000000-0005-0000-0000-00009D3F0000}"/>
    <cellStyle name="40% - Accent5 53 2 3 2" xfId="21652" xr:uid="{00000000-0005-0000-0000-00009E3F0000}"/>
    <cellStyle name="40% - Accent5 53 2 4" xfId="8370" xr:uid="{00000000-0005-0000-0000-00009F3F0000}"/>
    <cellStyle name="40% - Accent5 53 2 4 2" xfId="19658" xr:uid="{00000000-0005-0000-0000-0000A03F0000}"/>
    <cellStyle name="40% - Accent5 53 2 5" xfId="6376" xr:uid="{00000000-0005-0000-0000-0000A13F0000}"/>
    <cellStyle name="40% - Accent5 53 2 5 2" xfId="17664" xr:uid="{00000000-0005-0000-0000-0000A23F0000}"/>
    <cellStyle name="40% - Accent5 53 2 6" xfId="15670" xr:uid="{00000000-0005-0000-0000-0000A33F0000}"/>
    <cellStyle name="40% - Accent5 53 3" xfId="11361" xr:uid="{00000000-0005-0000-0000-0000A43F0000}"/>
    <cellStyle name="40% - Accent5 53 3 2" xfId="22649" xr:uid="{00000000-0005-0000-0000-0000A53F0000}"/>
    <cellStyle name="40% - Accent5 53 4" xfId="9367" xr:uid="{00000000-0005-0000-0000-0000A63F0000}"/>
    <cellStyle name="40% - Accent5 53 4 2" xfId="20655" xr:uid="{00000000-0005-0000-0000-0000A73F0000}"/>
    <cellStyle name="40% - Accent5 53 5" xfId="7373" xr:uid="{00000000-0005-0000-0000-0000A83F0000}"/>
    <cellStyle name="40% - Accent5 53 5 2" xfId="18661" xr:uid="{00000000-0005-0000-0000-0000A93F0000}"/>
    <cellStyle name="40% - Accent5 53 6" xfId="5379" xr:uid="{00000000-0005-0000-0000-0000AA3F0000}"/>
    <cellStyle name="40% - Accent5 53 6 2" xfId="16667" xr:uid="{00000000-0005-0000-0000-0000AB3F0000}"/>
    <cellStyle name="40% - Accent5 53 7" xfId="14673" xr:uid="{00000000-0005-0000-0000-0000AC3F0000}"/>
    <cellStyle name="40% - Accent5 53 8" xfId="13359" xr:uid="{00000000-0005-0000-0000-0000AD3F0000}"/>
    <cellStyle name="40% - Accent5 54" xfId="1424" xr:uid="{00000000-0005-0000-0000-0000AE3F0000}"/>
    <cellStyle name="40% - Accent5 54 2" xfId="4380" xr:uid="{00000000-0005-0000-0000-0000AF3F0000}"/>
    <cellStyle name="40% - Accent5 54 2 2" xfId="12359" xr:uid="{00000000-0005-0000-0000-0000B03F0000}"/>
    <cellStyle name="40% - Accent5 54 2 2 2" xfId="23647" xr:uid="{00000000-0005-0000-0000-0000B13F0000}"/>
    <cellStyle name="40% - Accent5 54 2 3" xfId="10365" xr:uid="{00000000-0005-0000-0000-0000B23F0000}"/>
    <cellStyle name="40% - Accent5 54 2 3 2" xfId="21653" xr:uid="{00000000-0005-0000-0000-0000B33F0000}"/>
    <cellStyle name="40% - Accent5 54 2 4" xfId="8371" xr:uid="{00000000-0005-0000-0000-0000B43F0000}"/>
    <cellStyle name="40% - Accent5 54 2 4 2" xfId="19659" xr:uid="{00000000-0005-0000-0000-0000B53F0000}"/>
    <cellStyle name="40% - Accent5 54 2 5" xfId="6377" xr:uid="{00000000-0005-0000-0000-0000B63F0000}"/>
    <cellStyle name="40% - Accent5 54 2 5 2" xfId="17665" xr:uid="{00000000-0005-0000-0000-0000B73F0000}"/>
    <cellStyle name="40% - Accent5 54 2 6" xfId="15671" xr:uid="{00000000-0005-0000-0000-0000B83F0000}"/>
    <cellStyle name="40% - Accent5 54 3" xfId="11362" xr:uid="{00000000-0005-0000-0000-0000B93F0000}"/>
    <cellStyle name="40% - Accent5 54 3 2" xfId="22650" xr:uid="{00000000-0005-0000-0000-0000BA3F0000}"/>
    <cellStyle name="40% - Accent5 54 4" xfId="9368" xr:uid="{00000000-0005-0000-0000-0000BB3F0000}"/>
    <cellStyle name="40% - Accent5 54 4 2" xfId="20656" xr:uid="{00000000-0005-0000-0000-0000BC3F0000}"/>
    <cellStyle name="40% - Accent5 54 5" xfId="7374" xr:uid="{00000000-0005-0000-0000-0000BD3F0000}"/>
    <cellStyle name="40% - Accent5 54 5 2" xfId="18662" xr:uid="{00000000-0005-0000-0000-0000BE3F0000}"/>
    <cellStyle name="40% - Accent5 54 6" xfId="5380" xr:uid="{00000000-0005-0000-0000-0000BF3F0000}"/>
    <cellStyle name="40% - Accent5 54 6 2" xfId="16668" xr:uid="{00000000-0005-0000-0000-0000C03F0000}"/>
    <cellStyle name="40% - Accent5 54 7" xfId="14674" xr:uid="{00000000-0005-0000-0000-0000C13F0000}"/>
    <cellStyle name="40% - Accent5 54 8" xfId="13360" xr:uid="{00000000-0005-0000-0000-0000C23F0000}"/>
    <cellStyle name="40% - Accent5 55" xfId="1425" xr:uid="{00000000-0005-0000-0000-0000C33F0000}"/>
    <cellStyle name="40% - Accent5 55 2" xfId="4381" xr:uid="{00000000-0005-0000-0000-0000C43F0000}"/>
    <cellStyle name="40% - Accent5 55 2 2" xfId="12360" xr:uid="{00000000-0005-0000-0000-0000C53F0000}"/>
    <cellStyle name="40% - Accent5 55 2 2 2" xfId="23648" xr:uid="{00000000-0005-0000-0000-0000C63F0000}"/>
    <cellStyle name="40% - Accent5 55 2 3" xfId="10366" xr:uid="{00000000-0005-0000-0000-0000C73F0000}"/>
    <cellStyle name="40% - Accent5 55 2 3 2" xfId="21654" xr:uid="{00000000-0005-0000-0000-0000C83F0000}"/>
    <cellStyle name="40% - Accent5 55 2 4" xfId="8372" xr:uid="{00000000-0005-0000-0000-0000C93F0000}"/>
    <cellStyle name="40% - Accent5 55 2 4 2" xfId="19660" xr:uid="{00000000-0005-0000-0000-0000CA3F0000}"/>
    <cellStyle name="40% - Accent5 55 2 5" xfId="6378" xr:uid="{00000000-0005-0000-0000-0000CB3F0000}"/>
    <cellStyle name="40% - Accent5 55 2 5 2" xfId="17666" xr:uid="{00000000-0005-0000-0000-0000CC3F0000}"/>
    <cellStyle name="40% - Accent5 55 2 6" xfId="15672" xr:uid="{00000000-0005-0000-0000-0000CD3F0000}"/>
    <cellStyle name="40% - Accent5 55 3" xfId="11363" xr:uid="{00000000-0005-0000-0000-0000CE3F0000}"/>
    <cellStyle name="40% - Accent5 55 3 2" xfId="22651" xr:uid="{00000000-0005-0000-0000-0000CF3F0000}"/>
    <cellStyle name="40% - Accent5 55 4" xfId="9369" xr:uid="{00000000-0005-0000-0000-0000D03F0000}"/>
    <cellStyle name="40% - Accent5 55 4 2" xfId="20657" xr:uid="{00000000-0005-0000-0000-0000D13F0000}"/>
    <cellStyle name="40% - Accent5 55 5" xfId="7375" xr:uid="{00000000-0005-0000-0000-0000D23F0000}"/>
    <cellStyle name="40% - Accent5 55 5 2" xfId="18663" xr:uid="{00000000-0005-0000-0000-0000D33F0000}"/>
    <cellStyle name="40% - Accent5 55 6" xfId="5381" xr:uid="{00000000-0005-0000-0000-0000D43F0000}"/>
    <cellStyle name="40% - Accent5 55 6 2" xfId="16669" xr:uid="{00000000-0005-0000-0000-0000D53F0000}"/>
    <cellStyle name="40% - Accent5 55 7" xfId="14675" xr:uid="{00000000-0005-0000-0000-0000D63F0000}"/>
    <cellStyle name="40% - Accent5 55 8" xfId="13361" xr:uid="{00000000-0005-0000-0000-0000D73F0000}"/>
    <cellStyle name="40% - Accent5 56" xfId="1426" xr:uid="{00000000-0005-0000-0000-0000D83F0000}"/>
    <cellStyle name="40% - Accent5 56 2" xfId="4382" xr:uid="{00000000-0005-0000-0000-0000D93F0000}"/>
    <cellStyle name="40% - Accent5 56 2 2" xfId="12361" xr:uid="{00000000-0005-0000-0000-0000DA3F0000}"/>
    <cellStyle name="40% - Accent5 56 2 2 2" xfId="23649" xr:uid="{00000000-0005-0000-0000-0000DB3F0000}"/>
    <cellStyle name="40% - Accent5 56 2 3" xfId="10367" xr:uid="{00000000-0005-0000-0000-0000DC3F0000}"/>
    <cellStyle name="40% - Accent5 56 2 3 2" xfId="21655" xr:uid="{00000000-0005-0000-0000-0000DD3F0000}"/>
    <cellStyle name="40% - Accent5 56 2 4" xfId="8373" xr:uid="{00000000-0005-0000-0000-0000DE3F0000}"/>
    <cellStyle name="40% - Accent5 56 2 4 2" xfId="19661" xr:uid="{00000000-0005-0000-0000-0000DF3F0000}"/>
    <cellStyle name="40% - Accent5 56 2 5" xfId="6379" xr:uid="{00000000-0005-0000-0000-0000E03F0000}"/>
    <cellStyle name="40% - Accent5 56 2 5 2" xfId="17667" xr:uid="{00000000-0005-0000-0000-0000E13F0000}"/>
    <cellStyle name="40% - Accent5 56 2 6" xfId="15673" xr:uid="{00000000-0005-0000-0000-0000E23F0000}"/>
    <cellStyle name="40% - Accent5 56 3" xfId="11364" xr:uid="{00000000-0005-0000-0000-0000E33F0000}"/>
    <cellStyle name="40% - Accent5 56 3 2" xfId="22652" xr:uid="{00000000-0005-0000-0000-0000E43F0000}"/>
    <cellStyle name="40% - Accent5 56 4" xfId="9370" xr:uid="{00000000-0005-0000-0000-0000E53F0000}"/>
    <cellStyle name="40% - Accent5 56 4 2" xfId="20658" xr:uid="{00000000-0005-0000-0000-0000E63F0000}"/>
    <cellStyle name="40% - Accent5 56 5" xfId="7376" xr:uid="{00000000-0005-0000-0000-0000E73F0000}"/>
    <cellStyle name="40% - Accent5 56 5 2" xfId="18664" xr:uid="{00000000-0005-0000-0000-0000E83F0000}"/>
    <cellStyle name="40% - Accent5 56 6" xfId="5382" xr:uid="{00000000-0005-0000-0000-0000E93F0000}"/>
    <cellStyle name="40% - Accent5 56 6 2" xfId="16670" xr:uid="{00000000-0005-0000-0000-0000EA3F0000}"/>
    <cellStyle name="40% - Accent5 56 7" xfId="14676" xr:uid="{00000000-0005-0000-0000-0000EB3F0000}"/>
    <cellStyle name="40% - Accent5 56 8" xfId="13362" xr:uid="{00000000-0005-0000-0000-0000EC3F0000}"/>
    <cellStyle name="40% - Accent5 57" xfId="1427" xr:uid="{00000000-0005-0000-0000-0000ED3F0000}"/>
    <cellStyle name="40% - Accent5 57 2" xfId="4383" xr:uid="{00000000-0005-0000-0000-0000EE3F0000}"/>
    <cellStyle name="40% - Accent5 57 2 2" xfId="12362" xr:uid="{00000000-0005-0000-0000-0000EF3F0000}"/>
    <cellStyle name="40% - Accent5 57 2 2 2" xfId="23650" xr:uid="{00000000-0005-0000-0000-0000F03F0000}"/>
    <cellStyle name="40% - Accent5 57 2 3" xfId="10368" xr:uid="{00000000-0005-0000-0000-0000F13F0000}"/>
    <cellStyle name="40% - Accent5 57 2 3 2" xfId="21656" xr:uid="{00000000-0005-0000-0000-0000F23F0000}"/>
    <cellStyle name="40% - Accent5 57 2 4" xfId="8374" xr:uid="{00000000-0005-0000-0000-0000F33F0000}"/>
    <cellStyle name="40% - Accent5 57 2 4 2" xfId="19662" xr:uid="{00000000-0005-0000-0000-0000F43F0000}"/>
    <cellStyle name="40% - Accent5 57 2 5" xfId="6380" xr:uid="{00000000-0005-0000-0000-0000F53F0000}"/>
    <cellStyle name="40% - Accent5 57 2 5 2" xfId="17668" xr:uid="{00000000-0005-0000-0000-0000F63F0000}"/>
    <cellStyle name="40% - Accent5 57 2 6" xfId="15674" xr:uid="{00000000-0005-0000-0000-0000F73F0000}"/>
    <cellStyle name="40% - Accent5 57 3" xfId="11365" xr:uid="{00000000-0005-0000-0000-0000F83F0000}"/>
    <cellStyle name="40% - Accent5 57 3 2" xfId="22653" xr:uid="{00000000-0005-0000-0000-0000F93F0000}"/>
    <cellStyle name="40% - Accent5 57 4" xfId="9371" xr:uid="{00000000-0005-0000-0000-0000FA3F0000}"/>
    <cellStyle name="40% - Accent5 57 4 2" xfId="20659" xr:uid="{00000000-0005-0000-0000-0000FB3F0000}"/>
    <cellStyle name="40% - Accent5 57 5" xfId="7377" xr:uid="{00000000-0005-0000-0000-0000FC3F0000}"/>
    <cellStyle name="40% - Accent5 57 5 2" xfId="18665" xr:uid="{00000000-0005-0000-0000-0000FD3F0000}"/>
    <cellStyle name="40% - Accent5 57 6" xfId="5383" xr:uid="{00000000-0005-0000-0000-0000FE3F0000}"/>
    <cellStyle name="40% - Accent5 57 6 2" xfId="16671" xr:uid="{00000000-0005-0000-0000-0000FF3F0000}"/>
    <cellStyle name="40% - Accent5 57 7" xfId="14677" xr:uid="{00000000-0005-0000-0000-000000400000}"/>
    <cellStyle name="40% - Accent5 57 8" xfId="13363" xr:uid="{00000000-0005-0000-0000-000001400000}"/>
    <cellStyle name="40% - Accent5 58" xfId="1428" xr:uid="{00000000-0005-0000-0000-000002400000}"/>
    <cellStyle name="40% - Accent5 58 2" xfId="4384" xr:uid="{00000000-0005-0000-0000-000003400000}"/>
    <cellStyle name="40% - Accent5 58 2 2" xfId="12363" xr:uid="{00000000-0005-0000-0000-000004400000}"/>
    <cellStyle name="40% - Accent5 58 2 2 2" xfId="23651" xr:uid="{00000000-0005-0000-0000-000005400000}"/>
    <cellStyle name="40% - Accent5 58 2 3" xfId="10369" xr:uid="{00000000-0005-0000-0000-000006400000}"/>
    <cellStyle name="40% - Accent5 58 2 3 2" xfId="21657" xr:uid="{00000000-0005-0000-0000-000007400000}"/>
    <cellStyle name="40% - Accent5 58 2 4" xfId="8375" xr:uid="{00000000-0005-0000-0000-000008400000}"/>
    <cellStyle name="40% - Accent5 58 2 4 2" xfId="19663" xr:uid="{00000000-0005-0000-0000-000009400000}"/>
    <cellStyle name="40% - Accent5 58 2 5" xfId="6381" xr:uid="{00000000-0005-0000-0000-00000A400000}"/>
    <cellStyle name="40% - Accent5 58 2 5 2" xfId="17669" xr:uid="{00000000-0005-0000-0000-00000B400000}"/>
    <cellStyle name="40% - Accent5 58 2 6" xfId="15675" xr:uid="{00000000-0005-0000-0000-00000C400000}"/>
    <cellStyle name="40% - Accent5 58 3" xfId="11366" xr:uid="{00000000-0005-0000-0000-00000D400000}"/>
    <cellStyle name="40% - Accent5 58 3 2" xfId="22654" xr:uid="{00000000-0005-0000-0000-00000E400000}"/>
    <cellStyle name="40% - Accent5 58 4" xfId="9372" xr:uid="{00000000-0005-0000-0000-00000F400000}"/>
    <cellStyle name="40% - Accent5 58 4 2" xfId="20660" xr:uid="{00000000-0005-0000-0000-000010400000}"/>
    <cellStyle name="40% - Accent5 58 5" xfId="7378" xr:uid="{00000000-0005-0000-0000-000011400000}"/>
    <cellStyle name="40% - Accent5 58 5 2" xfId="18666" xr:uid="{00000000-0005-0000-0000-000012400000}"/>
    <cellStyle name="40% - Accent5 58 6" xfId="5384" xr:uid="{00000000-0005-0000-0000-000013400000}"/>
    <cellStyle name="40% - Accent5 58 6 2" xfId="16672" xr:uid="{00000000-0005-0000-0000-000014400000}"/>
    <cellStyle name="40% - Accent5 58 7" xfId="14678" xr:uid="{00000000-0005-0000-0000-000015400000}"/>
    <cellStyle name="40% - Accent5 58 8" xfId="13364" xr:uid="{00000000-0005-0000-0000-000016400000}"/>
    <cellStyle name="40% - Accent5 59" xfId="1429" xr:uid="{00000000-0005-0000-0000-000017400000}"/>
    <cellStyle name="40% - Accent5 59 2" xfId="4385" xr:uid="{00000000-0005-0000-0000-000018400000}"/>
    <cellStyle name="40% - Accent5 59 2 2" xfId="12364" xr:uid="{00000000-0005-0000-0000-000019400000}"/>
    <cellStyle name="40% - Accent5 59 2 2 2" xfId="23652" xr:uid="{00000000-0005-0000-0000-00001A400000}"/>
    <cellStyle name="40% - Accent5 59 2 3" xfId="10370" xr:uid="{00000000-0005-0000-0000-00001B400000}"/>
    <cellStyle name="40% - Accent5 59 2 3 2" xfId="21658" xr:uid="{00000000-0005-0000-0000-00001C400000}"/>
    <cellStyle name="40% - Accent5 59 2 4" xfId="8376" xr:uid="{00000000-0005-0000-0000-00001D400000}"/>
    <cellStyle name="40% - Accent5 59 2 4 2" xfId="19664" xr:uid="{00000000-0005-0000-0000-00001E400000}"/>
    <cellStyle name="40% - Accent5 59 2 5" xfId="6382" xr:uid="{00000000-0005-0000-0000-00001F400000}"/>
    <cellStyle name="40% - Accent5 59 2 5 2" xfId="17670" xr:uid="{00000000-0005-0000-0000-000020400000}"/>
    <cellStyle name="40% - Accent5 59 2 6" xfId="15676" xr:uid="{00000000-0005-0000-0000-000021400000}"/>
    <cellStyle name="40% - Accent5 59 3" xfId="11367" xr:uid="{00000000-0005-0000-0000-000022400000}"/>
    <cellStyle name="40% - Accent5 59 3 2" xfId="22655" xr:uid="{00000000-0005-0000-0000-000023400000}"/>
    <cellStyle name="40% - Accent5 59 4" xfId="9373" xr:uid="{00000000-0005-0000-0000-000024400000}"/>
    <cellStyle name="40% - Accent5 59 4 2" xfId="20661" xr:uid="{00000000-0005-0000-0000-000025400000}"/>
    <cellStyle name="40% - Accent5 59 5" xfId="7379" xr:uid="{00000000-0005-0000-0000-000026400000}"/>
    <cellStyle name="40% - Accent5 59 5 2" xfId="18667" xr:uid="{00000000-0005-0000-0000-000027400000}"/>
    <cellStyle name="40% - Accent5 59 6" xfId="5385" xr:uid="{00000000-0005-0000-0000-000028400000}"/>
    <cellStyle name="40% - Accent5 59 6 2" xfId="16673" xr:uid="{00000000-0005-0000-0000-000029400000}"/>
    <cellStyle name="40% - Accent5 59 7" xfId="14679" xr:uid="{00000000-0005-0000-0000-00002A400000}"/>
    <cellStyle name="40% - Accent5 59 8" xfId="13365" xr:uid="{00000000-0005-0000-0000-00002B400000}"/>
    <cellStyle name="40% - Accent5 6" xfId="1430" xr:uid="{00000000-0005-0000-0000-00002C400000}"/>
    <cellStyle name="40% - Accent5 6 10" xfId="24623" xr:uid="{00000000-0005-0000-0000-00002D400000}"/>
    <cellStyle name="40% - Accent5 6 11" xfId="25013" xr:uid="{00000000-0005-0000-0000-00002E400000}"/>
    <cellStyle name="40% - Accent5 6 2" xfId="4386" xr:uid="{00000000-0005-0000-0000-00002F400000}"/>
    <cellStyle name="40% - Accent5 6 2 2" xfId="12365" xr:uid="{00000000-0005-0000-0000-000030400000}"/>
    <cellStyle name="40% - Accent5 6 2 2 2" xfId="23653" xr:uid="{00000000-0005-0000-0000-000031400000}"/>
    <cellStyle name="40% - Accent5 6 2 3" xfId="10371" xr:uid="{00000000-0005-0000-0000-000032400000}"/>
    <cellStyle name="40% - Accent5 6 2 3 2" xfId="21659" xr:uid="{00000000-0005-0000-0000-000033400000}"/>
    <cellStyle name="40% - Accent5 6 2 4" xfId="8377" xr:uid="{00000000-0005-0000-0000-000034400000}"/>
    <cellStyle name="40% - Accent5 6 2 4 2" xfId="19665" xr:uid="{00000000-0005-0000-0000-000035400000}"/>
    <cellStyle name="40% - Accent5 6 2 5" xfId="6383" xr:uid="{00000000-0005-0000-0000-000036400000}"/>
    <cellStyle name="40% - Accent5 6 2 5 2" xfId="17671" xr:uid="{00000000-0005-0000-0000-000037400000}"/>
    <cellStyle name="40% - Accent5 6 2 6" xfId="15677" xr:uid="{00000000-0005-0000-0000-000038400000}"/>
    <cellStyle name="40% - Accent5 6 2 7" xfId="24384" xr:uid="{00000000-0005-0000-0000-000039400000}"/>
    <cellStyle name="40% - Accent5 6 2 8" xfId="24848" xr:uid="{00000000-0005-0000-0000-00003A400000}"/>
    <cellStyle name="40% - Accent5 6 2 9" xfId="25215" xr:uid="{00000000-0005-0000-0000-00003B400000}"/>
    <cellStyle name="40% - Accent5 6 3" xfId="11368" xr:uid="{00000000-0005-0000-0000-00003C400000}"/>
    <cellStyle name="40% - Accent5 6 3 2" xfId="22656" xr:uid="{00000000-0005-0000-0000-00003D400000}"/>
    <cellStyle name="40% - Accent5 6 4" xfId="9374" xr:uid="{00000000-0005-0000-0000-00003E400000}"/>
    <cellStyle name="40% - Accent5 6 4 2" xfId="20662" xr:uid="{00000000-0005-0000-0000-00003F400000}"/>
    <cellStyle name="40% - Accent5 6 5" xfId="7380" xr:uid="{00000000-0005-0000-0000-000040400000}"/>
    <cellStyle name="40% - Accent5 6 5 2" xfId="18668" xr:uid="{00000000-0005-0000-0000-000041400000}"/>
    <cellStyle name="40% - Accent5 6 6" xfId="5386" xr:uid="{00000000-0005-0000-0000-000042400000}"/>
    <cellStyle name="40% - Accent5 6 6 2" xfId="16674" xr:uid="{00000000-0005-0000-0000-000043400000}"/>
    <cellStyle name="40% - Accent5 6 7" xfId="14680" xr:uid="{00000000-0005-0000-0000-000044400000}"/>
    <cellStyle name="40% - Accent5 6 8" xfId="13366" xr:uid="{00000000-0005-0000-0000-000045400000}"/>
    <cellStyle name="40% - Accent5 6 9" xfId="23996" xr:uid="{00000000-0005-0000-0000-000046400000}"/>
    <cellStyle name="40% - Accent5 60" xfId="1431" xr:uid="{00000000-0005-0000-0000-000047400000}"/>
    <cellStyle name="40% - Accent5 60 2" xfId="4387" xr:uid="{00000000-0005-0000-0000-000048400000}"/>
    <cellStyle name="40% - Accent5 60 2 2" xfId="12366" xr:uid="{00000000-0005-0000-0000-000049400000}"/>
    <cellStyle name="40% - Accent5 60 2 2 2" xfId="23654" xr:uid="{00000000-0005-0000-0000-00004A400000}"/>
    <cellStyle name="40% - Accent5 60 2 3" xfId="10372" xr:uid="{00000000-0005-0000-0000-00004B400000}"/>
    <cellStyle name="40% - Accent5 60 2 3 2" xfId="21660" xr:uid="{00000000-0005-0000-0000-00004C400000}"/>
    <cellStyle name="40% - Accent5 60 2 4" xfId="8378" xr:uid="{00000000-0005-0000-0000-00004D400000}"/>
    <cellStyle name="40% - Accent5 60 2 4 2" xfId="19666" xr:uid="{00000000-0005-0000-0000-00004E400000}"/>
    <cellStyle name="40% - Accent5 60 2 5" xfId="6384" xr:uid="{00000000-0005-0000-0000-00004F400000}"/>
    <cellStyle name="40% - Accent5 60 2 5 2" xfId="17672" xr:uid="{00000000-0005-0000-0000-000050400000}"/>
    <cellStyle name="40% - Accent5 60 2 6" xfId="15678" xr:uid="{00000000-0005-0000-0000-000051400000}"/>
    <cellStyle name="40% - Accent5 60 3" xfId="11369" xr:uid="{00000000-0005-0000-0000-000052400000}"/>
    <cellStyle name="40% - Accent5 60 3 2" xfId="22657" xr:uid="{00000000-0005-0000-0000-000053400000}"/>
    <cellStyle name="40% - Accent5 60 4" xfId="9375" xr:uid="{00000000-0005-0000-0000-000054400000}"/>
    <cellStyle name="40% - Accent5 60 4 2" xfId="20663" xr:uid="{00000000-0005-0000-0000-000055400000}"/>
    <cellStyle name="40% - Accent5 60 5" xfId="7381" xr:uid="{00000000-0005-0000-0000-000056400000}"/>
    <cellStyle name="40% - Accent5 60 5 2" xfId="18669" xr:uid="{00000000-0005-0000-0000-000057400000}"/>
    <cellStyle name="40% - Accent5 60 6" xfId="5387" xr:uid="{00000000-0005-0000-0000-000058400000}"/>
    <cellStyle name="40% - Accent5 60 6 2" xfId="16675" xr:uid="{00000000-0005-0000-0000-000059400000}"/>
    <cellStyle name="40% - Accent5 60 7" xfId="14681" xr:uid="{00000000-0005-0000-0000-00005A400000}"/>
    <cellStyle name="40% - Accent5 60 8" xfId="13367" xr:uid="{00000000-0005-0000-0000-00005B400000}"/>
    <cellStyle name="40% - Accent5 61" xfId="1432" xr:uid="{00000000-0005-0000-0000-00005C400000}"/>
    <cellStyle name="40% - Accent5 61 2" xfId="4388" xr:uid="{00000000-0005-0000-0000-00005D400000}"/>
    <cellStyle name="40% - Accent5 61 2 2" xfId="12367" xr:uid="{00000000-0005-0000-0000-00005E400000}"/>
    <cellStyle name="40% - Accent5 61 2 2 2" xfId="23655" xr:uid="{00000000-0005-0000-0000-00005F400000}"/>
    <cellStyle name="40% - Accent5 61 2 3" xfId="10373" xr:uid="{00000000-0005-0000-0000-000060400000}"/>
    <cellStyle name="40% - Accent5 61 2 3 2" xfId="21661" xr:uid="{00000000-0005-0000-0000-000061400000}"/>
    <cellStyle name="40% - Accent5 61 2 4" xfId="8379" xr:uid="{00000000-0005-0000-0000-000062400000}"/>
    <cellStyle name="40% - Accent5 61 2 4 2" xfId="19667" xr:uid="{00000000-0005-0000-0000-000063400000}"/>
    <cellStyle name="40% - Accent5 61 2 5" xfId="6385" xr:uid="{00000000-0005-0000-0000-000064400000}"/>
    <cellStyle name="40% - Accent5 61 2 5 2" xfId="17673" xr:uid="{00000000-0005-0000-0000-000065400000}"/>
    <cellStyle name="40% - Accent5 61 2 6" xfId="15679" xr:uid="{00000000-0005-0000-0000-000066400000}"/>
    <cellStyle name="40% - Accent5 61 3" xfId="11370" xr:uid="{00000000-0005-0000-0000-000067400000}"/>
    <cellStyle name="40% - Accent5 61 3 2" xfId="22658" xr:uid="{00000000-0005-0000-0000-000068400000}"/>
    <cellStyle name="40% - Accent5 61 4" xfId="9376" xr:uid="{00000000-0005-0000-0000-000069400000}"/>
    <cellStyle name="40% - Accent5 61 4 2" xfId="20664" xr:uid="{00000000-0005-0000-0000-00006A400000}"/>
    <cellStyle name="40% - Accent5 61 5" xfId="7382" xr:uid="{00000000-0005-0000-0000-00006B400000}"/>
    <cellStyle name="40% - Accent5 61 5 2" xfId="18670" xr:uid="{00000000-0005-0000-0000-00006C400000}"/>
    <cellStyle name="40% - Accent5 61 6" xfId="5388" xr:uid="{00000000-0005-0000-0000-00006D400000}"/>
    <cellStyle name="40% - Accent5 61 6 2" xfId="16676" xr:uid="{00000000-0005-0000-0000-00006E400000}"/>
    <cellStyle name="40% - Accent5 61 7" xfId="14682" xr:uid="{00000000-0005-0000-0000-00006F400000}"/>
    <cellStyle name="40% - Accent5 61 8" xfId="13368" xr:uid="{00000000-0005-0000-0000-000070400000}"/>
    <cellStyle name="40% - Accent5 62" xfId="1433" xr:uid="{00000000-0005-0000-0000-000071400000}"/>
    <cellStyle name="40% - Accent5 62 2" xfId="4389" xr:uid="{00000000-0005-0000-0000-000072400000}"/>
    <cellStyle name="40% - Accent5 62 2 2" xfId="12368" xr:uid="{00000000-0005-0000-0000-000073400000}"/>
    <cellStyle name="40% - Accent5 62 2 2 2" xfId="23656" xr:uid="{00000000-0005-0000-0000-000074400000}"/>
    <cellStyle name="40% - Accent5 62 2 3" xfId="10374" xr:uid="{00000000-0005-0000-0000-000075400000}"/>
    <cellStyle name="40% - Accent5 62 2 3 2" xfId="21662" xr:uid="{00000000-0005-0000-0000-000076400000}"/>
    <cellStyle name="40% - Accent5 62 2 4" xfId="8380" xr:uid="{00000000-0005-0000-0000-000077400000}"/>
    <cellStyle name="40% - Accent5 62 2 4 2" xfId="19668" xr:uid="{00000000-0005-0000-0000-000078400000}"/>
    <cellStyle name="40% - Accent5 62 2 5" xfId="6386" xr:uid="{00000000-0005-0000-0000-000079400000}"/>
    <cellStyle name="40% - Accent5 62 2 5 2" xfId="17674" xr:uid="{00000000-0005-0000-0000-00007A400000}"/>
    <cellStyle name="40% - Accent5 62 2 6" xfId="15680" xr:uid="{00000000-0005-0000-0000-00007B400000}"/>
    <cellStyle name="40% - Accent5 62 3" xfId="11371" xr:uid="{00000000-0005-0000-0000-00007C400000}"/>
    <cellStyle name="40% - Accent5 62 3 2" xfId="22659" xr:uid="{00000000-0005-0000-0000-00007D400000}"/>
    <cellStyle name="40% - Accent5 62 4" xfId="9377" xr:uid="{00000000-0005-0000-0000-00007E400000}"/>
    <cellStyle name="40% - Accent5 62 4 2" xfId="20665" xr:uid="{00000000-0005-0000-0000-00007F400000}"/>
    <cellStyle name="40% - Accent5 62 5" xfId="7383" xr:uid="{00000000-0005-0000-0000-000080400000}"/>
    <cellStyle name="40% - Accent5 62 5 2" xfId="18671" xr:uid="{00000000-0005-0000-0000-000081400000}"/>
    <cellStyle name="40% - Accent5 62 6" xfId="5389" xr:uid="{00000000-0005-0000-0000-000082400000}"/>
    <cellStyle name="40% - Accent5 62 6 2" xfId="16677" xr:uid="{00000000-0005-0000-0000-000083400000}"/>
    <cellStyle name="40% - Accent5 62 7" xfId="14683" xr:uid="{00000000-0005-0000-0000-000084400000}"/>
    <cellStyle name="40% - Accent5 62 8" xfId="13369" xr:uid="{00000000-0005-0000-0000-000085400000}"/>
    <cellStyle name="40% - Accent5 63" xfId="1434" xr:uid="{00000000-0005-0000-0000-000086400000}"/>
    <cellStyle name="40% - Accent5 63 2" xfId="4390" xr:uid="{00000000-0005-0000-0000-000087400000}"/>
    <cellStyle name="40% - Accent5 63 2 2" xfId="12369" xr:uid="{00000000-0005-0000-0000-000088400000}"/>
    <cellStyle name="40% - Accent5 63 2 2 2" xfId="23657" xr:uid="{00000000-0005-0000-0000-000089400000}"/>
    <cellStyle name="40% - Accent5 63 2 3" xfId="10375" xr:uid="{00000000-0005-0000-0000-00008A400000}"/>
    <cellStyle name="40% - Accent5 63 2 3 2" xfId="21663" xr:uid="{00000000-0005-0000-0000-00008B400000}"/>
    <cellStyle name="40% - Accent5 63 2 4" xfId="8381" xr:uid="{00000000-0005-0000-0000-00008C400000}"/>
    <cellStyle name="40% - Accent5 63 2 4 2" xfId="19669" xr:uid="{00000000-0005-0000-0000-00008D400000}"/>
    <cellStyle name="40% - Accent5 63 2 5" xfId="6387" xr:uid="{00000000-0005-0000-0000-00008E400000}"/>
    <cellStyle name="40% - Accent5 63 2 5 2" xfId="17675" xr:uid="{00000000-0005-0000-0000-00008F400000}"/>
    <cellStyle name="40% - Accent5 63 2 6" xfId="15681" xr:uid="{00000000-0005-0000-0000-000090400000}"/>
    <cellStyle name="40% - Accent5 63 3" xfId="11372" xr:uid="{00000000-0005-0000-0000-000091400000}"/>
    <cellStyle name="40% - Accent5 63 3 2" xfId="22660" xr:uid="{00000000-0005-0000-0000-000092400000}"/>
    <cellStyle name="40% - Accent5 63 4" xfId="9378" xr:uid="{00000000-0005-0000-0000-000093400000}"/>
    <cellStyle name="40% - Accent5 63 4 2" xfId="20666" xr:uid="{00000000-0005-0000-0000-000094400000}"/>
    <cellStyle name="40% - Accent5 63 5" xfId="7384" xr:uid="{00000000-0005-0000-0000-000095400000}"/>
    <cellStyle name="40% - Accent5 63 5 2" xfId="18672" xr:uid="{00000000-0005-0000-0000-000096400000}"/>
    <cellStyle name="40% - Accent5 63 6" xfId="5390" xr:uid="{00000000-0005-0000-0000-000097400000}"/>
    <cellStyle name="40% - Accent5 63 6 2" xfId="16678" xr:uid="{00000000-0005-0000-0000-000098400000}"/>
    <cellStyle name="40% - Accent5 63 7" xfId="14684" xr:uid="{00000000-0005-0000-0000-000099400000}"/>
    <cellStyle name="40% - Accent5 63 8" xfId="13370" xr:uid="{00000000-0005-0000-0000-00009A400000}"/>
    <cellStyle name="40% - Accent5 64" xfId="1435" xr:uid="{00000000-0005-0000-0000-00009B400000}"/>
    <cellStyle name="40% - Accent5 64 2" xfId="4391" xr:uid="{00000000-0005-0000-0000-00009C400000}"/>
    <cellStyle name="40% - Accent5 64 2 2" xfId="12370" xr:uid="{00000000-0005-0000-0000-00009D400000}"/>
    <cellStyle name="40% - Accent5 64 2 2 2" xfId="23658" xr:uid="{00000000-0005-0000-0000-00009E400000}"/>
    <cellStyle name="40% - Accent5 64 2 3" xfId="10376" xr:uid="{00000000-0005-0000-0000-00009F400000}"/>
    <cellStyle name="40% - Accent5 64 2 3 2" xfId="21664" xr:uid="{00000000-0005-0000-0000-0000A0400000}"/>
    <cellStyle name="40% - Accent5 64 2 4" xfId="8382" xr:uid="{00000000-0005-0000-0000-0000A1400000}"/>
    <cellStyle name="40% - Accent5 64 2 4 2" xfId="19670" xr:uid="{00000000-0005-0000-0000-0000A2400000}"/>
    <cellStyle name="40% - Accent5 64 2 5" xfId="6388" xr:uid="{00000000-0005-0000-0000-0000A3400000}"/>
    <cellStyle name="40% - Accent5 64 2 5 2" xfId="17676" xr:uid="{00000000-0005-0000-0000-0000A4400000}"/>
    <cellStyle name="40% - Accent5 64 2 6" xfId="15682" xr:uid="{00000000-0005-0000-0000-0000A5400000}"/>
    <cellStyle name="40% - Accent5 64 3" xfId="11373" xr:uid="{00000000-0005-0000-0000-0000A6400000}"/>
    <cellStyle name="40% - Accent5 64 3 2" xfId="22661" xr:uid="{00000000-0005-0000-0000-0000A7400000}"/>
    <cellStyle name="40% - Accent5 64 4" xfId="9379" xr:uid="{00000000-0005-0000-0000-0000A8400000}"/>
    <cellStyle name="40% - Accent5 64 4 2" xfId="20667" xr:uid="{00000000-0005-0000-0000-0000A9400000}"/>
    <cellStyle name="40% - Accent5 64 5" xfId="7385" xr:uid="{00000000-0005-0000-0000-0000AA400000}"/>
    <cellStyle name="40% - Accent5 64 5 2" xfId="18673" xr:uid="{00000000-0005-0000-0000-0000AB400000}"/>
    <cellStyle name="40% - Accent5 64 6" xfId="5391" xr:uid="{00000000-0005-0000-0000-0000AC400000}"/>
    <cellStyle name="40% - Accent5 64 6 2" xfId="16679" xr:uid="{00000000-0005-0000-0000-0000AD400000}"/>
    <cellStyle name="40% - Accent5 64 7" xfId="14685" xr:uid="{00000000-0005-0000-0000-0000AE400000}"/>
    <cellStyle name="40% - Accent5 64 8" xfId="13371" xr:uid="{00000000-0005-0000-0000-0000AF400000}"/>
    <cellStyle name="40% - Accent5 65" xfId="1436" xr:uid="{00000000-0005-0000-0000-0000B0400000}"/>
    <cellStyle name="40% - Accent5 65 2" xfId="4392" xr:uid="{00000000-0005-0000-0000-0000B1400000}"/>
    <cellStyle name="40% - Accent5 65 2 2" xfId="12371" xr:uid="{00000000-0005-0000-0000-0000B2400000}"/>
    <cellStyle name="40% - Accent5 65 2 2 2" xfId="23659" xr:uid="{00000000-0005-0000-0000-0000B3400000}"/>
    <cellStyle name="40% - Accent5 65 2 3" xfId="10377" xr:uid="{00000000-0005-0000-0000-0000B4400000}"/>
    <cellStyle name="40% - Accent5 65 2 3 2" xfId="21665" xr:uid="{00000000-0005-0000-0000-0000B5400000}"/>
    <cellStyle name="40% - Accent5 65 2 4" xfId="8383" xr:uid="{00000000-0005-0000-0000-0000B6400000}"/>
    <cellStyle name="40% - Accent5 65 2 4 2" xfId="19671" xr:uid="{00000000-0005-0000-0000-0000B7400000}"/>
    <cellStyle name="40% - Accent5 65 2 5" xfId="6389" xr:uid="{00000000-0005-0000-0000-0000B8400000}"/>
    <cellStyle name="40% - Accent5 65 2 5 2" xfId="17677" xr:uid="{00000000-0005-0000-0000-0000B9400000}"/>
    <cellStyle name="40% - Accent5 65 2 6" xfId="15683" xr:uid="{00000000-0005-0000-0000-0000BA400000}"/>
    <cellStyle name="40% - Accent5 65 3" xfId="11374" xr:uid="{00000000-0005-0000-0000-0000BB400000}"/>
    <cellStyle name="40% - Accent5 65 3 2" xfId="22662" xr:uid="{00000000-0005-0000-0000-0000BC400000}"/>
    <cellStyle name="40% - Accent5 65 4" xfId="9380" xr:uid="{00000000-0005-0000-0000-0000BD400000}"/>
    <cellStyle name="40% - Accent5 65 4 2" xfId="20668" xr:uid="{00000000-0005-0000-0000-0000BE400000}"/>
    <cellStyle name="40% - Accent5 65 5" xfId="7386" xr:uid="{00000000-0005-0000-0000-0000BF400000}"/>
    <cellStyle name="40% - Accent5 65 5 2" xfId="18674" xr:uid="{00000000-0005-0000-0000-0000C0400000}"/>
    <cellStyle name="40% - Accent5 65 6" xfId="5392" xr:uid="{00000000-0005-0000-0000-0000C1400000}"/>
    <cellStyle name="40% - Accent5 65 6 2" xfId="16680" xr:uid="{00000000-0005-0000-0000-0000C2400000}"/>
    <cellStyle name="40% - Accent5 65 7" xfId="14686" xr:uid="{00000000-0005-0000-0000-0000C3400000}"/>
    <cellStyle name="40% - Accent5 65 8" xfId="13372" xr:uid="{00000000-0005-0000-0000-0000C4400000}"/>
    <cellStyle name="40% - Accent5 66" xfId="1437" xr:uid="{00000000-0005-0000-0000-0000C5400000}"/>
    <cellStyle name="40% - Accent5 66 2" xfId="4393" xr:uid="{00000000-0005-0000-0000-0000C6400000}"/>
    <cellStyle name="40% - Accent5 66 2 2" xfId="12372" xr:uid="{00000000-0005-0000-0000-0000C7400000}"/>
    <cellStyle name="40% - Accent5 66 2 2 2" xfId="23660" xr:uid="{00000000-0005-0000-0000-0000C8400000}"/>
    <cellStyle name="40% - Accent5 66 2 3" xfId="10378" xr:uid="{00000000-0005-0000-0000-0000C9400000}"/>
    <cellStyle name="40% - Accent5 66 2 3 2" xfId="21666" xr:uid="{00000000-0005-0000-0000-0000CA400000}"/>
    <cellStyle name="40% - Accent5 66 2 4" xfId="8384" xr:uid="{00000000-0005-0000-0000-0000CB400000}"/>
    <cellStyle name="40% - Accent5 66 2 4 2" xfId="19672" xr:uid="{00000000-0005-0000-0000-0000CC400000}"/>
    <cellStyle name="40% - Accent5 66 2 5" xfId="6390" xr:uid="{00000000-0005-0000-0000-0000CD400000}"/>
    <cellStyle name="40% - Accent5 66 2 5 2" xfId="17678" xr:uid="{00000000-0005-0000-0000-0000CE400000}"/>
    <cellStyle name="40% - Accent5 66 2 6" xfId="15684" xr:uid="{00000000-0005-0000-0000-0000CF400000}"/>
    <cellStyle name="40% - Accent5 66 3" xfId="11375" xr:uid="{00000000-0005-0000-0000-0000D0400000}"/>
    <cellStyle name="40% - Accent5 66 3 2" xfId="22663" xr:uid="{00000000-0005-0000-0000-0000D1400000}"/>
    <cellStyle name="40% - Accent5 66 4" xfId="9381" xr:uid="{00000000-0005-0000-0000-0000D2400000}"/>
    <cellStyle name="40% - Accent5 66 4 2" xfId="20669" xr:uid="{00000000-0005-0000-0000-0000D3400000}"/>
    <cellStyle name="40% - Accent5 66 5" xfId="7387" xr:uid="{00000000-0005-0000-0000-0000D4400000}"/>
    <cellStyle name="40% - Accent5 66 5 2" xfId="18675" xr:uid="{00000000-0005-0000-0000-0000D5400000}"/>
    <cellStyle name="40% - Accent5 66 6" xfId="5393" xr:uid="{00000000-0005-0000-0000-0000D6400000}"/>
    <cellStyle name="40% - Accent5 66 6 2" xfId="16681" xr:uid="{00000000-0005-0000-0000-0000D7400000}"/>
    <cellStyle name="40% - Accent5 66 7" xfId="14687" xr:uid="{00000000-0005-0000-0000-0000D8400000}"/>
    <cellStyle name="40% - Accent5 66 8" xfId="13373" xr:uid="{00000000-0005-0000-0000-0000D9400000}"/>
    <cellStyle name="40% - Accent5 67" xfId="1438" xr:uid="{00000000-0005-0000-0000-0000DA400000}"/>
    <cellStyle name="40% - Accent5 67 2" xfId="4394" xr:uid="{00000000-0005-0000-0000-0000DB400000}"/>
    <cellStyle name="40% - Accent5 67 2 2" xfId="12373" xr:uid="{00000000-0005-0000-0000-0000DC400000}"/>
    <cellStyle name="40% - Accent5 67 2 2 2" xfId="23661" xr:uid="{00000000-0005-0000-0000-0000DD400000}"/>
    <cellStyle name="40% - Accent5 67 2 3" xfId="10379" xr:uid="{00000000-0005-0000-0000-0000DE400000}"/>
    <cellStyle name="40% - Accent5 67 2 3 2" xfId="21667" xr:uid="{00000000-0005-0000-0000-0000DF400000}"/>
    <cellStyle name="40% - Accent5 67 2 4" xfId="8385" xr:uid="{00000000-0005-0000-0000-0000E0400000}"/>
    <cellStyle name="40% - Accent5 67 2 4 2" xfId="19673" xr:uid="{00000000-0005-0000-0000-0000E1400000}"/>
    <cellStyle name="40% - Accent5 67 2 5" xfId="6391" xr:uid="{00000000-0005-0000-0000-0000E2400000}"/>
    <cellStyle name="40% - Accent5 67 2 5 2" xfId="17679" xr:uid="{00000000-0005-0000-0000-0000E3400000}"/>
    <cellStyle name="40% - Accent5 67 2 6" xfId="15685" xr:uid="{00000000-0005-0000-0000-0000E4400000}"/>
    <cellStyle name="40% - Accent5 67 3" xfId="11376" xr:uid="{00000000-0005-0000-0000-0000E5400000}"/>
    <cellStyle name="40% - Accent5 67 3 2" xfId="22664" xr:uid="{00000000-0005-0000-0000-0000E6400000}"/>
    <cellStyle name="40% - Accent5 67 4" xfId="9382" xr:uid="{00000000-0005-0000-0000-0000E7400000}"/>
    <cellStyle name="40% - Accent5 67 4 2" xfId="20670" xr:uid="{00000000-0005-0000-0000-0000E8400000}"/>
    <cellStyle name="40% - Accent5 67 5" xfId="7388" xr:uid="{00000000-0005-0000-0000-0000E9400000}"/>
    <cellStyle name="40% - Accent5 67 5 2" xfId="18676" xr:uid="{00000000-0005-0000-0000-0000EA400000}"/>
    <cellStyle name="40% - Accent5 67 6" xfId="5394" xr:uid="{00000000-0005-0000-0000-0000EB400000}"/>
    <cellStyle name="40% - Accent5 67 6 2" xfId="16682" xr:uid="{00000000-0005-0000-0000-0000EC400000}"/>
    <cellStyle name="40% - Accent5 67 7" xfId="14688" xr:uid="{00000000-0005-0000-0000-0000ED400000}"/>
    <cellStyle name="40% - Accent5 67 8" xfId="13374" xr:uid="{00000000-0005-0000-0000-0000EE400000}"/>
    <cellStyle name="40% - Accent5 68" xfId="1439" xr:uid="{00000000-0005-0000-0000-0000EF400000}"/>
    <cellStyle name="40% - Accent5 68 2" xfId="4395" xr:uid="{00000000-0005-0000-0000-0000F0400000}"/>
    <cellStyle name="40% - Accent5 68 2 2" xfId="12374" xr:uid="{00000000-0005-0000-0000-0000F1400000}"/>
    <cellStyle name="40% - Accent5 68 2 2 2" xfId="23662" xr:uid="{00000000-0005-0000-0000-0000F2400000}"/>
    <cellStyle name="40% - Accent5 68 2 3" xfId="10380" xr:uid="{00000000-0005-0000-0000-0000F3400000}"/>
    <cellStyle name="40% - Accent5 68 2 3 2" xfId="21668" xr:uid="{00000000-0005-0000-0000-0000F4400000}"/>
    <cellStyle name="40% - Accent5 68 2 4" xfId="8386" xr:uid="{00000000-0005-0000-0000-0000F5400000}"/>
    <cellStyle name="40% - Accent5 68 2 4 2" xfId="19674" xr:uid="{00000000-0005-0000-0000-0000F6400000}"/>
    <cellStyle name="40% - Accent5 68 2 5" xfId="6392" xr:uid="{00000000-0005-0000-0000-0000F7400000}"/>
    <cellStyle name="40% - Accent5 68 2 5 2" xfId="17680" xr:uid="{00000000-0005-0000-0000-0000F8400000}"/>
    <cellStyle name="40% - Accent5 68 2 6" xfId="15686" xr:uid="{00000000-0005-0000-0000-0000F9400000}"/>
    <cellStyle name="40% - Accent5 68 3" xfId="11377" xr:uid="{00000000-0005-0000-0000-0000FA400000}"/>
    <cellStyle name="40% - Accent5 68 3 2" xfId="22665" xr:uid="{00000000-0005-0000-0000-0000FB400000}"/>
    <cellStyle name="40% - Accent5 68 4" xfId="9383" xr:uid="{00000000-0005-0000-0000-0000FC400000}"/>
    <cellStyle name="40% - Accent5 68 4 2" xfId="20671" xr:uid="{00000000-0005-0000-0000-0000FD400000}"/>
    <cellStyle name="40% - Accent5 68 5" xfId="7389" xr:uid="{00000000-0005-0000-0000-0000FE400000}"/>
    <cellStyle name="40% - Accent5 68 5 2" xfId="18677" xr:uid="{00000000-0005-0000-0000-0000FF400000}"/>
    <cellStyle name="40% - Accent5 68 6" xfId="5395" xr:uid="{00000000-0005-0000-0000-000000410000}"/>
    <cellStyle name="40% - Accent5 68 6 2" xfId="16683" xr:uid="{00000000-0005-0000-0000-000001410000}"/>
    <cellStyle name="40% - Accent5 68 7" xfId="14689" xr:uid="{00000000-0005-0000-0000-000002410000}"/>
    <cellStyle name="40% - Accent5 68 8" xfId="13375" xr:uid="{00000000-0005-0000-0000-000003410000}"/>
    <cellStyle name="40% - Accent5 69" xfId="1440" xr:uid="{00000000-0005-0000-0000-000004410000}"/>
    <cellStyle name="40% - Accent5 69 2" xfId="4396" xr:uid="{00000000-0005-0000-0000-000005410000}"/>
    <cellStyle name="40% - Accent5 69 2 2" xfId="12375" xr:uid="{00000000-0005-0000-0000-000006410000}"/>
    <cellStyle name="40% - Accent5 69 2 2 2" xfId="23663" xr:uid="{00000000-0005-0000-0000-000007410000}"/>
    <cellStyle name="40% - Accent5 69 2 3" xfId="10381" xr:uid="{00000000-0005-0000-0000-000008410000}"/>
    <cellStyle name="40% - Accent5 69 2 3 2" xfId="21669" xr:uid="{00000000-0005-0000-0000-000009410000}"/>
    <cellStyle name="40% - Accent5 69 2 4" xfId="8387" xr:uid="{00000000-0005-0000-0000-00000A410000}"/>
    <cellStyle name="40% - Accent5 69 2 4 2" xfId="19675" xr:uid="{00000000-0005-0000-0000-00000B410000}"/>
    <cellStyle name="40% - Accent5 69 2 5" xfId="6393" xr:uid="{00000000-0005-0000-0000-00000C410000}"/>
    <cellStyle name="40% - Accent5 69 2 5 2" xfId="17681" xr:uid="{00000000-0005-0000-0000-00000D410000}"/>
    <cellStyle name="40% - Accent5 69 2 6" xfId="15687" xr:uid="{00000000-0005-0000-0000-00000E410000}"/>
    <cellStyle name="40% - Accent5 69 3" xfId="11378" xr:uid="{00000000-0005-0000-0000-00000F410000}"/>
    <cellStyle name="40% - Accent5 69 3 2" xfId="22666" xr:uid="{00000000-0005-0000-0000-000010410000}"/>
    <cellStyle name="40% - Accent5 69 4" xfId="9384" xr:uid="{00000000-0005-0000-0000-000011410000}"/>
    <cellStyle name="40% - Accent5 69 4 2" xfId="20672" xr:uid="{00000000-0005-0000-0000-000012410000}"/>
    <cellStyle name="40% - Accent5 69 5" xfId="7390" xr:uid="{00000000-0005-0000-0000-000013410000}"/>
    <cellStyle name="40% - Accent5 69 5 2" xfId="18678" xr:uid="{00000000-0005-0000-0000-000014410000}"/>
    <cellStyle name="40% - Accent5 69 6" xfId="5396" xr:uid="{00000000-0005-0000-0000-000015410000}"/>
    <cellStyle name="40% - Accent5 69 6 2" xfId="16684" xr:uid="{00000000-0005-0000-0000-000016410000}"/>
    <cellStyle name="40% - Accent5 69 7" xfId="14690" xr:uid="{00000000-0005-0000-0000-000017410000}"/>
    <cellStyle name="40% - Accent5 69 8" xfId="13376" xr:uid="{00000000-0005-0000-0000-000018410000}"/>
    <cellStyle name="40% - Accent5 7" xfId="1441" xr:uid="{00000000-0005-0000-0000-000019410000}"/>
    <cellStyle name="40% - Accent5 7 10" xfId="24624" xr:uid="{00000000-0005-0000-0000-00001A410000}"/>
    <cellStyle name="40% - Accent5 7 11" xfId="25014" xr:uid="{00000000-0005-0000-0000-00001B410000}"/>
    <cellStyle name="40% - Accent5 7 2" xfId="4397" xr:uid="{00000000-0005-0000-0000-00001C410000}"/>
    <cellStyle name="40% - Accent5 7 2 2" xfId="12376" xr:uid="{00000000-0005-0000-0000-00001D410000}"/>
    <cellStyle name="40% - Accent5 7 2 2 2" xfId="23664" xr:uid="{00000000-0005-0000-0000-00001E410000}"/>
    <cellStyle name="40% - Accent5 7 2 3" xfId="10382" xr:uid="{00000000-0005-0000-0000-00001F410000}"/>
    <cellStyle name="40% - Accent5 7 2 3 2" xfId="21670" xr:uid="{00000000-0005-0000-0000-000020410000}"/>
    <cellStyle name="40% - Accent5 7 2 4" xfId="8388" xr:uid="{00000000-0005-0000-0000-000021410000}"/>
    <cellStyle name="40% - Accent5 7 2 4 2" xfId="19676" xr:uid="{00000000-0005-0000-0000-000022410000}"/>
    <cellStyle name="40% - Accent5 7 2 5" xfId="6394" xr:uid="{00000000-0005-0000-0000-000023410000}"/>
    <cellStyle name="40% - Accent5 7 2 5 2" xfId="17682" xr:uid="{00000000-0005-0000-0000-000024410000}"/>
    <cellStyle name="40% - Accent5 7 2 6" xfId="15688" xr:uid="{00000000-0005-0000-0000-000025410000}"/>
    <cellStyle name="40% - Accent5 7 2 7" xfId="24385" xr:uid="{00000000-0005-0000-0000-000026410000}"/>
    <cellStyle name="40% - Accent5 7 2 8" xfId="24849" xr:uid="{00000000-0005-0000-0000-000027410000}"/>
    <cellStyle name="40% - Accent5 7 2 9" xfId="25216" xr:uid="{00000000-0005-0000-0000-000028410000}"/>
    <cellStyle name="40% - Accent5 7 3" xfId="11379" xr:uid="{00000000-0005-0000-0000-000029410000}"/>
    <cellStyle name="40% - Accent5 7 3 2" xfId="22667" xr:uid="{00000000-0005-0000-0000-00002A410000}"/>
    <cellStyle name="40% - Accent5 7 4" xfId="9385" xr:uid="{00000000-0005-0000-0000-00002B410000}"/>
    <cellStyle name="40% - Accent5 7 4 2" xfId="20673" xr:uid="{00000000-0005-0000-0000-00002C410000}"/>
    <cellStyle name="40% - Accent5 7 5" xfId="7391" xr:uid="{00000000-0005-0000-0000-00002D410000}"/>
    <cellStyle name="40% - Accent5 7 5 2" xfId="18679" xr:uid="{00000000-0005-0000-0000-00002E410000}"/>
    <cellStyle name="40% - Accent5 7 6" xfId="5397" xr:uid="{00000000-0005-0000-0000-00002F410000}"/>
    <cellStyle name="40% - Accent5 7 6 2" xfId="16685" xr:uid="{00000000-0005-0000-0000-000030410000}"/>
    <cellStyle name="40% - Accent5 7 7" xfId="14691" xr:uid="{00000000-0005-0000-0000-000031410000}"/>
    <cellStyle name="40% - Accent5 7 8" xfId="13377" xr:uid="{00000000-0005-0000-0000-000032410000}"/>
    <cellStyle name="40% - Accent5 7 9" xfId="23997" xr:uid="{00000000-0005-0000-0000-000033410000}"/>
    <cellStyle name="40% - Accent5 70" xfId="1442" xr:uid="{00000000-0005-0000-0000-000034410000}"/>
    <cellStyle name="40% - Accent5 70 2" xfId="4398" xr:uid="{00000000-0005-0000-0000-000035410000}"/>
    <cellStyle name="40% - Accent5 70 2 2" xfId="12377" xr:uid="{00000000-0005-0000-0000-000036410000}"/>
    <cellStyle name="40% - Accent5 70 2 2 2" xfId="23665" xr:uid="{00000000-0005-0000-0000-000037410000}"/>
    <cellStyle name="40% - Accent5 70 2 3" xfId="10383" xr:uid="{00000000-0005-0000-0000-000038410000}"/>
    <cellStyle name="40% - Accent5 70 2 3 2" xfId="21671" xr:uid="{00000000-0005-0000-0000-000039410000}"/>
    <cellStyle name="40% - Accent5 70 2 4" xfId="8389" xr:uid="{00000000-0005-0000-0000-00003A410000}"/>
    <cellStyle name="40% - Accent5 70 2 4 2" xfId="19677" xr:uid="{00000000-0005-0000-0000-00003B410000}"/>
    <cellStyle name="40% - Accent5 70 2 5" xfId="6395" xr:uid="{00000000-0005-0000-0000-00003C410000}"/>
    <cellStyle name="40% - Accent5 70 2 5 2" xfId="17683" xr:uid="{00000000-0005-0000-0000-00003D410000}"/>
    <cellStyle name="40% - Accent5 70 2 6" xfId="15689" xr:uid="{00000000-0005-0000-0000-00003E410000}"/>
    <cellStyle name="40% - Accent5 70 3" xfId="11380" xr:uid="{00000000-0005-0000-0000-00003F410000}"/>
    <cellStyle name="40% - Accent5 70 3 2" xfId="22668" xr:uid="{00000000-0005-0000-0000-000040410000}"/>
    <cellStyle name="40% - Accent5 70 4" xfId="9386" xr:uid="{00000000-0005-0000-0000-000041410000}"/>
    <cellStyle name="40% - Accent5 70 4 2" xfId="20674" xr:uid="{00000000-0005-0000-0000-000042410000}"/>
    <cellStyle name="40% - Accent5 70 5" xfId="7392" xr:uid="{00000000-0005-0000-0000-000043410000}"/>
    <cellStyle name="40% - Accent5 70 5 2" xfId="18680" xr:uid="{00000000-0005-0000-0000-000044410000}"/>
    <cellStyle name="40% - Accent5 70 6" xfId="5398" xr:uid="{00000000-0005-0000-0000-000045410000}"/>
    <cellStyle name="40% - Accent5 70 6 2" xfId="16686" xr:uid="{00000000-0005-0000-0000-000046410000}"/>
    <cellStyle name="40% - Accent5 70 7" xfId="14692" xr:uid="{00000000-0005-0000-0000-000047410000}"/>
    <cellStyle name="40% - Accent5 70 8" xfId="13378" xr:uid="{00000000-0005-0000-0000-000048410000}"/>
    <cellStyle name="40% - Accent5 71" xfId="1443" xr:uid="{00000000-0005-0000-0000-000049410000}"/>
    <cellStyle name="40% - Accent5 71 2" xfId="4399" xr:uid="{00000000-0005-0000-0000-00004A410000}"/>
    <cellStyle name="40% - Accent5 71 2 2" xfId="12378" xr:uid="{00000000-0005-0000-0000-00004B410000}"/>
    <cellStyle name="40% - Accent5 71 2 2 2" xfId="23666" xr:uid="{00000000-0005-0000-0000-00004C410000}"/>
    <cellStyle name="40% - Accent5 71 2 3" xfId="10384" xr:uid="{00000000-0005-0000-0000-00004D410000}"/>
    <cellStyle name="40% - Accent5 71 2 3 2" xfId="21672" xr:uid="{00000000-0005-0000-0000-00004E410000}"/>
    <cellStyle name="40% - Accent5 71 2 4" xfId="8390" xr:uid="{00000000-0005-0000-0000-00004F410000}"/>
    <cellStyle name="40% - Accent5 71 2 4 2" xfId="19678" xr:uid="{00000000-0005-0000-0000-000050410000}"/>
    <cellStyle name="40% - Accent5 71 2 5" xfId="6396" xr:uid="{00000000-0005-0000-0000-000051410000}"/>
    <cellStyle name="40% - Accent5 71 2 5 2" xfId="17684" xr:uid="{00000000-0005-0000-0000-000052410000}"/>
    <cellStyle name="40% - Accent5 71 2 6" xfId="15690" xr:uid="{00000000-0005-0000-0000-000053410000}"/>
    <cellStyle name="40% - Accent5 71 3" xfId="11381" xr:uid="{00000000-0005-0000-0000-000054410000}"/>
    <cellStyle name="40% - Accent5 71 3 2" xfId="22669" xr:uid="{00000000-0005-0000-0000-000055410000}"/>
    <cellStyle name="40% - Accent5 71 4" xfId="9387" xr:uid="{00000000-0005-0000-0000-000056410000}"/>
    <cellStyle name="40% - Accent5 71 4 2" xfId="20675" xr:uid="{00000000-0005-0000-0000-000057410000}"/>
    <cellStyle name="40% - Accent5 71 5" xfId="7393" xr:uid="{00000000-0005-0000-0000-000058410000}"/>
    <cellStyle name="40% - Accent5 71 5 2" xfId="18681" xr:uid="{00000000-0005-0000-0000-000059410000}"/>
    <cellStyle name="40% - Accent5 71 6" xfId="5399" xr:uid="{00000000-0005-0000-0000-00005A410000}"/>
    <cellStyle name="40% - Accent5 71 6 2" xfId="16687" xr:uid="{00000000-0005-0000-0000-00005B410000}"/>
    <cellStyle name="40% - Accent5 71 7" xfId="14693" xr:uid="{00000000-0005-0000-0000-00005C410000}"/>
    <cellStyle name="40% - Accent5 71 8" xfId="13379" xr:uid="{00000000-0005-0000-0000-00005D410000}"/>
    <cellStyle name="40% - Accent5 72" xfId="1444" xr:uid="{00000000-0005-0000-0000-00005E410000}"/>
    <cellStyle name="40% - Accent5 72 2" xfId="4400" xr:uid="{00000000-0005-0000-0000-00005F410000}"/>
    <cellStyle name="40% - Accent5 72 2 2" xfId="12379" xr:uid="{00000000-0005-0000-0000-000060410000}"/>
    <cellStyle name="40% - Accent5 72 2 2 2" xfId="23667" xr:uid="{00000000-0005-0000-0000-000061410000}"/>
    <cellStyle name="40% - Accent5 72 2 3" xfId="10385" xr:uid="{00000000-0005-0000-0000-000062410000}"/>
    <cellStyle name="40% - Accent5 72 2 3 2" xfId="21673" xr:uid="{00000000-0005-0000-0000-000063410000}"/>
    <cellStyle name="40% - Accent5 72 2 4" xfId="8391" xr:uid="{00000000-0005-0000-0000-000064410000}"/>
    <cellStyle name="40% - Accent5 72 2 4 2" xfId="19679" xr:uid="{00000000-0005-0000-0000-000065410000}"/>
    <cellStyle name="40% - Accent5 72 2 5" xfId="6397" xr:uid="{00000000-0005-0000-0000-000066410000}"/>
    <cellStyle name="40% - Accent5 72 2 5 2" xfId="17685" xr:uid="{00000000-0005-0000-0000-000067410000}"/>
    <cellStyle name="40% - Accent5 72 2 6" xfId="15691" xr:uid="{00000000-0005-0000-0000-000068410000}"/>
    <cellStyle name="40% - Accent5 72 3" xfId="11382" xr:uid="{00000000-0005-0000-0000-000069410000}"/>
    <cellStyle name="40% - Accent5 72 3 2" xfId="22670" xr:uid="{00000000-0005-0000-0000-00006A410000}"/>
    <cellStyle name="40% - Accent5 72 4" xfId="9388" xr:uid="{00000000-0005-0000-0000-00006B410000}"/>
    <cellStyle name="40% - Accent5 72 4 2" xfId="20676" xr:uid="{00000000-0005-0000-0000-00006C410000}"/>
    <cellStyle name="40% - Accent5 72 5" xfId="7394" xr:uid="{00000000-0005-0000-0000-00006D410000}"/>
    <cellStyle name="40% - Accent5 72 5 2" xfId="18682" xr:uid="{00000000-0005-0000-0000-00006E410000}"/>
    <cellStyle name="40% - Accent5 72 6" xfId="5400" xr:uid="{00000000-0005-0000-0000-00006F410000}"/>
    <cellStyle name="40% - Accent5 72 6 2" xfId="16688" xr:uid="{00000000-0005-0000-0000-000070410000}"/>
    <cellStyle name="40% - Accent5 72 7" xfId="14694" xr:uid="{00000000-0005-0000-0000-000071410000}"/>
    <cellStyle name="40% - Accent5 72 8" xfId="13380" xr:uid="{00000000-0005-0000-0000-000072410000}"/>
    <cellStyle name="40% - Accent5 8" xfId="1445" xr:uid="{00000000-0005-0000-0000-000073410000}"/>
    <cellStyle name="40% - Accent5 8 2" xfId="4401" xr:uid="{00000000-0005-0000-0000-000074410000}"/>
    <cellStyle name="40% - Accent5 8 2 2" xfId="12380" xr:uid="{00000000-0005-0000-0000-000075410000}"/>
    <cellStyle name="40% - Accent5 8 2 2 2" xfId="23668" xr:uid="{00000000-0005-0000-0000-000076410000}"/>
    <cellStyle name="40% - Accent5 8 2 3" xfId="10386" xr:uid="{00000000-0005-0000-0000-000077410000}"/>
    <cellStyle name="40% - Accent5 8 2 3 2" xfId="21674" xr:uid="{00000000-0005-0000-0000-000078410000}"/>
    <cellStyle name="40% - Accent5 8 2 4" xfId="8392" xr:uid="{00000000-0005-0000-0000-000079410000}"/>
    <cellStyle name="40% - Accent5 8 2 4 2" xfId="19680" xr:uid="{00000000-0005-0000-0000-00007A410000}"/>
    <cellStyle name="40% - Accent5 8 2 5" xfId="6398" xr:uid="{00000000-0005-0000-0000-00007B410000}"/>
    <cellStyle name="40% - Accent5 8 2 5 2" xfId="17686" xr:uid="{00000000-0005-0000-0000-00007C410000}"/>
    <cellStyle name="40% - Accent5 8 2 6" xfId="15692" xr:uid="{00000000-0005-0000-0000-00007D410000}"/>
    <cellStyle name="40% - Accent5 8 3" xfId="11383" xr:uid="{00000000-0005-0000-0000-00007E410000}"/>
    <cellStyle name="40% - Accent5 8 3 2" xfId="22671" xr:uid="{00000000-0005-0000-0000-00007F410000}"/>
    <cellStyle name="40% - Accent5 8 4" xfId="9389" xr:uid="{00000000-0005-0000-0000-000080410000}"/>
    <cellStyle name="40% - Accent5 8 4 2" xfId="20677" xr:uid="{00000000-0005-0000-0000-000081410000}"/>
    <cellStyle name="40% - Accent5 8 5" xfId="7395" xr:uid="{00000000-0005-0000-0000-000082410000}"/>
    <cellStyle name="40% - Accent5 8 5 2" xfId="18683" xr:uid="{00000000-0005-0000-0000-000083410000}"/>
    <cellStyle name="40% - Accent5 8 6" xfId="5401" xr:uid="{00000000-0005-0000-0000-000084410000}"/>
    <cellStyle name="40% - Accent5 8 6 2" xfId="16689" xr:uid="{00000000-0005-0000-0000-000085410000}"/>
    <cellStyle name="40% - Accent5 8 7" xfId="14695" xr:uid="{00000000-0005-0000-0000-000086410000}"/>
    <cellStyle name="40% - Accent5 8 8" xfId="13381" xr:uid="{00000000-0005-0000-0000-000087410000}"/>
    <cellStyle name="40% - Accent5 9" xfId="1446" xr:uid="{00000000-0005-0000-0000-000088410000}"/>
    <cellStyle name="40% - Accent5 9 2" xfId="4402" xr:uid="{00000000-0005-0000-0000-000089410000}"/>
    <cellStyle name="40% - Accent5 9 2 2" xfId="12381" xr:uid="{00000000-0005-0000-0000-00008A410000}"/>
    <cellStyle name="40% - Accent5 9 2 2 2" xfId="23669" xr:uid="{00000000-0005-0000-0000-00008B410000}"/>
    <cellStyle name="40% - Accent5 9 2 3" xfId="10387" xr:uid="{00000000-0005-0000-0000-00008C410000}"/>
    <cellStyle name="40% - Accent5 9 2 3 2" xfId="21675" xr:uid="{00000000-0005-0000-0000-00008D410000}"/>
    <cellStyle name="40% - Accent5 9 2 4" xfId="8393" xr:uid="{00000000-0005-0000-0000-00008E410000}"/>
    <cellStyle name="40% - Accent5 9 2 4 2" xfId="19681" xr:uid="{00000000-0005-0000-0000-00008F410000}"/>
    <cellStyle name="40% - Accent5 9 2 5" xfId="6399" xr:uid="{00000000-0005-0000-0000-000090410000}"/>
    <cellStyle name="40% - Accent5 9 2 5 2" xfId="17687" xr:uid="{00000000-0005-0000-0000-000091410000}"/>
    <cellStyle name="40% - Accent5 9 2 6" xfId="15693" xr:uid="{00000000-0005-0000-0000-000092410000}"/>
    <cellStyle name="40% - Accent5 9 3" xfId="11384" xr:uid="{00000000-0005-0000-0000-000093410000}"/>
    <cellStyle name="40% - Accent5 9 3 2" xfId="22672" xr:uid="{00000000-0005-0000-0000-000094410000}"/>
    <cellStyle name="40% - Accent5 9 4" xfId="9390" xr:uid="{00000000-0005-0000-0000-000095410000}"/>
    <cellStyle name="40% - Accent5 9 4 2" xfId="20678" xr:uid="{00000000-0005-0000-0000-000096410000}"/>
    <cellStyle name="40% - Accent5 9 5" xfId="7396" xr:uid="{00000000-0005-0000-0000-000097410000}"/>
    <cellStyle name="40% - Accent5 9 5 2" xfId="18684" xr:uid="{00000000-0005-0000-0000-000098410000}"/>
    <cellStyle name="40% - Accent5 9 6" xfId="5402" xr:uid="{00000000-0005-0000-0000-000099410000}"/>
    <cellStyle name="40% - Accent5 9 6 2" xfId="16690" xr:uid="{00000000-0005-0000-0000-00009A410000}"/>
    <cellStyle name="40% - Accent5 9 7" xfId="14696" xr:uid="{00000000-0005-0000-0000-00009B410000}"/>
    <cellStyle name="40% - Accent5 9 8" xfId="13382" xr:uid="{00000000-0005-0000-0000-00009C410000}"/>
    <cellStyle name="40% - Accent6 10" xfId="1447" xr:uid="{00000000-0005-0000-0000-00009D410000}"/>
    <cellStyle name="40% - Accent6 10 2" xfId="4403" xr:uid="{00000000-0005-0000-0000-00009E410000}"/>
    <cellStyle name="40% - Accent6 10 2 2" xfId="12382" xr:uid="{00000000-0005-0000-0000-00009F410000}"/>
    <cellStyle name="40% - Accent6 10 2 2 2" xfId="23670" xr:uid="{00000000-0005-0000-0000-0000A0410000}"/>
    <cellStyle name="40% - Accent6 10 2 3" xfId="10388" xr:uid="{00000000-0005-0000-0000-0000A1410000}"/>
    <cellStyle name="40% - Accent6 10 2 3 2" xfId="21676" xr:uid="{00000000-0005-0000-0000-0000A2410000}"/>
    <cellStyle name="40% - Accent6 10 2 4" xfId="8394" xr:uid="{00000000-0005-0000-0000-0000A3410000}"/>
    <cellStyle name="40% - Accent6 10 2 4 2" xfId="19682" xr:uid="{00000000-0005-0000-0000-0000A4410000}"/>
    <cellStyle name="40% - Accent6 10 2 5" xfId="6400" xr:uid="{00000000-0005-0000-0000-0000A5410000}"/>
    <cellStyle name="40% - Accent6 10 2 5 2" xfId="17688" xr:uid="{00000000-0005-0000-0000-0000A6410000}"/>
    <cellStyle name="40% - Accent6 10 2 6" xfId="15694" xr:uid="{00000000-0005-0000-0000-0000A7410000}"/>
    <cellStyle name="40% - Accent6 10 3" xfId="11385" xr:uid="{00000000-0005-0000-0000-0000A8410000}"/>
    <cellStyle name="40% - Accent6 10 3 2" xfId="22673" xr:uid="{00000000-0005-0000-0000-0000A9410000}"/>
    <cellStyle name="40% - Accent6 10 4" xfId="9391" xr:uid="{00000000-0005-0000-0000-0000AA410000}"/>
    <cellStyle name="40% - Accent6 10 4 2" xfId="20679" xr:uid="{00000000-0005-0000-0000-0000AB410000}"/>
    <cellStyle name="40% - Accent6 10 5" xfId="7397" xr:uid="{00000000-0005-0000-0000-0000AC410000}"/>
    <cellStyle name="40% - Accent6 10 5 2" xfId="18685" xr:uid="{00000000-0005-0000-0000-0000AD410000}"/>
    <cellStyle name="40% - Accent6 10 6" xfId="5403" xr:uid="{00000000-0005-0000-0000-0000AE410000}"/>
    <cellStyle name="40% - Accent6 10 6 2" xfId="16691" xr:uid="{00000000-0005-0000-0000-0000AF410000}"/>
    <cellStyle name="40% - Accent6 10 7" xfId="14697" xr:uid="{00000000-0005-0000-0000-0000B0410000}"/>
    <cellStyle name="40% - Accent6 10 8" xfId="13383" xr:uid="{00000000-0005-0000-0000-0000B1410000}"/>
    <cellStyle name="40% - Accent6 11" xfId="1448" xr:uid="{00000000-0005-0000-0000-0000B2410000}"/>
    <cellStyle name="40% - Accent6 11 2" xfId="4404" xr:uid="{00000000-0005-0000-0000-0000B3410000}"/>
    <cellStyle name="40% - Accent6 11 2 2" xfId="12383" xr:uid="{00000000-0005-0000-0000-0000B4410000}"/>
    <cellStyle name="40% - Accent6 11 2 2 2" xfId="23671" xr:uid="{00000000-0005-0000-0000-0000B5410000}"/>
    <cellStyle name="40% - Accent6 11 2 3" xfId="10389" xr:uid="{00000000-0005-0000-0000-0000B6410000}"/>
    <cellStyle name="40% - Accent6 11 2 3 2" xfId="21677" xr:uid="{00000000-0005-0000-0000-0000B7410000}"/>
    <cellStyle name="40% - Accent6 11 2 4" xfId="8395" xr:uid="{00000000-0005-0000-0000-0000B8410000}"/>
    <cellStyle name="40% - Accent6 11 2 4 2" xfId="19683" xr:uid="{00000000-0005-0000-0000-0000B9410000}"/>
    <cellStyle name="40% - Accent6 11 2 5" xfId="6401" xr:uid="{00000000-0005-0000-0000-0000BA410000}"/>
    <cellStyle name="40% - Accent6 11 2 5 2" xfId="17689" xr:uid="{00000000-0005-0000-0000-0000BB410000}"/>
    <cellStyle name="40% - Accent6 11 2 6" xfId="15695" xr:uid="{00000000-0005-0000-0000-0000BC410000}"/>
    <cellStyle name="40% - Accent6 11 3" xfId="11386" xr:uid="{00000000-0005-0000-0000-0000BD410000}"/>
    <cellStyle name="40% - Accent6 11 3 2" xfId="22674" xr:uid="{00000000-0005-0000-0000-0000BE410000}"/>
    <cellStyle name="40% - Accent6 11 4" xfId="9392" xr:uid="{00000000-0005-0000-0000-0000BF410000}"/>
    <cellStyle name="40% - Accent6 11 4 2" xfId="20680" xr:uid="{00000000-0005-0000-0000-0000C0410000}"/>
    <cellStyle name="40% - Accent6 11 5" xfId="7398" xr:uid="{00000000-0005-0000-0000-0000C1410000}"/>
    <cellStyle name="40% - Accent6 11 5 2" xfId="18686" xr:uid="{00000000-0005-0000-0000-0000C2410000}"/>
    <cellStyle name="40% - Accent6 11 6" xfId="5404" xr:uid="{00000000-0005-0000-0000-0000C3410000}"/>
    <cellStyle name="40% - Accent6 11 6 2" xfId="16692" xr:uid="{00000000-0005-0000-0000-0000C4410000}"/>
    <cellStyle name="40% - Accent6 11 7" xfId="14698" xr:uid="{00000000-0005-0000-0000-0000C5410000}"/>
    <cellStyle name="40% - Accent6 11 8" xfId="13384" xr:uid="{00000000-0005-0000-0000-0000C6410000}"/>
    <cellStyle name="40% - Accent6 12" xfId="1449" xr:uid="{00000000-0005-0000-0000-0000C7410000}"/>
    <cellStyle name="40% - Accent6 12 2" xfId="4405" xr:uid="{00000000-0005-0000-0000-0000C8410000}"/>
    <cellStyle name="40% - Accent6 12 2 2" xfId="12384" xr:uid="{00000000-0005-0000-0000-0000C9410000}"/>
    <cellStyle name="40% - Accent6 12 2 2 2" xfId="23672" xr:uid="{00000000-0005-0000-0000-0000CA410000}"/>
    <cellStyle name="40% - Accent6 12 2 3" xfId="10390" xr:uid="{00000000-0005-0000-0000-0000CB410000}"/>
    <cellStyle name="40% - Accent6 12 2 3 2" xfId="21678" xr:uid="{00000000-0005-0000-0000-0000CC410000}"/>
    <cellStyle name="40% - Accent6 12 2 4" xfId="8396" xr:uid="{00000000-0005-0000-0000-0000CD410000}"/>
    <cellStyle name="40% - Accent6 12 2 4 2" xfId="19684" xr:uid="{00000000-0005-0000-0000-0000CE410000}"/>
    <cellStyle name="40% - Accent6 12 2 5" xfId="6402" xr:uid="{00000000-0005-0000-0000-0000CF410000}"/>
    <cellStyle name="40% - Accent6 12 2 5 2" xfId="17690" xr:uid="{00000000-0005-0000-0000-0000D0410000}"/>
    <cellStyle name="40% - Accent6 12 2 6" xfId="15696" xr:uid="{00000000-0005-0000-0000-0000D1410000}"/>
    <cellStyle name="40% - Accent6 12 3" xfId="11387" xr:uid="{00000000-0005-0000-0000-0000D2410000}"/>
    <cellStyle name="40% - Accent6 12 3 2" xfId="22675" xr:uid="{00000000-0005-0000-0000-0000D3410000}"/>
    <cellStyle name="40% - Accent6 12 4" xfId="9393" xr:uid="{00000000-0005-0000-0000-0000D4410000}"/>
    <cellStyle name="40% - Accent6 12 4 2" xfId="20681" xr:uid="{00000000-0005-0000-0000-0000D5410000}"/>
    <cellStyle name="40% - Accent6 12 5" xfId="7399" xr:uid="{00000000-0005-0000-0000-0000D6410000}"/>
    <cellStyle name="40% - Accent6 12 5 2" xfId="18687" xr:uid="{00000000-0005-0000-0000-0000D7410000}"/>
    <cellStyle name="40% - Accent6 12 6" xfId="5405" xr:uid="{00000000-0005-0000-0000-0000D8410000}"/>
    <cellStyle name="40% - Accent6 12 6 2" xfId="16693" xr:uid="{00000000-0005-0000-0000-0000D9410000}"/>
    <cellStyle name="40% - Accent6 12 7" xfId="14699" xr:uid="{00000000-0005-0000-0000-0000DA410000}"/>
    <cellStyle name="40% - Accent6 12 8" xfId="13385" xr:uid="{00000000-0005-0000-0000-0000DB410000}"/>
    <cellStyle name="40% - Accent6 13" xfId="1450" xr:uid="{00000000-0005-0000-0000-0000DC410000}"/>
    <cellStyle name="40% - Accent6 13 2" xfId="4406" xr:uid="{00000000-0005-0000-0000-0000DD410000}"/>
    <cellStyle name="40% - Accent6 13 2 2" xfId="12385" xr:uid="{00000000-0005-0000-0000-0000DE410000}"/>
    <cellStyle name="40% - Accent6 13 2 2 2" xfId="23673" xr:uid="{00000000-0005-0000-0000-0000DF410000}"/>
    <cellStyle name="40% - Accent6 13 2 3" xfId="10391" xr:uid="{00000000-0005-0000-0000-0000E0410000}"/>
    <cellStyle name="40% - Accent6 13 2 3 2" xfId="21679" xr:uid="{00000000-0005-0000-0000-0000E1410000}"/>
    <cellStyle name="40% - Accent6 13 2 4" xfId="8397" xr:uid="{00000000-0005-0000-0000-0000E2410000}"/>
    <cellStyle name="40% - Accent6 13 2 4 2" xfId="19685" xr:uid="{00000000-0005-0000-0000-0000E3410000}"/>
    <cellStyle name="40% - Accent6 13 2 5" xfId="6403" xr:uid="{00000000-0005-0000-0000-0000E4410000}"/>
    <cellStyle name="40% - Accent6 13 2 5 2" xfId="17691" xr:uid="{00000000-0005-0000-0000-0000E5410000}"/>
    <cellStyle name="40% - Accent6 13 2 6" xfId="15697" xr:uid="{00000000-0005-0000-0000-0000E6410000}"/>
    <cellStyle name="40% - Accent6 13 3" xfId="11388" xr:uid="{00000000-0005-0000-0000-0000E7410000}"/>
    <cellStyle name="40% - Accent6 13 3 2" xfId="22676" xr:uid="{00000000-0005-0000-0000-0000E8410000}"/>
    <cellStyle name="40% - Accent6 13 4" xfId="9394" xr:uid="{00000000-0005-0000-0000-0000E9410000}"/>
    <cellStyle name="40% - Accent6 13 4 2" xfId="20682" xr:uid="{00000000-0005-0000-0000-0000EA410000}"/>
    <cellStyle name="40% - Accent6 13 5" xfId="7400" xr:uid="{00000000-0005-0000-0000-0000EB410000}"/>
    <cellStyle name="40% - Accent6 13 5 2" xfId="18688" xr:uid="{00000000-0005-0000-0000-0000EC410000}"/>
    <cellStyle name="40% - Accent6 13 6" xfId="5406" xr:uid="{00000000-0005-0000-0000-0000ED410000}"/>
    <cellStyle name="40% - Accent6 13 6 2" xfId="16694" xr:uid="{00000000-0005-0000-0000-0000EE410000}"/>
    <cellStyle name="40% - Accent6 13 7" xfId="14700" xr:uid="{00000000-0005-0000-0000-0000EF410000}"/>
    <cellStyle name="40% - Accent6 13 8" xfId="13386" xr:uid="{00000000-0005-0000-0000-0000F0410000}"/>
    <cellStyle name="40% - Accent6 14" xfId="1451" xr:uid="{00000000-0005-0000-0000-0000F1410000}"/>
    <cellStyle name="40% - Accent6 14 2" xfId="4407" xr:uid="{00000000-0005-0000-0000-0000F2410000}"/>
    <cellStyle name="40% - Accent6 14 2 2" xfId="12386" xr:uid="{00000000-0005-0000-0000-0000F3410000}"/>
    <cellStyle name="40% - Accent6 14 2 2 2" xfId="23674" xr:uid="{00000000-0005-0000-0000-0000F4410000}"/>
    <cellStyle name="40% - Accent6 14 2 3" xfId="10392" xr:uid="{00000000-0005-0000-0000-0000F5410000}"/>
    <cellStyle name="40% - Accent6 14 2 3 2" xfId="21680" xr:uid="{00000000-0005-0000-0000-0000F6410000}"/>
    <cellStyle name="40% - Accent6 14 2 4" xfId="8398" xr:uid="{00000000-0005-0000-0000-0000F7410000}"/>
    <cellStyle name="40% - Accent6 14 2 4 2" xfId="19686" xr:uid="{00000000-0005-0000-0000-0000F8410000}"/>
    <cellStyle name="40% - Accent6 14 2 5" xfId="6404" xr:uid="{00000000-0005-0000-0000-0000F9410000}"/>
    <cellStyle name="40% - Accent6 14 2 5 2" xfId="17692" xr:uid="{00000000-0005-0000-0000-0000FA410000}"/>
    <cellStyle name="40% - Accent6 14 2 6" xfId="15698" xr:uid="{00000000-0005-0000-0000-0000FB410000}"/>
    <cellStyle name="40% - Accent6 14 3" xfId="11389" xr:uid="{00000000-0005-0000-0000-0000FC410000}"/>
    <cellStyle name="40% - Accent6 14 3 2" xfId="22677" xr:uid="{00000000-0005-0000-0000-0000FD410000}"/>
    <cellStyle name="40% - Accent6 14 4" xfId="9395" xr:uid="{00000000-0005-0000-0000-0000FE410000}"/>
    <cellStyle name="40% - Accent6 14 4 2" xfId="20683" xr:uid="{00000000-0005-0000-0000-0000FF410000}"/>
    <cellStyle name="40% - Accent6 14 5" xfId="7401" xr:uid="{00000000-0005-0000-0000-000000420000}"/>
    <cellStyle name="40% - Accent6 14 5 2" xfId="18689" xr:uid="{00000000-0005-0000-0000-000001420000}"/>
    <cellStyle name="40% - Accent6 14 6" xfId="5407" xr:uid="{00000000-0005-0000-0000-000002420000}"/>
    <cellStyle name="40% - Accent6 14 6 2" xfId="16695" xr:uid="{00000000-0005-0000-0000-000003420000}"/>
    <cellStyle name="40% - Accent6 14 7" xfId="14701" xr:uid="{00000000-0005-0000-0000-000004420000}"/>
    <cellStyle name="40% - Accent6 14 8" xfId="13387" xr:uid="{00000000-0005-0000-0000-000005420000}"/>
    <cellStyle name="40% - Accent6 15" xfId="1452" xr:uid="{00000000-0005-0000-0000-000006420000}"/>
    <cellStyle name="40% - Accent6 15 2" xfId="4408" xr:uid="{00000000-0005-0000-0000-000007420000}"/>
    <cellStyle name="40% - Accent6 15 2 2" xfId="12387" xr:uid="{00000000-0005-0000-0000-000008420000}"/>
    <cellStyle name="40% - Accent6 15 2 2 2" xfId="23675" xr:uid="{00000000-0005-0000-0000-000009420000}"/>
    <cellStyle name="40% - Accent6 15 2 3" xfId="10393" xr:uid="{00000000-0005-0000-0000-00000A420000}"/>
    <cellStyle name="40% - Accent6 15 2 3 2" xfId="21681" xr:uid="{00000000-0005-0000-0000-00000B420000}"/>
    <cellStyle name="40% - Accent6 15 2 4" xfId="8399" xr:uid="{00000000-0005-0000-0000-00000C420000}"/>
    <cellStyle name="40% - Accent6 15 2 4 2" xfId="19687" xr:uid="{00000000-0005-0000-0000-00000D420000}"/>
    <cellStyle name="40% - Accent6 15 2 5" xfId="6405" xr:uid="{00000000-0005-0000-0000-00000E420000}"/>
    <cellStyle name="40% - Accent6 15 2 5 2" xfId="17693" xr:uid="{00000000-0005-0000-0000-00000F420000}"/>
    <cellStyle name="40% - Accent6 15 2 6" xfId="15699" xr:uid="{00000000-0005-0000-0000-000010420000}"/>
    <cellStyle name="40% - Accent6 15 3" xfId="11390" xr:uid="{00000000-0005-0000-0000-000011420000}"/>
    <cellStyle name="40% - Accent6 15 3 2" xfId="22678" xr:uid="{00000000-0005-0000-0000-000012420000}"/>
    <cellStyle name="40% - Accent6 15 4" xfId="9396" xr:uid="{00000000-0005-0000-0000-000013420000}"/>
    <cellStyle name="40% - Accent6 15 4 2" xfId="20684" xr:uid="{00000000-0005-0000-0000-000014420000}"/>
    <cellStyle name="40% - Accent6 15 5" xfId="7402" xr:uid="{00000000-0005-0000-0000-000015420000}"/>
    <cellStyle name="40% - Accent6 15 5 2" xfId="18690" xr:uid="{00000000-0005-0000-0000-000016420000}"/>
    <cellStyle name="40% - Accent6 15 6" xfId="5408" xr:uid="{00000000-0005-0000-0000-000017420000}"/>
    <cellStyle name="40% - Accent6 15 6 2" xfId="16696" xr:uid="{00000000-0005-0000-0000-000018420000}"/>
    <cellStyle name="40% - Accent6 15 7" xfId="14702" xr:uid="{00000000-0005-0000-0000-000019420000}"/>
    <cellStyle name="40% - Accent6 15 8" xfId="13388" xr:uid="{00000000-0005-0000-0000-00001A420000}"/>
    <cellStyle name="40% - Accent6 16" xfId="1453" xr:uid="{00000000-0005-0000-0000-00001B420000}"/>
    <cellStyle name="40% - Accent6 16 2" xfId="4409" xr:uid="{00000000-0005-0000-0000-00001C420000}"/>
    <cellStyle name="40% - Accent6 16 2 2" xfId="12388" xr:uid="{00000000-0005-0000-0000-00001D420000}"/>
    <cellStyle name="40% - Accent6 16 2 2 2" xfId="23676" xr:uid="{00000000-0005-0000-0000-00001E420000}"/>
    <cellStyle name="40% - Accent6 16 2 3" xfId="10394" xr:uid="{00000000-0005-0000-0000-00001F420000}"/>
    <cellStyle name="40% - Accent6 16 2 3 2" xfId="21682" xr:uid="{00000000-0005-0000-0000-000020420000}"/>
    <cellStyle name="40% - Accent6 16 2 4" xfId="8400" xr:uid="{00000000-0005-0000-0000-000021420000}"/>
    <cellStyle name="40% - Accent6 16 2 4 2" xfId="19688" xr:uid="{00000000-0005-0000-0000-000022420000}"/>
    <cellStyle name="40% - Accent6 16 2 5" xfId="6406" xr:uid="{00000000-0005-0000-0000-000023420000}"/>
    <cellStyle name="40% - Accent6 16 2 5 2" xfId="17694" xr:uid="{00000000-0005-0000-0000-000024420000}"/>
    <cellStyle name="40% - Accent6 16 2 6" xfId="15700" xr:uid="{00000000-0005-0000-0000-000025420000}"/>
    <cellStyle name="40% - Accent6 16 3" xfId="11391" xr:uid="{00000000-0005-0000-0000-000026420000}"/>
    <cellStyle name="40% - Accent6 16 3 2" xfId="22679" xr:uid="{00000000-0005-0000-0000-000027420000}"/>
    <cellStyle name="40% - Accent6 16 4" xfId="9397" xr:uid="{00000000-0005-0000-0000-000028420000}"/>
    <cellStyle name="40% - Accent6 16 4 2" xfId="20685" xr:uid="{00000000-0005-0000-0000-000029420000}"/>
    <cellStyle name="40% - Accent6 16 5" xfId="7403" xr:uid="{00000000-0005-0000-0000-00002A420000}"/>
    <cellStyle name="40% - Accent6 16 5 2" xfId="18691" xr:uid="{00000000-0005-0000-0000-00002B420000}"/>
    <cellStyle name="40% - Accent6 16 6" xfId="5409" xr:uid="{00000000-0005-0000-0000-00002C420000}"/>
    <cellStyle name="40% - Accent6 16 6 2" xfId="16697" xr:uid="{00000000-0005-0000-0000-00002D420000}"/>
    <cellStyle name="40% - Accent6 16 7" xfId="14703" xr:uid="{00000000-0005-0000-0000-00002E420000}"/>
    <cellStyle name="40% - Accent6 16 8" xfId="13389" xr:uid="{00000000-0005-0000-0000-00002F420000}"/>
    <cellStyle name="40% - Accent6 17" xfId="1454" xr:uid="{00000000-0005-0000-0000-000030420000}"/>
    <cellStyle name="40% - Accent6 17 2" xfId="4410" xr:uid="{00000000-0005-0000-0000-000031420000}"/>
    <cellStyle name="40% - Accent6 17 2 2" xfId="12389" xr:uid="{00000000-0005-0000-0000-000032420000}"/>
    <cellStyle name="40% - Accent6 17 2 2 2" xfId="23677" xr:uid="{00000000-0005-0000-0000-000033420000}"/>
    <cellStyle name="40% - Accent6 17 2 3" xfId="10395" xr:uid="{00000000-0005-0000-0000-000034420000}"/>
    <cellStyle name="40% - Accent6 17 2 3 2" xfId="21683" xr:uid="{00000000-0005-0000-0000-000035420000}"/>
    <cellStyle name="40% - Accent6 17 2 4" xfId="8401" xr:uid="{00000000-0005-0000-0000-000036420000}"/>
    <cellStyle name="40% - Accent6 17 2 4 2" xfId="19689" xr:uid="{00000000-0005-0000-0000-000037420000}"/>
    <cellStyle name="40% - Accent6 17 2 5" xfId="6407" xr:uid="{00000000-0005-0000-0000-000038420000}"/>
    <cellStyle name="40% - Accent6 17 2 5 2" xfId="17695" xr:uid="{00000000-0005-0000-0000-000039420000}"/>
    <cellStyle name="40% - Accent6 17 2 6" xfId="15701" xr:uid="{00000000-0005-0000-0000-00003A420000}"/>
    <cellStyle name="40% - Accent6 17 3" xfId="11392" xr:uid="{00000000-0005-0000-0000-00003B420000}"/>
    <cellStyle name="40% - Accent6 17 3 2" xfId="22680" xr:uid="{00000000-0005-0000-0000-00003C420000}"/>
    <cellStyle name="40% - Accent6 17 4" xfId="9398" xr:uid="{00000000-0005-0000-0000-00003D420000}"/>
    <cellStyle name="40% - Accent6 17 4 2" xfId="20686" xr:uid="{00000000-0005-0000-0000-00003E420000}"/>
    <cellStyle name="40% - Accent6 17 5" xfId="7404" xr:uid="{00000000-0005-0000-0000-00003F420000}"/>
    <cellStyle name="40% - Accent6 17 5 2" xfId="18692" xr:uid="{00000000-0005-0000-0000-000040420000}"/>
    <cellStyle name="40% - Accent6 17 6" xfId="5410" xr:uid="{00000000-0005-0000-0000-000041420000}"/>
    <cellStyle name="40% - Accent6 17 6 2" xfId="16698" xr:uid="{00000000-0005-0000-0000-000042420000}"/>
    <cellStyle name="40% - Accent6 17 7" xfId="14704" xr:uid="{00000000-0005-0000-0000-000043420000}"/>
    <cellStyle name="40% - Accent6 17 8" xfId="13390" xr:uid="{00000000-0005-0000-0000-000044420000}"/>
    <cellStyle name="40% - Accent6 18" xfId="1455" xr:uid="{00000000-0005-0000-0000-000045420000}"/>
    <cellStyle name="40% - Accent6 18 2" xfId="4411" xr:uid="{00000000-0005-0000-0000-000046420000}"/>
    <cellStyle name="40% - Accent6 18 2 2" xfId="12390" xr:uid="{00000000-0005-0000-0000-000047420000}"/>
    <cellStyle name="40% - Accent6 18 2 2 2" xfId="23678" xr:uid="{00000000-0005-0000-0000-000048420000}"/>
    <cellStyle name="40% - Accent6 18 2 3" xfId="10396" xr:uid="{00000000-0005-0000-0000-000049420000}"/>
    <cellStyle name="40% - Accent6 18 2 3 2" xfId="21684" xr:uid="{00000000-0005-0000-0000-00004A420000}"/>
    <cellStyle name="40% - Accent6 18 2 4" xfId="8402" xr:uid="{00000000-0005-0000-0000-00004B420000}"/>
    <cellStyle name="40% - Accent6 18 2 4 2" xfId="19690" xr:uid="{00000000-0005-0000-0000-00004C420000}"/>
    <cellStyle name="40% - Accent6 18 2 5" xfId="6408" xr:uid="{00000000-0005-0000-0000-00004D420000}"/>
    <cellStyle name="40% - Accent6 18 2 5 2" xfId="17696" xr:uid="{00000000-0005-0000-0000-00004E420000}"/>
    <cellStyle name="40% - Accent6 18 2 6" xfId="15702" xr:uid="{00000000-0005-0000-0000-00004F420000}"/>
    <cellStyle name="40% - Accent6 18 3" xfId="11393" xr:uid="{00000000-0005-0000-0000-000050420000}"/>
    <cellStyle name="40% - Accent6 18 3 2" xfId="22681" xr:uid="{00000000-0005-0000-0000-000051420000}"/>
    <cellStyle name="40% - Accent6 18 4" xfId="9399" xr:uid="{00000000-0005-0000-0000-000052420000}"/>
    <cellStyle name="40% - Accent6 18 4 2" xfId="20687" xr:uid="{00000000-0005-0000-0000-000053420000}"/>
    <cellStyle name="40% - Accent6 18 5" xfId="7405" xr:uid="{00000000-0005-0000-0000-000054420000}"/>
    <cellStyle name="40% - Accent6 18 5 2" xfId="18693" xr:uid="{00000000-0005-0000-0000-000055420000}"/>
    <cellStyle name="40% - Accent6 18 6" xfId="5411" xr:uid="{00000000-0005-0000-0000-000056420000}"/>
    <cellStyle name="40% - Accent6 18 6 2" xfId="16699" xr:uid="{00000000-0005-0000-0000-000057420000}"/>
    <cellStyle name="40% - Accent6 18 7" xfId="14705" xr:uid="{00000000-0005-0000-0000-000058420000}"/>
    <cellStyle name="40% - Accent6 18 8" xfId="13391" xr:uid="{00000000-0005-0000-0000-000059420000}"/>
    <cellStyle name="40% - Accent6 19" xfId="1456" xr:uid="{00000000-0005-0000-0000-00005A420000}"/>
    <cellStyle name="40% - Accent6 19 2" xfId="4412" xr:uid="{00000000-0005-0000-0000-00005B420000}"/>
    <cellStyle name="40% - Accent6 19 2 2" xfId="12391" xr:uid="{00000000-0005-0000-0000-00005C420000}"/>
    <cellStyle name="40% - Accent6 19 2 2 2" xfId="23679" xr:uid="{00000000-0005-0000-0000-00005D420000}"/>
    <cellStyle name="40% - Accent6 19 2 3" xfId="10397" xr:uid="{00000000-0005-0000-0000-00005E420000}"/>
    <cellStyle name="40% - Accent6 19 2 3 2" xfId="21685" xr:uid="{00000000-0005-0000-0000-00005F420000}"/>
    <cellStyle name="40% - Accent6 19 2 4" xfId="8403" xr:uid="{00000000-0005-0000-0000-000060420000}"/>
    <cellStyle name="40% - Accent6 19 2 4 2" xfId="19691" xr:uid="{00000000-0005-0000-0000-000061420000}"/>
    <cellStyle name="40% - Accent6 19 2 5" xfId="6409" xr:uid="{00000000-0005-0000-0000-000062420000}"/>
    <cellStyle name="40% - Accent6 19 2 5 2" xfId="17697" xr:uid="{00000000-0005-0000-0000-000063420000}"/>
    <cellStyle name="40% - Accent6 19 2 6" xfId="15703" xr:uid="{00000000-0005-0000-0000-000064420000}"/>
    <cellStyle name="40% - Accent6 19 3" xfId="11394" xr:uid="{00000000-0005-0000-0000-000065420000}"/>
    <cellStyle name="40% - Accent6 19 3 2" xfId="22682" xr:uid="{00000000-0005-0000-0000-000066420000}"/>
    <cellStyle name="40% - Accent6 19 4" xfId="9400" xr:uid="{00000000-0005-0000-0000-000067420000}"/>
    <cellStyle name="40% - Accent6 19 4 2" xfId="20688" xr:uid="{00000000-0005-0000-0000-000068420000}"/>
    <cellStyle name="40% - Accent6 19 5" xfId="7406" xr:uid="{00000000-0005-0000-0000-000069420000}"/>
    <cellStyle name="40% - Accent6 19 5 2" xfId="18694" xr:uid="{00000000-0005-0000-0000-00006A420000}"/>
    <cellStyle name="40% - Accent6 19 6" xfId="5412" xr:uid="{00000000-0005-0000-0000-00006B420000}"/>
    <cellStyle name="40% - Accent6 19 6 2" xfId="16700" xr:uid="{00000000-0005-0000-0000-00006C420000}"/>
    <cellStyle name="40% - Accent6 19 7" xfId="14706" xr:uid="{00000000-0005-0000-0000-00006D420000}"/>
    <cellStyle name="40% - Accent6 19 8" xfId="13392" xr:uid="{00000000-0005-0000-0000-00006E420000}"/>
    <cellStyle name="40% - Accent6 2" xfId="1457" xr:uid="{00000000-0005-0000-0000-00006F420000}"/>
    <cellStyle name="40% - Accent6 2 10" xfId="24625" xr:uid="{00000000-0005-0000-0000-000070420000}"/>
    <cellStyle name="40% - Accent6 2 11" xfId="25015" xr:uid="{00000000-0005-0000-0000-000071420000}"/>
    <cellStyle name="40% - Accent6 2 2" xfId="4413" xr:uid="{00000000-0005-0000-0000-000072420000}"/>
    <cellStyle name="40% - Accent6 2 2 2" xfId="12392" xr:uid="{00000000-0005-0000-0000-000073420000}"/>
    <cellStyle name="40% - Accent6 2 2 2 2" xfId="23680" xr:uid="{00000000-0005-0000-0000-000074420000}"/>
    <cellStyle name="40% - Accent6 2 2 3" xfId="10398" xr:uid="{00000000-0005-0000-0000-000075420000}"/>
    <cellStyle name="40% - Accent6 2 2 3 2" xfId="21686" xr:uid="{00000000-0005-0000-0000-000076420000}"/>
    <cellStyle name="40% - Accent6 2 2 4" xfId="8404" xr:uid="{00000000-0005-0000-0000-000077420000}"/>
    <cellStyle name="40% - Accent6 2 2 4 2" xfId="19692" xr:uid="{00000000-0005-0000-0000-000078420000}"/>
    <cellStyle name="40% - Accent6 2 2 5" xfId="6410" xr:uid="{00000000-0005-0000-0000-000079420000}"/>
    <cellStyle name="40% - Accent6 2 2 5 2" xfId="17698" xr:uid="{00000000-0005-0000-0000-00007A420000}"/>
    <cellStyle name="40% - Accent6 2 2 6" xfId="15704" xr:uid="{00000000-0005-0000-0000-00007B420000}"/>
    <cellStyle name="40% - Accent6 2 2 7" xfId="24386" xr:uid="{00000000-0005-0000-0000-00007C420000}"/>
    <cellStyle name="40% - Accent6 2 2 8" xfId="24850" xr:uid="{00000000-0005-0000-0000-00007D420000}"/>
    <cellStyle name="40% - Accent6 2 2 9" xfId="25217" xr:uid="{00000000-0005-0000-0000-00007E420000}"/>
    <cellStyle name="40% - Accent6 2 3" xfId="11395" xr:uid="{00000000-0005-0000-0000-00007F420000}"/>
    <cellStyle name="40% - Accent6 2 3 2" xfId="22683" xr:uid="{00000000-0005-0000-0000-000080420000}"/>
    <cellStyle name="40% - Accent6 2 4" xfId="9401" xr:uid="{00000000-0005-0000-0000-000081420000}"/>
    <cellStyle name="40% - Accent6 2 4 2" xfId="20689" xr:uid="{00000000-0005-0000-0000-000082420000}"/>
    <cellStyle name="40% - Accent6 2 5" xfId="7407" xr:uid="{00000000-0005-0000-0000-000083420000}"/>
    <cellStyle name="40% - Accent6 2 5 2" xfId="18695" xr:uid="{00000000-0005-0000-0000-000084420000}"/>
    <cellStyle name="40% - Accent6 2 6" xfId="5413" xr:uid="{00000000-0005-0000-0000-000085420000}"/>
    <cellStyle name="40% - Accent6 2 6 2" xfId="16701" xr:uid="{00000000-0005-0000-0000-000086420000}"/>
    <cellStyle name="40% - Accent6 2 7" xfId="14707" xr:uid="{00000000-0005-0000-0000-000087420000}"/>
    <cellStyle name="40% - Accent6 2 8" xfId="13393" xr:uid="{00000000-0005-0000-0000-000088420000}"/>
    <cellStyle name="40% - Accent6 2 9" xfId="23998" xr:uid="{00000000-0005-0000-0000-000089420000}"/>
    <cellStyle name="40% - Accent6 20" xfId="1458" xr:uid="{00000000-0005-0000-0000-00008A420000}"/>
    <cellStyle name="40% - Accent6 20 2" xfId="4414" xr:uid="{00000000-0005-0000-0000-00008B420000}"/>
    <cellStyle name="40% - Accent6 20 2 2" xfId="12393" xr:uid="{00000000-0005-0000-0000-00008C420000}"/>
    <cellStyle name="40% - Accent6 20 2 2 2" xfId="23681" xr:uid="{00000000-0005-0000-0000-00008D420000}"/>
    <cellStyle name="40% - Accent6 20 2 3" xfId="10399" xr:uid="{00000000-0005-0000-0000-00008E420000}"/>
    <cellStyle name="40% - Accent6 20 2 3 2" xfId="21687" xr:uid="{00000000-0005-0000-0000-00008F420000}"/>
    <cellStyle name="40% - Accent6 20 2 4" xfId="8405" xr:uid="{00000000-0005-0000-0000-000090420000}"/>
    <cellStyle name="40% - Accent6 20 2 4 2" xfId="19693" xr:uid="{00000000-0005-0000-0000-000091420000}"/>
    <cellStyle name="40% - Accent6 20 2 5" xfId="6411" xr:uid="{00000000-0005-0000-0000-000092420000}"/>
    <cellStyle name="40% - Accent6 20 2 5 2" xfId="17699" xr:uid="{00000000-0005-0000-0000-000093420000}"/>
    <cellStyle name="40% - Accent6 20 2 6" xfId="15705" xr:uid="{00000000-0005-0000-0000-000094420000}"/>
    <cellStyle name="40% - Accent6 20 3" xfId="11396" xr:uid="{00000000-0005-0000-0000-000095420000}"/>
    <cellStyle name="40% - Accent6 20 3 2" xfId="22684" xr:uid="{00000000-0005-0000-0000-000096420000}"/>
    <cellStyle name="40% - Accent6 20 4" xfId="9402" xr:uid="{00000000-0005-0000-0000-000097420000}"/>
    <cellStyle name="40% - Accent6 20 4 2" xfId="20690" xr:uid="{00000000-0005-0000-0000-000098420000}"/>
    <cellStyle name="40% - Accent6 20 5" xfId="7408" xr:uid="{00000000-0005-0000-0000-000099420000}"/>
    <cellStyle name="40% - Accent6 20 5 2" xfId="18696" xr:uid="{00000000-0005-0000-0000-00009A420000}"/>
    <cellStyle name="40% - Accent6 20 6" xfId="5414" xr:uid="{00000000-0005-0000-0000-00009B420000}"/>
    <cellStyle name="40% - Accent6 20 6 2" xfId="16702" xr:uid="{00000000-0005-0000-0000-00009C420000}"/>
    <cellStyle name="40% - Accent6 20 7" xfId="14708" xr:uid="{00000000-0005-0000-0000-00009D420000}"/>
    <cellStyle name="40% - Accent6 20 8" xfId="13394" xr:uid="{00000000-0005-0000-0000-00009E420000}"/>
    <cellStyle name="40% - Accent6 21" xfId="1459" xr:uid="{00000000-0005-0000-0000-00009F420000}"/>
    <cellStyle name="40% - Accent6 21 2" xfId="4415" xr:uid="{00000000-0005-0000-0000-0000A0420000}"/>
    <cellStyle name="40% - Accent6 21 2 2" xfId="12394" xr:uid="{00000000-0005-0000-0000-0000A1420000}"/>
    <cellStyle name="40% - Accent6 21 2 2 2" xfId="23682" xr:uid="{00000000-0005-0000-0000-0000A2420000}"/>
    <cellStyle name="40% - Accent6 21 2 3" xfId="10400" xr:uid="{00000000-0005-0000-0000-0000A3420000}"/>
    <cellStyle name="40% - Accent6 21 2 3 2" xfId="21688" xr:uid="{00000000-0005-0000-0000-0000A4420000}"/>
    <cellStyle name="40% - Accent6 21 2 4" xfId="8406" xr:uid="{00000000-0005-0000-0000-0000A5420000}"/>
    <cellStyle name="40% - Accent6 21 2 4 2" xfId="19694" xr:uid="{00000000-0005-0000-0000-0000A6420000}"/>
    <cellStyle name="40% - Accent6 21 2 5" xfId="6412" xr:uid="{00000000-0005-0000-0000-0000A7420000}"/>
    <cellStyle name="40% - Accent6 21 2 5 2" xfId="17700" xr:uid="{00000000-0005-0000-0000-0000A8420000}"/>
    <cellStyle name="40% - Accent6 21 2 6" xfId="15706" xr:uid="{00000000-0005-0000-0000-0000A9420000}"/>
    <cellStyle name="40% - Accent6 21 3" xfId="11397" xr:uid="{00000000-0005-0000-0000-0000AA420000}"/>
    <cellStyle name="40% - Accent6 21 3 2" xfId="22685" xr:uid="{00000000-0005-0000-0000-0000AB420000}"/>
    <cellStyle name="40% - Accent6 21 4" xfId="9403" xr:uid="{00000000-0005-0000-0000-0000AC420000}"/>
    <cellStyle name="40% - Accent6 21 4 2" xfId="20691" xr:uid="{00000000-0005-0000-0000-0000AD420000}"/>
    <cellStyle name="40% - Accent6 21 5" xfId="7409" xr:uid="{00000000-0005-0000-0000-0000AE420000}"/>
    <cellStyle name="40% - Accent6 21 5 2" xfId="18697" xr:uid="{00000000-0005-0000-0000-0000AF420000}"/>
    <cellStyle name="40% - Accent6 21 6" xfId="5415" xr:uid="{00000000-0005-0000-0000-0000B0420000}"/>
    <cellStyle name="40% - Accent6 21 6 2" xfId="16703" xr:uid="{00000000-0005-0000-0000-0000B1420000}"/>
    <cellStyle name="40% - Accent6 21 7" xfId="14709" xr:uid="{00000000-0005-0000-0000-0000B2420000}"/>
    <cellStyle name="40% - Accent6 21 8" xfId="13395" xr:uid="{00000000-0005-0000-0000-0000B3420000}"/>
    <cellStyle name="40% - Accent6 22" xfId="1460" xr:uid="{00000000-0005-0000-0000-0000B4420000}"/>
    <cellStyle name="40% - Accent6 22 2" xfId="4416" xr:uid="{00000000-0005-0000-0000-0000B5420000}"/>
    <cellStyle name="40% - Accent6 22 2 2" xfId="12395" xr:uid="{00000000-0005-0000-0000-0000B6420000}"/>
    <cellStyle name="40% - Accent6 22 2 2 2" xfId="23683" xr:uid="{00000000-0005-0000-0000-0000B7420000}"/>
    <cellStyle name="40% - Accent6 22 2 3" xfId="10401" xr:uid="{00000000-0005-0000-0000-0000B8420000}"/>
    <cellStyle name="40% - Accent6 22 2 3 2" xfId="21689" xr:uid="{00000000-0005-0000-0000-0000B9420000}"/>
    <cellStyle name="40% - Accent6 22 2 4" xfId="8407" xr:uid="{00000000-0005-0000-0000-0000BA420000}"/>
    <cellStyle name="40% - Accent6 22 2 4 2" xfId="19695" xr:uid="{00000000-0005-0000-0000-0000BB420000}"/>
    <cellStyle name="40% - Accent6 22 2 5" xfId="6413" xr:uid="{00000000-0005-0000-0000-0000BC420000}"/>
    <cellStyle name="40% - Accent6 22 2 5 2" xfId="17701" xr:uid="{00000000-0005-0000-0000-0000BD420000}"/>
    <cellStyle name="40% - Accent6 22 2 6" xfId="15707" xr:uid="{00000000-0005-0000-0000-0000BE420000}"/>
    <cellStyle name="40% - Accent6 22 3" xfId="11398" xr:uid="{00000000-0005-0000-0000-0000BF420000}"/>
    <cellStyle name="40% - Accent6 22 3 2" xfId="22686" xr:uid="{00000000-0005-0000-0000-0000C0420000}"/>
    <cellStyle name="40% - Accent6 22 4" xfId="9404" xr:uid="{00000000-0005-0000-0000-0000C1420000}"/>
    <cellStyle name="40% - Accent6 22 4 2" xfId="20692" xr:uid="{00000000-0005-0000-0000-0000C2420000}"/>
    <cellStyle name="40% - Accent6 22 5" xfId="7410" xr:uid="{00000000-0005-0000-0000-0000C3420000}"/>
    <cellStyle name="40% - Accent6 22 5 2" xfId="18698" xr:uid="{00000000-0005-0000-0000-0000C4420000}"/>
    <cellStyle name="40% - Accent6 22 6" xfId="5416" xr:uid="{00000000-0005-0000-0000-0000C5420000}"/>
    <cellStyle name="40% - Accent6 22 6 2" xfId="16704" xr:uid="{00000000-0005-0000-0000-0000C6420000}"/>
    <cellStyle name="40% - Accent6 22 7" xfId="14710" xr:uid="{00000000-0005-0000-0000-0000C7420000}"/>
    <cellStyle name="40% - Accent6 22 8" xfId="13396" xr:uid="{00000000-0005-0000-0000-0000C8420000}"/>
    <cellStyle name="40% - Accent6 23" xfId="1461" xr:uid="{00000000-0005-0000-0000-0000C9420000}"/>
    <cellStyle name="40% - Accent6 23 2" xfId="4417" xr:uid="{00000000-0005-0000-0000-0000CA420000}"/>
    <cellStyle name="40% - Accent6 23 2 2" xfId="12396" xr:uid="{00000000-0005-0000-0000-0000CB420000}"/>
    <cellStyle name="40% - Accent6 23 2 2 2" xfId="23684" xr:uid="{00000000-0005-0000-0000-0000CC420000}"/>
    <cellStyle name="40% - Accent6 23 2 3" xfId="10402" xr:uid="{00000000-0005-0000-0000-0000CD420000}"/>
    <cellStyle name="40% - Accent6 23 2 3 2" xfId="21690" xr:uid="{00000000-0005-0000-0000-0000CE420000}"/>
    <cellStyle name="40% - Accent6 23 2 4" xfId="8408" xr:uid="{00000000-0005-0000-0000-0000CF420000}"/>
    <cellStyle name="40% - Accent6 23 2 4 2" xfId="19696" xr:uid="{00000000-0005-0000-0000-0000D0420000}"/>
    <cellStyle name="40% - Accent6 23 2 5" xfId="6414" xr:uid="{00000000-0005-0000-0000-0000D1420000}"/>
    <cellStyle name="40% - Accent6 23 2 5 2" xfId="17702" xr:uid="{00000000-0005-0000-0000-0000D2420000}"/>
    <cellStyle name="40% - Accent6 23 2 6" xfId="15708" xr:uid="{00000000-0005-0000-0000-0000D3420000}"/>
    <cellStyle name="40% - Accent6 23 3" xfId="11399" xr:uid="{00000000-0005-0000-0000-0000D4420000}"/>
    <cellStyle name="40% - Accent6 23 3 2" xfId="22687" xr:uid="{00000000-0005-0000-0000-0000D5420000}"/>
    <cellStyle name="40% - Accent6 23 4" xfId="9405" xr:uid="{00000000-0005-0000-0000-0000D6420000}"/>
    <cellStyle name="40% - Accent6 23 4 2" xfId="20693" xr:uid="{00000000-0005-0000-0000-0000D7420000}"/>
    <cellStyle name="40% - Accent6 23 5" xfId="7411" xr:uid="{00000000-0005-0000-0000-0000D8420000}"/>
    <cellStyle name="40% - Accent6 23 5 2" xfId="18699" xr:uid="{00000000-0005-0000-0000-0000D9420000}"/>
    <cellStyle name="40% - Accent6 23 6" xfId="5417" xr:uid="{00000000-0005-0000-0000-0000DA420000}"/>
    <cellStyle name="40% - Accent6 23 6 2" xfId="16705" xr:uid="{00000000-0005-0000-0000-0000DB420000}"/>
    <cellStyle name="40% - Accent6 23 7" xfId="14711" xr:uid="{00000000-0005-0000-0000-0000DC420000}"/>
    <cellStyle name="40% - Accent6 23 8" xfId="13397" xr:uid="{00000000-0005-0000-0000-0000DD420000}"/>
    <cellStyle name="40% - Accent6 24" xfId="1462" xr:uid="{00000000-0005-0000-0000-0000DE420000}"/>
    <cellStyle name="40% - Accent6 24 2" xfId="4418" xr:uid="{00000000-0005-0000-0000-0000DF420000}"/>
    <cellStyle name="40% - Accent6 24 2 2" xfId="12397" xr:uid="{00000000-0005-0000-0000-0000E0420000}"/>
    <cellStyle name="40% - Accent6 24 2 2 2" xfId="23685" xr:uid="{00000000-0005-0000-0000-0000E1420000}"/>
    <cellStyle name="40% - Accent6 24 2 3" xfId="10403" xr:uid="{00000000-0005-0000-0000-0000E2420000}"/>
    <cellStyle name="40% - Accent6 24 2 3 2" xfId="21691" xr:uid="{00000000-0005-0000-0000-0000E3420000}"/>
    <cellStyle name="40% - Accent6 24 2 4" xfId="8409" xr:uid="{00000000-0005-0000-0000-0000E4420000}"/>
    <cellStyle name="40% - Accent6 24 2 4 2" xfId="19697" xr:uid="{00000000-0005-0000-0000-0000E5420000}"/>
    <cellStyle name="40% - Accent6 24 2 5" xfId="6415" xr:uid="{00000000-0005-0000-0000-0000E6420000}"/>
    <cellStyle name="40% - Accent6 24 2 5 2" xfId="17703" xr:uid="{00000000-0005-0000-0000-0000E7420000}"/>
    <cellStyle name="40% - Accent6 24 2 6" xfId="15709" xr:uid="{00000000-0005-0000-0000-0000E8420000}"/>
    <cellStyle name="40% - Accent6 24 3" xfId="11400" xr:uid="{00000000-0005-0000-0000-0000E9420000}"/>
    <cellStyle name="40% - Accent6 24 3 2" xfId="22688" xr:uid="{00000000-0005-0000-0000-0000EA420000}"/>
    <cellStyle name="40% - Accent6 24 4" xfId="9406" xr:uid="{00000000-0005-0000-0000-0000EB420000}"/>
    <cellStyle name="40% - Accent6 24 4 2" xfId="20694" xr:uid="{00000000-0005-0000-0000-0000EC420000}"/>
    <cellStyle name="40% - Accent6 24 5" xfId="7412" xr:uid="{00000000-0005-0000-0000-0000ED420000}"/>
    <cellStyle name="40% - Accent6 24 5 2" xfId="18700" xr:uid="{00000000-0005-0000-0000-0000EE420000}"/>
    <cellStyle name="40% - Accent6 24 6" xfId="5418" xr:uid="{00000000-0005-0000-0000-0000EF420000}"/>
    <cellStyle name="40% - Accent6 24 6 2" xfId="16706" xr:uid="{00000000-0005-0000-0000-0000F0420000}"/>
    <cellStyle name="40% - Accent6 24 7" xfId="14712" xr:uid="{00000000-0005-0000-0000-0000F1420000}"/>
    <cellStyle name="40% - Accent6 24 8" xfId="13398" xr:uid="{00000000-0005-0000-0000-0000F2420000}"/>
    <cellStyle name="40% - Accent6 25" xfId="1463" xr:uid="{00000000-0005-0000-0000-0000F3420000}"/>
    <cellStyle name="40% - Accent6 25 2" xfId="4419" xr:uid="{00000000-0005-0000-0000-0000F4420000}"/>
    <cellStyle name="40% - Accent6 25 2 2" xfId="12398" xr:uid="{00000000-0005-0000-0000-0000F5420000}"/>
    <cellStyle name="40% - Accent6 25 2 2 2" xfId="23686" xr:uid="{00000000-0005-0000-0000-0000F6420000}"/>
    <cellStyle name="40% - Accent6 25 2 3" xfId="10404" xr:uid="{00000000-0005-0000-0000-0000F7420000}"/>
    <cellStyle name="40% - Accent6 25 2 3 2" xfId="21692" xr:uid="{00000000-0005-0000-0000-0000F8420000}"/>
    <cellStyle name="40% - Accent6 25 2 4" xfId="8410" xr:uid="{00000000-0005-0000-0000-0000F9420000}"/>
    <cellStyle name="40% - Accent6 25 2 4 2" xfId="19698" xr:uid="{00000000-0005-0000-0000-0000FA420000}"/>
    <cellStyle name="40% - Accent6 25 2 5" xfId="6416" xr:uid="{00000000-0005-0000-0000-0000FB420000}"/>
    <cellStyle name="40% - Accent6 25 2 5 2" xfId="17704" xr:uid="{00000000-0005-0000-0000-0000FC420000}"/>
    <cellStyle name="40% - Accent6 25 2 6" xfId="15710" xr:uid="{00000000-0005-0000-0000-0000FD420000}"/>
    <cellStyle name="40% - Accent6 25 3" xfId="11401" xr:uid="{00000000-0005-0000-0000-0000FE420000}"/>
    <cellStyle name="40% - Accent6 25 3 2" xfId="22689" xr:uid="{00000000-0005-0000-0000-0000FF420000}"/>
    <cellStyle name="40% - Accent6 25 4" xfId="9407" xr:uid="{00000000-0005-0000-0000-000000430000}"/>
    <cellStyle name="40% - Accent6 25 4 2" xfId="20695" xr:uid="{00000000-0005-0000-0000-000001430000}"/>
    <cellStyle name="40% - Accent6 25 5" xfId="7413" xr:uid="{00000000-0005-0000-0000-000002430000}"/>
    <cellStyle name="40% - Accent6 25 5 2" xfId="18701" xr:uid="{00000000-0005-0000-0000-000003430000}"/>
    <cellStyle name="40% - Accent6 25 6" xfId="5419" xr:uid="{00000000-0005-0000-0000-000004430000}"/>
    <cellStyle name="40% - Accent6 25 6 2" xfId="16707" xr:uid="{00000000-0005-0000-0000-000005430000}"/>
    <cellStyle name="40% - Accent6 25 7" xfId="14713" xr:uid="{00000000-0005-0000-0000-000006430000}"/>
    <cellStyle name="40% - Accent6 25 8" xfId="13399" xr:uid="{00000000-0005-0000-0000-000007430000}"/>
    <cellStyle name="40% - Accent6 26" xfId="1464" xr:uid="{00000000-0005-0000-0000-000008430000}"/>
    <cellStyle name="40% - Accent6 26 2" xfId="4420" xr:uid="{00000000-0005-0000-0000-000009430000}"/>
    <cellStyle name="40% - Accent6 26 2 2" xfId="12399" xr:uid="{00000000-0005-0000-0000-00000A430000}"/>
    <cellStyle name="40% - Accent6 26 2 2 2" xfId="23687" xr:uid="{00000000-0005-0000-0000-00000B430000}"/>
    <cellStyle name="40% - Accent6 26 2 3" xfId="10405" xr:uid="{00000000-0005-0000-0000-00000C430000}"/>
    <cellStyle name="40% - Accent6 26 2 3 2" xfId="21693" xr:uid="{00000000-0005-0000-0000-00000D430000}"/>
    <cellStyle name="40% - Accent6 26 2 4" xfId="8411" xr:uid="{00000000-0005-0000-0000-00000E430000}"/>
    <cellStyle name="40% - Accent6 26 2 4 2" xfId="19699" xr:uid="{00000000-0005-0000-0000-00000F430000}"/>
    <cellStyle name="40% - Accent6 26 2 5" xfId="6417" xr:uid="{00000000-0005-0000-0000-000010430000}"/>
    <cellStyle name="40% - Accent6 26 2 5 2" xfId="17705" xr:uid="{00000000-0005-0000-0000-000011430000}"/>
    <cellStyle name="40% - Accent6 26 2 6" xfId="15711" xr:uid="{00000000-0005-0000-0000-000012430000}"/>
    <cellStyle name="40% - Accent6 26 3" xfId="11402" xr:uid="{00000000-0005-0000-0000-000013430000}"/>
    <cellStyle name="40% - Accent6 26 3 2" xfId="22690" xr:uid="{00000000-0005-0000-0000-000014430000}"/>
    <cellStyle name="40% - Accent6 26 4" xfId="9408" xr:uid="{00000000-0005-0000-0000-000015430000}"/>
    <cellStyle name="40% - Accent6 26 4 2" xfId="20696" xr:uid="{00000000-0005-0000-0000-000016430000}"/>
    <cellStyle name="40% - Accent6 26 5" xfId="7414" xr:uid="{00000000-0005-0000-0000-000017430000}"/>
    <cellStyle name="40% - Accent6 26 5 2" xfId="18702" xr:uid="{00000000-0005-0000-0000-000018430000}"/>
    <cellStyle name="40% - Accent6 26 6" xfId="5420" xr:uid="{00000000-0005-0000-0000-000019430000}"/>
    <cellStyle name="40% - Accent6 26 6 2" xfId="16708" xr:uid="{00000000-0005-0000-0000-00001A430000}"/>
    <cellStyle name="40% - Accent6 26 7" xfId="14714" xr:uid="{00000000-0005-0000-0000-00001B430000}"/>
    <cellStyle name="40% - Accent6 26 8" xfId="13400" xr:uid="{00000000-0005-0000-0000-00001C430000}"/>
    <cellStyle name="40% - Accent6 27" xfId="1465" xr:uid="{00000000-0005-0000-0000-00001D430000}"/>
    <cellStyle name="40% - Accent6 27 2" xfId="4421" xr:uid="{00000000-0005-0000-0000-00001E430000}"/>
    <cellStyle name="40% - Accent6 27 2 2" xfId="12400" xr:uid="{00000000-0005-0000-0000-00001F430000}"/>
    <cellStyle name="40% - Accent6 27 2 2 2" xfId="23688" xr:uid="{00000000-0005-0000-0000-000020430000}"/>
    <cellStyle name="40% - Accent6 27 2 3" xfId="10406" xr:uid="{00000000-0005-0000-0000-000021430000}"/>
    <cellStyle name="40% - Accent6 27 2 3 2" xfId="21694" xr:uid="{00000000-0005-0000-0000-000022430000}"/>
    <cellStyle name="40% - Accent6 27 2 4" xfId="8412" xr:uid="{00000000-0005-0000-0000-000023430000}"/>
    <cellStyle name="40% - Accent6 27 2 4 2" xfId="19700" xr:uid="{00000000-0005-0000-0000-000024430000}"/>
    <cellStyle name="40% - Accent6 27 2 5" xfId="6418" xr:uid="{00000000-0005-0000-0000-000025430000}"/>
    <cellStyle name="40% - Accent6 27 2 5 2" xfId="17706" xr:uid="{00000000-0005-0000-0000-000026430000}"/>
    <cellStyle name="40% - Accent6 27 2 6" xfId="15712" xr:uid="{00000000-0005-0000-0000-000027430000}"/>
    <cellStyle name="40% - Accent6 27 3" xfId="11403" xr:uid="{00000000-0005-0000-0000-000028430000}"/>
    <cellStyle name="40% - Accent6 27 3 2" xfId="22691" xr:uid="{00000000-0005-0000-0000-000029430000}"/>
    <cellStyle name="40% - Accent6 27 4" xfId="9409" xr:uid="{00000000-0005-0000-0000-00002A430000}"/>
    <cellStyle name="40% - Accent6 27 4 2" xfId="20697" xr:uid="{00000000-0005-0000-0000-00002B430000}"/>
    <cellStyle name="40% - Accent6 27 5" xfId="7415" xr:uid="{00000000-0005-0000-0000-00002C430000}"/>
    <cellStyle name="40% - Accent6 27 5 2" xfId="18703" xr:uid="{00000000-0005-0000-0000-00002D430000}"/>
    <cellStyle name="40% - Accent6 27 6" xfId="5421" xr:uid="{00000000-0005-0000-0000-00002E430000}"/>
    <cellStyle name="40% - Accent6 27 6 2" xfId="16709" xr:uid="{00000000-0005-0000-0000-00002F430000}"/>
    <cellStyle name="40% - Accent6 27 7" xfId="14715" xr:uid="{00000000-0005-0000-0000-000030430000}"/>
    <cellStyle name="40% - Accent6 27 8" xfId="13401" xr:uid="{00000000-0005-0000-0000-000031430000}"/>
    <cellStyle name="40% - Accent6 28" xfId="1466" xr:uid="{00000000-0005-0000-0000-000032430000}"/>
    <cellStyle name="40% - Accent6 28 2" xfId="4422" xr:uid="{00000000-0005-0000-0000-000033430000}"/>
    <cellStyle name="40% - Accent6 28 2 2" xfId="12401" xr:uid="{00000000-0005-0000-0000-000034430000}"/>
    <cellStyle name="40% - Accent6 28 2 2 2" xfId="23689" xr:uid="{00000000-0005-0000-0000-000035430000}"/>
    <cellStyle name="40% - Accent6 28 2 3" xfId="10407" xr:uid="{00000000-0005-0000-0000-000036430000}"/>
    <cellStyle name="40% - Accent6 28 2 3 2" xfId="21695" xr:uid="{00000000-0005-0000-0000-000037430000}"/>
    <cellStyle name="40% - Accent6 28 2 4" xfId="8413" xr:uid="{00000000-0005-0000-0000-000038430000}"/>
    <cellStyle name="40% - Accent6 28 2 4 2" xfId="19701" xr:uid="{00000000-0005-0000-0000-000039430000}"/>
    <cellStyle name="40% - Accent6 28 2 5" xfId="6419" xr:uid="{00000000-0005-0000-0000-00003A430000}"/>
    <cellStyle name="40% - Accent6 28 2 5 2" xfId="17707" xr:uid="{00000000-0005-0000-0000-00003B430000}"/>
    <cellStyle name="40% - Accent6 28 2 6" xfId="15713" xr:uid="{00000000-0005-0000-0000-00003C430000}"/>
    <cellStyle name="40% - Accent6 28 3" xfId="11404" xr:uid="{00000000-0005-0000-0000-00003D430000}"/>
    <cellStyle name="40% - Accent6 28 3 2" xfId="22692" xr:uid="{00000000-0005-0000-0000-00003E430000}"/>
    <cellStyle name="40% - Accent6 28 4" xfId="9410" xr:uid="{00000000-0005-0000-0000-00003F430000}"/>
    <cellStyle name="40% - Accent6 28 4 2" xfId="20698" xr:uid="{00000000-0005-0000-0000-000040430000}"/>
    <cellStyle name="40% - Accent6 28 5" xfId="7416" xr:uid="{00000000-0005-0000-0000-000041430000}"/>
    <cellStyle name="40% - Accent6 28 5 2" xfId="18704" xr:uid="{00000000-0005-0000-0000-000042430000}"/>
    <cellStyle name="40% - Accent6 28 6" xfId="5422" xr:uid="{00000000-0005-0000-0000-000043430000}"/>
    <cellStyle name="40% - Accent6 28 6 2" xfId="16710" xr:uid="{00000000-0005-0000-0000-000044430000}"/>
    <cellStyle name="40% - Accent6 28 7" xfId="14716" xr:uid="{00000000-0005-0000-0000-000045430000}"/>
    <cellStyle name="40% - Accent6 28 8" xfId="13402" xr:uid="{00000000-0005-0000-0000-000046430000}"/>
    <cellStyle name="40% - Accent6 29" xfId="1467" xr:uid="{00000000-0005-0000-0000-000047430000}"/>
    <cellStyle name="40% - Accent6 29 2" xfId="4423" xr:uid="{00000000-0005-0000-0000-000048430000}"/>
    <cellStyle name="40% - Accent6 29 2 2" xfId="12402" xr:uid="{00000000-0005-0000-0000-000049430000}"/>
    <cellStyle name="40% - Accent6 29 2 2 2" xfId="23690" xr:uid="{00000000-0005-0000-0000-00004A430000}"/>
    <cellStyle name="40% - Accent6 29 2 3" xfId="10408" xr:uid="{00000000-0005-0000-0000-00004B430000}"/>
    <cellStyle name="40% - Accent6 29 2 3 2" xfId="21696" xr:uid="{00000000-0005-0000-0000-00004C430000}"/>
    <cellStyle name="40% - Accent6 29 2 4" xfId="8414" xr:uid="{00000000-0005-0000-0000-00004D430000}"/>
    <cellStyle name="40% - Accent6 29 2 4 2" xfId="19702" xr:uid="{00000000-0005-0000-0000-00004E430000}"/>
    <cellStyle name="40% - Accent6 29 2 5" xfId="6420" xr:uid="{00000000-0005-0000-0000-00004F430000}"/>
    <cellStyle name="40% - Accent6 29 2 5 2" xfId="17708" xr:uid="{00000000-0005-0000-0000-000050430000}"/>
    <cellStyle name="40% - Accent6 29 2 6" xfId="15714" xr:uid="{00000000-0005-0000-0000-000051430000}"/>
    <cellStyle name="40% - Accent6 29 3" xfId="11405" xr:uid="{00000000-0005-0000-0000-000052430000}"/>
    <cellStyle name="40% - Accent6 29 3 2" xfId="22693" xr:uid="{00000000-0005-0000-0000-000053430000}"/>
    <cellStyle name="40% - Accent6 29 4" xfId="9411" xr:uid="{00000000-0005-0000-0000-000054430000}"/>
    <cellStyle name="40% - Accent6 29 4 2" xfId="20699" xr:uid="{00000000-0005-0000-0000-000055430000}"/>
    <cellStyle name="40% - Accent6 29 5" xfId="7417" xr:uid="{00000000-0005-0000-0000-000056430000}"/>
    <cellStyle name="40% - Accent6 29 5 2" xfId="18705" xr:uid="{00000000-0005-0000-0000-000057430000}"/>
    <cellStyle name="40% - Accent6 29 6" xfId="5423" xr:uid="{00000000-0005-0000-0000-000058430000}"/>
    <cellStyle name="40% - Accent6 29 6 2" xfId="16711" xr:uid="{00000000-0005-0000-0000-000059430000}"/>
    <cellStyle name="40% - Accent6 29 7" xfId="14717" xr:uid="{00000000-0005-0000-0000-00005A430000}"/>
    <cellStyle name="40% - Accent6 29 8" xfId="13403" xr:uid="{00000000-0005-0000-0000-00005B430000}"/>
    <cellStyle name="40% - Accent6 3" xfId="1468" xr:uid="{00000000-0005-0000-0000-00005C430000}"/>
    <cellStyle name="40% - Accent6 3 10" xfId="24626" xr:uid="{00000000-0005-0000-0000-00005D430000}"/>
    <cellStyle name="40% - Accent6 3 11" xfId="25016" xr:uid="{00000000-0005-0000-0000-00005E430000}"/>
    <cellStyle name="40% - Accent6 3 2" xfId="4424" xr:uid="{00000000-0005-0000-0000-00005F430000}"/>
    <cellStyle name="40% - Accent6 3 2 2" xfId="12403" xr:uid="{00000000-0005-0000-0000-000060430000}"/>
    <cellStyle name="40% - Accent6 3 2 2 2" xfId="23691" xr:uid="{00000000-0005-0000-0000-000061430000}"/>
    <cellStyle name="40% - Accent6 3 2 3" xfId="10409" xr:uid="{00000000-0005-0000-0000-000062430000}"/>
    <cellStyle name="40% - Accent6 3 2 3 2" xfId="21697" xr:uid="{00000000-0005-0000-0000-000063430000}"/>
    <cellStyle name="40% - Accent6 3 2 4" xfId="8415" xr:uid="{00000000-0005-0000-0000-000064430000}"/>
    <cellStyle name="40% - Accent6 3 2 4 2" xfId="19703" xr:uid="{00000000-0005-0000-0000-000065430000}"/>
    <cellStyle name="40% - Accent6 3 2 5" xfId="6421" xr:uid="{00000000-0005-0000-0000-000066430000}"/>
    <cellStyle name="40% - Accent6 3 2 5 2" xfId="17709" xr:uid="{00000000-0005-0000-0000-000067430000}"/>
    <cellStyle name="40% - Accent6 3 2 6" xfId="15715" xr:uid="{00000000-0005-0000-0000-000068430000}"/>
    <cellStyle name="40% - Accent6 3 2 7" xfId="24387" xr:uid="{00000000-0005-0000-0000-000069430000}"/>
    <cellStyle name="40% - Accent6 3 2 8" xfId="24851" xr:uid="{00000000-0005-0000-0000-00006A430000}"/>
    <cellStyle name="40% - Accent6 3 2 9" xfId="25218" xr:uid="{00000000-0005-0000-0000-00006B430000}"/>
    <cellStyle name="40% - Accent6 3 3" xfId="11406" xr:uid="{00000000-0005-0000-0000-00006C430000}"/>
    <cellStyle name="40% - Accent6 3 3 2" xfId="22694" xr:uid="{00000000-0005-0000-0000-00006D430000}"/>
    <cellStyle name="40% - Accent6 3 4" xfId="9412" xr:uid="{00000000-0005-0000-0000-00006E430000}"/>
    <cellStyle name="40% - Accent6 3 4 2" xfId="20700" xr:uid="{00000000-0005-0000-0000-00006F430000}"/>
    <cellStyle name="40% - Accent6 3 5" xfId="7418" xr:uid="{00000000-0005-0000-0000-000070430000}"/>
    <cellStyle name="40% - Accent6 3 5 2" xfId="18706" xr:uid="{00000000-0005-0000-0000-000071430000}"/>
    <cellStyle name="40% - Accent6 3 6" xfId="5424" xr:uid="{00000000-0005-0000-0000-000072430000}"/>
    <cellStyle name="40% - Accent6 3 6 2" xfId="16712" xr:uid="{00000000-0005-0000-0000-000073430000}"/>
    <cellStyle name="40% - Accent6 3 7" xfId="14718" xr:uid="{00000000-0005-0000-0000-000074430000}"/>
    <cellStyle name="40% - Accent6 3 8" xfId="13404" xr:uid="{00000000-0005-0000-0000-000075430000}"/>
    <cellStyle name="40% - Accent6 3 9" xfId="23999" xr:uid="{00000000-0005-0000-0000-000076430000}"/>
    <cellStyle name="40% - Accent6 30" xfId="1469" xr:uid="{00000000-0005-0000-0000-000077430000}"/>
    <cellStyle name="40% - Accent6 30 2" xfId="4425" xr:uid="{00000000-0005-0000-0000-000078430000}"/>
    <cellStyle name="40% - Accent6 30 2 2" xfId="12404" xr:uid="{00000000-0005-0000-0000-000079430000}"/>
    <cellStyle name="40% - Accent6 30 2 2 2" xfId="23692" xr:uid="{00000000-0005-0000-0000-00007A430000}"/>
    <cellStyle name="40% - Accent6 30 2 3" xfId="10410" xr:uid="{00000000-0005-0000-0000-00007B430000}"/>
    <cellStyle name="40% - Accent6 30 2 3 2" xfId="21698" xr:uid="{00000000-0005-0000-0000-00007C430000}"/>
    <cellStyle name="40% - Accent6 30 2 4" xfId="8416" xr:uid="{00000000-0005-0000-0000-00007D430000}"/>
    <cellStyle name="40% - Accent6 30 2 4 2" xfId="19704" xr:uid="{00000000-0005-0000-0000-00007E430000}"/>
    <cellStyle name="40% - Accent6 30 2 5" xfId="6422" xr:uid="{00000000-0005-0000-0000-00007F430000}"/>
    <cellStyle name="40% - Accent6 30 2 5 2" xfId="17710" xr:uid="{00000000-0005-0000-0000-000080430000}"/>
    <cellStyle name="40% - Accent6 30 2 6" xfId="15716" xr:uid="{00000000-0005-0000-0000-000081430000}"/>
    <cellStyle name="40% - Accent6 30 3" xfId="11407" xr:uid="{00000000-0005-0000-0000-000082430000}"/>
    <cellStyle name="40% - Accent6 30 3 2" xfId="22695" xr:uid="{00000000-0005-0000-0000-000083430000}"/>
    <cellStyle name="40% - Accent6 30 4" xfId="9413" xr:uid="{00000000-0005-0000-0000-000084430000}"/>
    <cellStyle name="40% - Accent6 30 4 2" xfId="20701" xr:uid="{00000000-0005-0000-0000-000085430000}"/>
    <cellStyle name="40% - Accent6 30 5" xfId="7419" xr:uid="{00000000-0005-0000-0000-000086430000}"/>
    <cellStyle name="40% - Accent6 30 5 2" xfId="18707" xr:uid="{00000000-0005-0000-0000-000087430000}"/>
    <cellStyle name="40% - Accent6 30 6" xfId="5425" xr:uid="{00000000-0005-0000-0000-000088430000}"/>
    <cellStyle name="40% - Accent6 30 6 2" xfId="16713" xr:uid="{00000000-0005-0000-0000-000089430000}"/>
    <cellStyle name="40% - Accent6 30 7" xfId="14719" xr:uid="{00000000-0005-0000-0000-00008A430000}"/>
    <cellStyle name="40% - Accent6 30 8" xfId="13405" xr:uid="{00000000-0005-0000-0000-00008B430000}"/>
    <cellStyle name="40% - Accent6 31" xfId="1470" xr:uid="{00000000-0005-0000-0000-00008C430000}"/>
    <cellStyle name="40% - Accent6 31 2" xfId="4426" xr:uid="{00000000-0005-0000-0000-00008D430000}"/>
    <cellStyle name="40% - Accent6 31 2 2" xfId="12405" xr:uid="{00000000-0005-0000-0000-00008E430000}"/>
    <cellStyle name="40% - Accent6 31 2 2 2" xfId="23693" xr:uid="{00000000-0005-0000-0000-00008F430000}"/>
    <cellStyle name="40% - Accent6 31 2 3" xfId="10411" xr:uid="{00000000-0005-0000-0000-000090430000}"/>
    <cellStyle name="40% - Accent6 31 2 3 2" xfId="21699" xr:uid="{00000000-0005-0000-0000-000091430000}"/>
    <cellStyle name="40% - Accent6 31 2 4" xfId="8417" xr:uid="{00000000-0005-0000-0000-000092430000}"/>
    <cellStyle name="40% - Accent6 31 2 4 2" xfId="19705" xr:uid="{00000000-0005-0000-0000-000093430000}"/>
    <cellStyle name="40% - Accent6 31 2 5" xfId="6423" xr:uid="{00000000-0005-0000-0000-000094430000}"/>
    <cellStyle name="40% - Accent6 31 2 5 2" xfId="17711" xr:uid="{00000000-0005-0000-0000-000095430000}"/>
    <cellStyle name="40% - Accent6 31 2 6" xfId="15717" xr:uid="{00000000-0005-0000-0000-000096430000}"/>
    <cellStyle name="40% - Accent6 31 3" xfId="11408" xr:uid="{00000000-0005-0000-0000-000097430000}"/>
    <cellStyle name="40% - Accent6 31 3 2" xfId="22696" xr:uid="{00000000-0005-0000-0000-000098430000}"/>
    <cellStyle name="40% - Accent6 31 4" xfId="9414" xr:uid="{00000000-0005-0000-0000-000099430000}"/>
    <cellStyle name="40% - Accent6 31 4 2" xfId="20702" xr:uid="{00000000-0005-0000-0000-00009A430000}"/>
    <cellStyle name="40% - Accent6 31 5" xfId="7420" xr:uid="{00000000-0005-0000-0000-00009B430000}"/>
    <cellStyle name="40% - Accent6 31 5 2" xfId="18708" xr:uid="{00000000-0005-0000-0000-00009C430000}"/>
    <cellStyle name="40% - Accent6 31 6" xfId="5426" xr:uid="{00000000-0005-0000-0000-00009D430000}"/>
    <cellStyle name="40% - Accent6 31 6 2" xfId="16714" xr:uid="{00000000-0005-0000-0000-00009E430000}"/>
    <cellStyle name="40% - Accent6 31 7" xfId="14720" xr:uid="{00000000-0005-0000-0000-00009F430000}"/>
    <cellStyle name="40% - Accent6 31 8" xfId="13406" xr:uid="{00000000-0005-0000-0000-0000A0430000}"/>
    <cellStyle name="40% - Accent6 32" xfId="1471" xr:uid="{00000000-0005-0000-0000-0000A1430000}"/>
    <cellStyle name="40% - Accent6 32 2" xfId="4427" xr:uid="{00000000-0005-0000-0000-0000A2430000}"/>
    <cellStyle name="40% - Accent6 32 2 2" xfId="12406" xr:uid="{00000000-0005-0000-0000-0000A3430000}"/>
    <cellStyle name="40% - Accent6 32 2 2 2" xfId="23694" xr:uid="{00000000-0005-0000-0000-0000A4430000}"/>
    <cellStyle name="40% - Accent6 32 2 3" xfId="10412" xr:uid="{00000000-0005-0000-0000-0000A5430000}"/>
    <cellStyle name="40% - Accent6 32 2 3 2" xfId="21700" xr:uid="{00000000-0005-0000-0000-0000A6430000}"/>
    <cellStyle name="40% - Accent6 32 2 4" xfId="8418" xr:uid="{00000000-0005-0000-0000-0000A7430000}"/>
    <cellStyle name="40% - Accent6 32 2 4 2" xfId="19706" xr:uid="{00000000-0005-0000-0000-0000A8430000}"/>
    <cellStyle name="40% - Accent6 32 2 5" xfId="6424" xr:uid="{00000000-0005-0000-0000-0000A9430000}"/>
    <cellStyle name="40% - Accent6 32 2 5 2" xfId="17712" xr:uid="{00000000-0005-0000-0000-0000AA430000}"/>
    <cellStyle name="40% - Accent6 32 2 6" xfId="15718" xr:uid="{00000000-0005-0000-0000-0000AB430000}"/>
    <cellStyle name="40% - Accent6 32 3" xfId="11409" xr:uid="{00000000-0005-0000-0000-0000AC430000}"/>
    <cellStyle name="40% - Accent6 32 3 2" xfId="22697" xr:uid="{00000000-0005-0000-0000-0000AD430000}"/>
    <cellStyle name="40% - Accent6 32 4" xfId="9415" xr:uid="{00000000-0005-0000-0000-0000AE430000}"/>
    <cellStyle name="40% - Accent6 32 4 2" xfId="20703" xr:uid="{00000000-0005-0000-0000-0000AF430000}"/>
    <cellStyle name="40% - Accent6 32 5" xfId="7421" xr:uid="{00000000-0005-0000-0000-0000B0430000}"/>
    <cellStyle name="40% - Accent6 32 5 2" xfId="18709" xr:uid="{00000000-0005-0000-0000-0000B1430000}"/>
    <cellStyle name="40% - Accent6 32 6" xfId="5427" xr:uid="{00000000-0005-0000-0000-0000B2430000}"/>
    <cellStyle name="40% - Accent6 32 6 2" xfId="16715" xr:uid="{00000000-0005-0000-0000-0000B3430000}"/>
    <cellStyle name="40% - Accent6 32 7" xfId="14721" xr:uid="{00000000-0005-0000-0000-0000B4430000}"/>
    <cellStyle name="40% - Accent6 32 8" xfId="13407" xr:uid="{00000000-0005-0000-0000-0000B5430000}"/>
    <cellStyle name="40% - Accent6 33" xfId="1472" xr:uid="{00000000-0005-0000-0000-0000B6430000}"/>
    <cellStyle name="40% - Accent6 33 2" xfId="4428" xr:uid="{00000000-0005-0000-0000-0000B7430000}"/>
    <cellStyle name="40% - Accent6 33 2 2" xfId="12407" xr:uid="{00000000-0005-0000-0000-0000B8430000}"/>
    <cellStyle name="40% - Accent6 33 2 2 2" xfId="23695" xr:uid="{00000000-0005-0000-0000-0000B9430000}"/>
    <cellStyle name="40% - Accent6 33 2 3" xfId="10413" xr:uid="{00000000-0005-0000-0000-0000BA430000}"/>
    <cellStyle name="40% - Accent6 33 2 3 2" xfId="21701" xr:uid="{00000000-0005-0000-0000-0000BB430000}"/>
    <cellStyle name="40% - Accent6 33 2 4" xfId="8419" xr:uid="{00000000-0005-0000-0000-0000BC430000}"/>
    <cellStyle name="40% - Accent6 33 2 4 2" xfId="19707" xr:uid="{00000000-0005-0000-0000-0000BD430000}"/>
    <cellStyle name="40% - Accent6 33 2 5" xfId="6425" xr:uid="{00000000-0005-0000-0000-0000BE430000}"/>
    <cellStyle name="40% - Accent6 33 2 5 2" xfId="17713" xr:uid="{00000000-0005-0000-0000-0000BF430000}"/>
    <cellStyle name="40% - Accent6 33 2 6" xfId="15719" xr:uid="{00000000-0005-0000-0000-0000C0430000}"/>
    <cellStyle name="40% - Accent6 33 3" xfId="11410" xr:uid="{00000000-0005-0000-0000-0000C1430000}"/>
    <cellStyle name="40% - Accent6 33 3 2" xfId="22698" xr:uid="{00000000-0005-0000-0000-0000C2430000}"/>
    <cellStyle name="40% - Accent6 33 4" xfId="9416" xr:uid="{00000000-0005-0000-0000-0000C3430000}"/>
    <cellStyle name="40% - Accent6 33 4 2" xfId="20704" xr:uid="{00000000-0005-0000-0000-0000C4430000}"/>
    <cellStyle name="40% - Accent6 33 5" xfId="7422" xr:uid="{00000000-0005-0000-0000-0000C5430000}"/>
    <cellStyle name="40% - Accent6 33 5 2" xfId="18710" xr:uid="{00000000-0005-0000-0000-0000C6430000}"/>
    <cellStyle name="40% - Accent6 33 6" xfId="5428" xr:uid="{00000000-0005-0000-0000-0000C7430000}"/>
    <cellStyle name="40% - Accent6 33 6 2" xfId="16716" xr:uid="{00000000-0005-0000-0000-0000C8430000}"/>
    <cellStyle name="40% - Accent6 33 7" xfId="14722" xr:uid="{00000000-0005-0000-0000-0000C9430000}"/>
    <cellStyle name="40% - Accent6 33 8" xfId="13408" xr:uid="{00000000-0005-0000-0000-0000CA430000}"/>
    <cellStyle name="40% - Accent6 34" xfId="1473" xr:uid="{00000000-0005-0000-0000-0000CB430000}"/>
    <cellStyle name="40% - Accent6 34 2" xfId="4429" xr:uid="{00000000-0005-0000-0000-0000CC430000}"/>
    <cellStyle name="40% - Accent6 34 2 2" xfId="12408" xr:uid="{00000000-0005-0000-0000-0000CD430000}"/>
    <cellStyle name="40% - Accent6 34 2 2 2" xfId="23696" xr:uid="{00000000-0005-0000-0000-0000CE430000}"/>
    <cellStyle name="40% - Accent6 34 2 3" xfId="10414" xr:uid="{00000000-0005-0000-0000-0000CF430000}"/>
    <cellStyle name="40% - Accent6 34 2 3 2" xfId="21702" xr:uid="{00000000-0005-0000-0000-0000D0430000}"/>
    <cellStyle name="40% - Accent6 34 2 4" xfId="8420" xr:uid="{00000000-0005-0000-0000-0000D1430000}"/>
    <cellStyle name="40% - Accent6 34 2 4 2" xfId="19708" xr:uid="{00000000-0005-0000-0000-0000D2430000}"/>
    <cellStyle name="40% - Accent6 34 2 5" xfId="6426" xr:uid="{00000000-0005-0000-0000-0000D3430000}"/>
    <cellStyle name="40% - Accent6 34 2 5 2" xfId="17714" xr:uid="{00000000-0005-0000-0000-0000D4430000}"/>
    <cellStyle name="40% - Accent6 34 2 6" xfId="15720" xr:uid="{00000000-0005-0000-0000-0000D5430000}"/>
    <cellStyle name="40% - Accent6 34 3" xfId="11411" xr:uid="{00000000-0005-0000-0000-0000D6430000}"/>
    <cellStyle name="40% - Accent6 34 3 2" xfId="22699" xr:uid="{00000000-0005-0000-0000-0000D7430000}"/>
    <cellStyle name="40% - Accent6 34 4" xfId="9417" xr:uid="{00000000-0005-0000-0000-0000D8430000}"/>
    <cellStyle name="40% - Accent6 34 4 2" xfId="20705" xr:uid="{00000000-0005-0000-0000-0000D9430000}"/>
    <cellStyle name="40% - Accent6 34 5" xfId="7423" xr:uid="{00000000-0005-0000-0000-0000DA430000}"/>
    <cellStyle name="40% - Accent6 34 5 2" xfId="18711" xr:uid="{00000000-0005-0000-0000-0000DB430000}"/>
    <cellStyle name="40% - Accent6 34 6" xfId="5429" xr:uid="{00000000-0005-0000-0000-0000DC430000}"/>
    <cellStyle name="40% - Accent6 34 6 2" xfId="16717" xr:uid="{00000000-0005-0000-0000-0000DD430000}"/>
    <cellStyle name="40% - Accent6 34 7" xfId="14723" xr:uid="{00000000-0005-0000-0000-0000DE430000}"/>
    <cellStyle name="40% - Accent6 34 8" xfId="13409" xr:uid="{00000000-0005-0000-0000-0000DF430000}"/>
    <cellStyle name="40% - Accent6 35" xfId="1474" xr:uid="{00000000-0005-0000-0000-0000E0430000}"/>
    <cellStyle name="40% - Accent6 35 2" xfId="4430" xr:uid="{00000000-0005-0000-0000-0000E1430000}"/>
    <cellStyle name="40% - Accent6 35 2 2" xfId="12409" xr:uid="{00000000-0005-0000-0000-0000E2430000}"/>
    <cellStyle name="40% - Accent6 35 2 2 2" xfId="23697" xr:uid="{00000000-0005-0000-0000-0000E3430000}"/>
    <cellStyle name="40% - Accent6 35 2 3" xfId="10415" xr:uid="{00000000-0005-0000-0000-0000E4430000}"/>
    <cellStyle name="40% - Accent6 35 2 3 2" xfId="21703" xr:uid="{00000000-0005-0000-0000-0000E5430000}"/>
    <cellStyle name="40% - Accent6 35 2 4" xfId="8421" xr:uid="{00000000-0005-0000-0000-0000E6430000}"/>
    <cellStyle name="40% - Accent6 35 2 4 2" xfId="19709" xr:uid="{00000000-0005-0000-0000-0000E7430000}"/>
    <cellStyle name="40% - Accent6 35 2 5" xfId="6427" xr:uid="{00000000-0005-0000-0000-0000E8430000}"/>
    <cellStyle name="40% - Accent6 35 2 5 2" xfId="17715" xr:uid="{00000000-0005-0000-0000-0000E9430000}"/>
    <cellStyle name="40% - Accent6 35 2 6" xfId="15721" xr:uid="{00000000-0005-0000-0000-0000EA430000}"/>
    <cellStyle name="40% - Accent6 35 3" xfId="11412" xr:uid="{00000000-0005-0000-0000-0000EB430000}"/>
    <cellStyle name="40% - Accent6 35 3 2" xfId="22700" xr:uid="{00000000-0005-0000-0000-0000EC430000}"/>
    <cellStyle name="40% - Accent6 35 4" xfId="9418" xr:uid="{00000000-0005-0000-0000-0000ED430000}"/>
    <cellStyle name="40% - Accent6 35 4 2" xfId="20706" xr:uid="{00000000-0005-0000-0000-0000EE430000}"/>
    <cellStyle name="40% - Accent6 35 5" xfId="7424" xr:uid="{00000000-0005-0000-0000-0000EF430000}"/>
    <cellStyle name="40% - Accent6 35 5 2" xfId="18712" xr:uid="{00000000-0005-0000-0000-0000F0430000}"/>
    <cellStyle name="40% - Accent6 35 6" xfId="5430" xr:uid="{00000000-0005-0000-0000-0000F1430000}"/>
    <cellStyle name="40% - Accent6 35 6 2" xfId="16718" xr:uid="{00000000-0005-0000-0000-0000F2430000}"/>
    <cellStyle name="40% - Accent6 35 7" xfId="14724" xr:uid="{00000000-0005-0000-0000-0000F3430000}"/>
    <cellStyle name="40% - Accent6 35 8" xfId="13410" xr:uid="{00000000-0005-0000-0000-0000F4430000}"/>
    <cellStyle name="40% - Accent6 36" xfId="1475" xr:uid="{00000000-0005-0000-0000-0000F5430000}"/>
    <cellStyle name="40% - Accent6 36 2" xfId="4431" xr:uid="{00000000-0005-0000-0000-0000F6430000}"/>
    <cellStyle name="40% - Accent6 36 2 2" xfId="12410" xr:uid="{00000000-0005-0000-0000-0000F7430000}"/>
    <cellStyle name="40% - Accent6 36 2 2 2" xfId="23698" xr:uid="{00000000-0005-0000-0000-0000F8430000}"/>
    <cellStyle name="40% - Accent6 36 2 3" xfId="10416" xr:uid="{00000000-0005-0000-0000-0000F9430000}"/>
    <cellStyle name="40% - Accent6 36 2 3 2" xfId="21704" xr:uid="{00000000-0005-0000-0000-0000FA430000}"/>
    <cellStyle name="40% - Accent6 36 2 4" xfId="8422" xr:uid="{00000000-0005-0000-0000-0000FB430000}"/>
    <cellStyle name="40% - Accent6 36 2 4 2" xfId="19710" xr:uid="{00000000-0005-0000-0000-0000FC430000}"/>
    <cellStyle name="40% - Accent6 36 2 5" xfId="6428" xr:uid="{00000000-0005-0000-0000-0000FD430000}"/>
    <cellStyle name="40% - Accent6 36 2 5 2" xfId="17716" xr:uid="{00000000-0005-0000-0000-0000FE430000}"/>
    <cellStyle name="40% - Accent6 36 2 6" xfId="15722" xr:uid="{00000000-0005-0000-0000-0000FF430000}"/>
    <cellStyle name="40% - Accent6 36 3" xfId="11413" xr:uid="{00000000-0005-0000-0000-000000440000}"/>
    <cellStyle name="40% - Accent6 36 3 2" xfId="22701" xr:uid="{00000000-0005-0000-0000-000001440000}"/>
    <cellStyle name="40% - Accent6 36 4" xfId="9419" xr:uid="{00000000-0005-0000-0000-000002440000}"/>
    <cellStyle name="40% - Accent6 36 4 2" xfId="20707" xr:uid="{00000000-0005-0000-0000-000003440000}"/>
    <cellStyle name="40% - Accent6 36 5" xfId="7425" xr:uid="{00000000-0005-0000-0000-000004440000}"/>
    <cellStyle name="40% - Accent6 36 5 2" xfId="18713" xr:uid="{00000000-0005-0000-0000-000005440000}"/>
    <cellStyle name="40% - Accent6 36 6" xfId="5431" xr:uid="{00000000-0005-0000-0000-000006440000}"/>
    <cellStyle name="40% - Accent6 36 6 2" xfId="16719" xr:uid="{00000000-0005-0000-0000-000007440000}"/>
    <cellStyle name="40% - Accent6 36 7" xfId="14725" xr:uid="{00000000-0005-0000-0000-000008440000}"/>
    <cellStyle name="40% - Accent6 36 8" xfId="13411" xr:uid="{00000000-0005-0000-0000-000009440000}"/>
    <cellStyle name="40% - Accent6 37" xfId="1476" xr:uid="{00000000-0005-0000-0000-00000A440000}"/>
    <cellStyle name="40% - Accent6 37 2" xfId="4432" xr:uid="{00000000-0005-0000-0000-00000B440000}"/>
    <cellStyle name="40% - Accent6 37 2 2" xfId="12411" xr:uid="{00000000-0005-0000-0000-00000C440000}"/>
    <cellStyle name="40% - Accent6 37 2 2 2" xfId="23699" xr:uid="{00000000-0005-0000-0000-00000D440000}"/>
    <cellStyle name="40% - Accent6 37 2 3" xfId="10417" xr:uid="{00000000-0005-0000-0000-00000E440000}"/>
    <cellStyle name="40% - Accent6 37 2 3 2" xfId="21705" xr:uid="{00000000-0005-0000-0000-00000F440000}"/>
    <cellStyle name="40% - Accent6 37 2 4" xfId="8423" xr:uid="{00000000-0005-0000-0000-000010440000}"/>
    <cellStyle name="40% - Accent6 37 2 4 2" xfId="19711" xr:uid="{00000000-0005-0000-0000-000011440000}"/>
    <cellStyle name="40% - Accent6 37 2 5" xfId="6429" xr:uid="{00000000-0005-0000-0000-000012440000}"/>
    <cellStyle name="40% - Accent6 37 2 5 2" xfId="17717" xr:uid="{00000000-0005-0000-0000-000013440000}"/>
    <cellStyle name="40% - Accent6 37 2 6" xfId="15723" xr:uid="{00000000-0005-0000-0000-000014440000}"/>
    <cellStyle name="40% - Accent6 37 3" xfId="11414" xr:uid="{00000000-0005-0000-0000-000015440000}"/>
    <cellStyle name="40% - Accent6 37 3 2" xfId="22702" xr:uid="{00000000-0005-0000-0000-000016440000}"/>
    <cellStyle name="40% - Accent6 37 4" xfId="9420" xr:uid="{00000000-0005-0000-0000-000017440000}"/>
    <cellStyle name="40% - Accent6 37 4 2" xfId="20708" xr:uid="{00000000-0005-0000-0000-000018440000}"/>
    <cellStyle name="40% - Accent6 37 5" xfId="7426" xr:uid="{00000000-0005-0000-0000-000019440000}"/>
    <cellStyle name="40% - Accent6 37 5 2" xfId="18714" xr:uid="{00000000-0005-0000-0000-00001A440000}"/>
    <cellStyle name="40% - Accent6 37 6" xfId="5432" xr:uid="{00000000-0005-0000-0000-00001B440000}"/>
    <cellStyle name="40% - Accent6 37 6 2" xfId="16720" xr:uid="{00000000-0005-0000-0000-00001C440000}"/>
    <cellStyle name="40% - Accent6 37 7" xfId="14726" xr:uid="{00000000-0005-0000-0000-00001D440000}"/>
    <cellStyle name="40% - Accent6 37 8" xfId="13412" xr:uid="{00000000-0005-0000-0000-00001E440000}"/>
    <cellStyle name="40% - Accent6 38" xfId="1477" xr:uid="{00000000-0005-0000-0000-00001F440000}"/>
    <cellStyle name="40% - Accent6 38 2" xfId="4433" xr:uid="{00000000-0005-0000-0000-000020440000}"/>
    <cellStyle name="40% - Accent6 38 2 2" xfId="12412" xr:uid="{00000000-0005-0000-0000-000021440000}"/>
    <cellStyle name="40% - Accent6 38 2 2 2" xfId="23700" xr:uid="{00000000-0005-0000-0000-000022440000}"/>
    <cellStyle name="40% - Accent6 38 2 3" xfId="10418" xr:uid="{00000000-0005-0000-0000-000023440000}"/>
    <cellStyle name="40% - Accent6 38 2 3 2" xfId="21706" xr:uid="{00000000-0005-0000-0000-000024440000}"/>
    <cellStyle name="40% - Accent6 38 2 4" xfId="8424" xr:uid="{00000000-0005-0000-0000-000025440000}"/>
    <cellStyle name="40% - Accent6 38 2 4 2" xfId="19712" xr:uid="{00000000-0005-0000-0000-000026440000}"/>
    <cellStyle name="40% - Accent6 38 2 5" xfId="6430" xr:uid="{00000000-0005-0000-0000-000027440000}"/>
    <cellStyle name="40% - Accent6 38 2 5 2" xfId="17718" xr:uid="{00000000-0005-0000-0000-000028440000}"/>
    <cellStyle name="40% - Accent6 38 2 6" xfId="15724" xr:uid="{00000000-0005-0000-0000-000029440000}"/>
    <cellStyle name="40% - Accent6 38 3" xfId="11415" xr:uid="{00000000-0005-0000-0000-00002A440000}"/>
    <cellStyle name="40% - Accent6 38 3 2" xfId="22703" xr:uid="{00000000-0005-0000-0000-00002B440000}"/>
    <cellStyle name="40% - Accent6 38 4" xfId="9421" xr:uid="{00000000-0005-0000-0000-00002C440000}"/>
    <cellStyle name="40% - Accent6 38 4 2" xfId="20709" xr:uid="{00000000-0005-0000-0000-00002D440000}"/>
    <cellStyle name="40% - Accent6 38 5" xfId="7427" xr:uid="{00000000-0005-0000-0000-00002E440000}"/>
    <cellStyle name="40% - Accent6 38 5 2" xfId="18715" xr:uid="{00000000-0005-0000-0000-00002F440000}"/>
    <cellStyle name="40% - Accent6 38 6" xfId="5433" xr:uid="{00000000-0005-0000-0000-000030440000}"/>
    <cellStyle name="40% - Accent6 38 6 2" xfId="16721" xr:uid="{00000000-0005-0000-0000-000031440000}"/>
    <cellStyle name="40% - Accent6 38 7" xfId="14727" xr:uid="{00000000-0005-0000-0000-000032440000}"/>
    <cellStyle name="40% - Accent6 38 8" xfId="13413" xr:uid="{00000000-0005-0000-0000-000033440000}"/>
    <cellStyle name="40% - Accent6 39" xfId="1478" xr:uid="{00000000-0005-0000-0000-000034440000}"/>
    <cellStyle name="40% - Accent6 39 2" xfId="4434" xr:uid="{00000000-0005-0000-0000-000035440000}"/>
    <cellStyle name="40% - Accent6 39 2 2" xfId="12413" xr:uid="{00000000-0005-0000-0000-000036440000}"/>
    <cellStyle name="40% - Accent6 39 2 2 2" xfId="23701" xr:uid="{00000000-0005-0000-0000-000037440000}"/>
    <cellStyle name="40% - Accent6 39 2 3" xfId="10419" xr:uid="{00000000-0005-0000-0000-000038440000}"/>
    <cellStyle name="40% - Accent6 39 2 3 2" xfId="21707" xr:uid="{00000000-0005-0000-0000-000039440000}"/>
    <cellStyle name="40% - Accent6 39 2 4" xfId="8425" xr:uid="{00000000-0005-0000-0000-00003A440000}"/>
    <cellStyle name="40% - Accent6 39 2 4 2" xfId="19713" xr:uid="{00000000-0005-0000-0000-00003B440000}"/>
    <cellStyle name="40% - Accent6 39 2 5" xfId="6431" xr:uid="{00000000-0005-0000-0000-00003C440000}"/>
    <cellStyle name="40% - Accent6 39 2 5 2" xfId="17719" xr:uid="{00000000-0005-0000-0000-00003D440000}"/>
    <cellStyle name="40% - Accent6 39 2 6" xfId="15725" xr:uid="{00000000-0005-0000-0000-00003E440000}"/>
    <cellStyle name="40% - Accent6 39 3" xfId="11416" xr:uid="{00000000-0005-0000-0000-00003F440000}"/>
    <cellStyle name="40% - Accent6 39 3 2" xfId="22704" xr:uid="{00000000-0005-0000-0000-000040440000}"/>
    <cellStyle name="40% - Accent6 39 4" xfId="9422" xr:uid="{00000000-0005-0000-0000-000041440000}"/>
    <cellStyle name="40% - Accent6 39 4 2" xfId="20710" xr:uid="{00000000-0005-0000-0000-000042440000}"/>
    <cellStyle name="40% - Accent6 39 5" xfId="7428" xr:uid="{00000000-0005-0000-0000-000043440000}"/>
    <cellStyle name="40% - Accent6 39 5 2" xfId="18716" xr:uid="{00000000-0005-0000-0000-000044440000}"/>
    <cellStyle name="40% - Accent6 39 6" xfId="5434" xr:uid="{00000000-0005-0000-0000-000045440000}"/>
    <cellStyle name="40% - Accent6 39 6 2" xfId="16722" xr:uid="{00000000-0005-0000-0000-000046440000}"/>
    <cellStyle name="40% - Accent6 39 7" xfId="14728" xr:uid="{00000000-0005-0000-0000-000047440000}"/>
    <cellStyle name="40% - Accent6 39 8" xfId="13414" xr:uid="{00000000-0005-0000-0000-000048440000}"/>
    <cellStyle name="40% - Accent6 4" xfId="1479" xr:uid="{00000000-0005-0000-0000-000049440000}"/>
    <cellStyle name="40% - Accent6 4 10" xfId="24627" xr:uid="{00000000-0005-0000-0000-00004A440000}"/>
    <cellStyle name="40% - Accent6 4 11" xfId="25017" xr:uid="{00000000-0005-0000-0000-00004B440000}"/>
    <cellStyle name="40% - Accent6 4 2" xfId="4435" xr:uid="{00000000-0005-0000-0000-00004C440000}"/>
    <cellStyle name="40% - Accent6 4 2 2" xfId="12414" xr:uid="{00000000-0005-0000-0000-00004D440000}"/>
    <cellStyle name="40% - Accent6 4 2 2 2" xfId="23702" xr:uid="{00000000-0005-0000-0000-00004E440000}"/>
    <cellStyle name="40% - Accent6 4 2 3" xfId="10420" xr:uid="{00000000-0005-0000-0000-00004F440000}"/>
    <cellStyle name="40% - Accent6 4 2 3 2" xfId="21708" xr:uid="{00000000-0005-0000-0000-000050440000}"/>
    <cellStyle name="40% - Accent6 4 2 4" xfId="8426" xr:uid="{00000000-0005-0000-0000-000051440000}"/>
    <cellStyle name="40% - Accent6 4 2 4 2" xfId="19714" xr:uid="{00000000-0005-0000-0000-000052440000}"/>
    <cellStyle name="40% - Accent6 4 2 5" xfId="6432" xr:uid="{00000000-0005-0000-0000-000053440000}"/>
    <cellStyle name="40% - Accent6 4 2 5 2" xfId="17720" xr:uid="{00000000-0005-0000-0000-000054440000}"/>
    <cellStyle name="40% - Accent6 4 2 6" xfId="15726" xr:uid="{00000000-0005-0000-0000-000055440000}"/>
    <cellStyle name="40% - Accent6 4 2 7" xfId="24388" xr:uid="{00000000-0005-0000-0000-000056440000}"/>
    <cellStyle name="40% - Accent6 4 2 8" xfId="24852" xr:uid="{00000000-0005-0000-0000-000057440000}"/>
    <cellStyle name="40% - Accent6 4 2 9" xfId="25219" xr:uid="{00000000-0005-0000-0000-000058440000}"/>
    <cellStyle name="40% - Accent6 4 3" xfId="11417" xr:uid="{00000000-0005-0000-0000-000059440000}"/>
    <cellStyle name="40% - Accent6 4 3 2" xfId="22705" xr:uid="{00000000-0005-0000-0000-00005A440000}"/>
    <cellStyle name="40% - Accent6 4 4" xfId="9423" xr:uid="{00000000-0005-0000-0000-00005B440000}"/>
    <cellStyle name="40% - Accent6 4 4 2" xfId="20711" xr:uid="{00000000-0005-0000-0000-00005C440000}"/>
    <cellStyle name="40% - Accent6 4 5" xfId="7429" xr:uid="{00000000-0005-0000-0000-00005D440000}"/>
    <cellStyle name="40% - Accent6 4 5 2" xfId="18717" xr:uid="{00000000-0005-0000-0000-00005E440000}"/>
    <cellStyle name="40% - Accent6 4 6" xfId="5435" xr:uid="{00000000-0005-0000-0000-00005F440000}"/>
    <cellStyle name="40% - Accent6 4 6 2" xfId="16723" xr:uid="{00000000-0005-0000-0000-000060440000}"/>
    <cellStyle name="40% - Accent6 4 7" xfId="14729" xr:uid="{00000000-0005-0000-0000-000061440000}"/>
    <cellStyle name="40% - Accent6 4 8" xfId="13415" xr:uid="{00000000-0005-0000-0000-000062440000}"/>
    <cellStyle name="40% - Accent6 4 9" xfId="24000" xr:uid="{00000000-0005-0000-0000-000063440000}"/>
    <cellStyle name="40% - Accent6 40" xfId="1480" xr:uid="{00000000-0005-0000-0000-000064440000}"/>
    <cellStyle name="40% - Accent6 40 2" xfId="4436" xr:uid="{00000000-0005-0000-0000-000065440000}"/>
    <cellStyle name="40% - Accent6 40 2 2" xfId="12415" xr:uid="{00000000-0005-0000-0000-000066440000}"/>
    <cellStyle name="40% - Accent6 40 2 2 2" xfId="23703" xr:uid="{00000000-0005-0000-0000-000067440000}"/>
    <cellStyle name="40% - Accent6 40 2 3" xfId="10421" xr:uid="{00000000-0005-0000-0000-000068440000}"/>
    <cellStyle name="40% - Accent6 40 2 3 2" xfId="21709" xr:uid="{00000000-0005-0000-0000-000069440000}"/>
    <cellStyle name="40% - Accent6 40 2 4" xfId="8427" xr:uid="{00000000-0005-0000-0000-00006A440000}"/>
    <cellStyle name="40% - Accent6 40 2 4 2" xfId="19715" xr:uid="{00000000-0005-0000-0000-00006B440000}"/>
    <cellStyle name="40% - Accent6 40 2 5" xfId="6433" xr:uid="{00000000-0005-0000-0000-00006C440000}"/>
    <cellStyle name="40% - Accent6 40 2 5 2" xfId="17721" xr:uid="{00000000-0005-0000-0000-00006D440000}"/>
    <cellStyle name="40% - Accent6 40 2 6" xfId="15727" xr:uid="{00000000-0005-0000-0000-00006E440000}"/>
    <cellStyle name="40% - Accent6 40 3" xfId="11418" xr:uid="{00000000-0005-0000-0000-00006F440000}"/>
    <cellStyle name="40% - Accent6 40 3 2" xfId="22706" xr:uid="{00000000-0005-0000-0000-000070440000}"/>
    <cellStyle name="40% - Accent6 40 4" xfId="9424" xr:uid="{00000000-0005-0000-0000-000071440000}"/>
    <cellStyle name="40% - Accent6 40 4 2" xfId="20712" xr:uid="{00000000-0005-0000-0000-000072440000}"/>
    <cellStyle name="40% - Accent6 40 5" xfId="7430" xr:uid="{00000000-0005-0000-0000-000073440000}"/>
    <cellStyle name="40% - Accent6 40 5 2" xfId="18718" xr:uid="{00000000-0005-0000-0000-000074440000}"/>
    <cellStyle name="40% - Accent6 40 6" xfId="5436" xr:uid="{00000000-0005-0000-0000-000075440000}"/>
    <cellStyle name="40% - Accent6 40 6 2" xfId="16724" xr:uid="{00000000-0005-0000-0000-000076440000}"/>
    <cellStyle name="40% - Accent6 40 7" xfId="14730" xr:uid="{00000000-0005-0000-0000-000077440000}"/>
    <cellStyle name="40% - Accent6 40 8" xfId="13416" xr:uid="{00000000-0005-0000-0000-000078440000}"/>
    <cellStyle name="40% - Accent6 41" xfId="1481" xr:uid="{00000000-0005-0000-0000-000079440000}"/>
    <cellStyle name="40% - Accent6 41 2" xfId="4437" xr:uid="{00000000-0005-0000-0000-00007A440000}"/>
    <cellStyle name="40% - Accent6 41 2 2" xfId="12416" xr:uid="{00000000-0005-0000-0000-00007B440000}"/>
    <cellStyle name="40% - Accent6 41 2 2 2" xfId="23704" xr:uid="{00000000-0005-0000-0000-00007C440000}"/>
    <cellStyle name="40% - Accent6 41 2 3" xfId="10422" xr:uid="{00000000-0005-0000-0000-00007D440000}"/>
    <cellStyle name="40% - Accent6 41 2 3 2" xfId="21710" xr:uid="{00000000-0005-0000-0000-00007E440000}"/>
    <cellStyle name="40% - Accent6 41 2 4" xfId="8428" xr:uid="{00000000-0005-0000-0000-00007F440000}"/>
    <cellStyle name="40% - Accent6 41 2 4 2" xfId="19716" xr:uid="{00000000-0005-0000-0000-000080440000}"/>
    <cellStyle name="40% - Accent6 41 2 5" xfId="6434" xr:uid="{00000000-0005-0000-0000-000081440000}"/>
    <cellStyle name="40% - Accent6 41 2 5 2" xfId="17722" xr:uid="{00000000-0005-0000-0000-000082440000}"/>
    <cellStyle name="40% - Accent6 41 2 6" xfId="15728" xr:uid="{00000000-0005-0000-0000-000083440000}"/>
    <cellStyle name="40% - Accent6 41 3" xfId="11419" xr:uid="{00000000-0005-0000-0000-000084440000}"/>
    <cellStyle name="40% - Accent6 41 3 2" xfId="22707" xr:uid="{00000000-0005-0000-0000-000085440000}"/>
    <cellStyle name="40% - Accent6 41 4" xfId="9425" xr:uid="{00000000-0005-0000-0000-000086440000}"/>
    <cellStyle name="40% - Accent6 41 4 2" xfId="20713" xr:uid="{00000000-0005-0000-0000-000087440000}"/>
    <cellStyle name="40% - Accent6 41 5" xfId="7431" xr:uid="{00000000-0005-0000-0000-000088440000}"/>
    <cellStyle name="40% - Accent6 41 5 2" xfId="18719" xr:uid="{00000000-0005-0000-0000-000089440000}"/>
    <cellStyle name="40% - Accent6 41 6" xfId="5437" xr:uid="{00000000-0005-0000-0000-00008A440000}"/>
    <cellStyle name="40% - Accent6 41 6 2" xfId="16725" xr:uid="{00000000-0005-0000-0000-00008B440000}"/>
    <cellStyle name="40% - Accent6 41 7" xfId="14731" xr:uid="{00000000-0005-0000-0000-00008C440000}"/>
    <cellStyle name="40% - Accent6 41 8" xfId="13417" xr:uid="{00000000-0005-0000-0000-00008D440000}"/>
    <cellStyle name="40% - Accent6 42" xfId="1482" xr:uid="{00000000-0005-0000-0000-00008E440000}"/>
    <cellStyle name="40% - Accent6 42 2" xfId="4438" xr:uid="{00000000-0005-0000-0000-00008F440000}"/>
    <cellStyle name="40% - Accent6 42 2 2" xfId="12417" xr:uid="{00000000-0005-0000-0000-000090440000}"/>
    <cellStyle name="40% - Accent6 42 2 2 2" xfId="23705" xr:uid="{00000000-0005-0000-0000-000091440000}"/>
    <cellStyle name="40% - Accent6 42 2 3" xfId="10423" xr:uid="{00000000-0005-0000-0000-000092440000}"/>
    <cellStyle name="40% - Accent6 42 2 3 2" xfId="21711" xr:uid="{00000000-0005-0000-0000-000093440000}"/>
    <cellStyle name="40% - Accent6 42 2 4" xfId="8429" xr:uid="{00000000-0005-0000-0000-000094440000}"/>
    <cellStyle name="40% - Accent6 42 2 4 2" xfId="19717" xr:uid="{00000000-0005-0000-0000-000095440000}"/>
    <cellStyle name="40% - Accent6 42 2 5" xfId="6435" xr:uid="{00000000-0005-0000-0000-000096440000}"/>
    <cellStyle name="40% - Accent6 42 2 5 2" xfId="17723" xr:uid="{00000000-0005-0000-0000-000097440000}"/>
    <cellStyle name="40% - Accent6 42 2 6" xfId="15729" xr:uid="{00000000-0005-0000-0000-000098440000}"/>
    <cellStyle name="40% - Accent6 42 3" xfId="11420" xr:uid="{00000000-0005-0000-0000-000099440000}"/>
    <cellStyle name="40% - Accent6 42 3 2" xfId="22708" xr:uid="{00000000-0005-0000-0000-00009A440000}"/>
    <cellStyle name="40% - Accent6 42 4" xfId="9426" xr:uid="{00000000-0005-0000-0000-00009B440000}"/>
    <cellStyle name="40% - Accent6 42 4 2" xfId="20714" xr:uid="{00000000-0005-0000-0000-00009C440000}"/>
    <cellStyle name="40% - Accent6 42 5" xfId="7432" xr:uid="{00000000-0005-0000-0000-00009D440000}"/>
    <cellStyle name="40% - Accent6 42 5 2" xfId="18720" xr:uid="{00000000-0005-0000-0000-00009E440000}"/>
    <cellStyle name="40% - Accent6 42 6" xfId="5438" xr:uid="{00000000-0005-0000-0000-00009F440000}"/>
    <cellStyle name="40% - Accent6 42 6 2" xfId="16726" xr:uid="{00000000-0005-0000-0000-0000A0440000}"/>
    <cellStyle name="40% - Accent6 42 7" xfId="14732" xr:uid="{00000000-0005-0000-0000-0000A1440000}"/>
    <cellStyle name="40% - Accent6 42 8" xfId="13418" xr:uid="{00000000-0005-0000-0000-0000A2440000}"/>
    <cellStyle name="40% - Accent6 43" xfId="1483" xr:uid="{00000000-0005-0000-0000-0000A3440000}"/>
    <cellStyle name="40% - Accent6 43 2" xfId="4439" xr:uid="{00000000-0005-0000-0000-0000A4440000}"/>
    <cellStyle name="40% - Accent6 43 2 2" xfId="12418" xr:uid="{00000000-0005-0000-0000-0000A5440000}"/>
    <cellStyle name="40% - Accent6 43 2 2 2" xfId="23706" xr:uid="{00000000-0005-0000-0000-0000A6440000}"/>
    <cellStyle name="40% - Accent6 43 2 3" xfId="10424" xr:uid="{00000000-0005-0000-0000-0000A7440000}"/>
    <cellStyle name="40% - Accent6 43 2 3 2" xfId="21712" xr:uid="{00000000-0005-0000-0000-0000A8440000}"/>
    <cellStyle name="40% - Accent6 43 2 4" xfId="8430" xr:uid="{00000000-0005-0000-0000-0000A9440000}"/>
    <cellStyle name="40% - Accent6 43 2 4 2" xfId="19718" xr:uid="{00000000-0005-0000-0000-0000AA440000}"/>
    <cellStyle name="40% - Accent6 43 2 5" xfId="6436" xr:uid="{00000000-0005-0000-0000-0000AB440000}"/>
    <cellStyle name="40% - Accent6 43 2 5 2" xfId="17724" xr:uid="{00000000-0005-0000-0000-0000AC440000}"/>
    <cellStyle name="40% - Accent6 43 2 6" xfId="15730" xr:uid="{00000000-0005-0000-0000-0000AD440000}"/>
    <cellStyle name="40% - Accent6 43 3" xfId="11421" xr:uid="{00000000-0005-0000-0000-0000AE440000}"/>
    <cellStyle name="40% - Accent6 43 3 2" xfId="22709" xr:uid="{00000000-0005-0000-0000-0000AF440000}"/>
    <cellStyle name="40% - Accent6 43 4" xfId="9427" xr:uid="{00000000-0005-0000-0000-0000B0440000}"/>
    <cellStyle name="40% - Accent6 43 4 2" xfId="20715" xr:uid="{00000000-0005-0000-0000-0000B1440000}"/>
    <cellStyle name="40% - Accent6 43 5" xfId="7433" xr:uid="{00000000-0005-0000-0000-0000B2440000}"/>
    <cellStyle name="40% - Accent6 43 5 2" xfId="18721" xr:uid="{00000000-0005-0000-0000-0000B3440000}"/>
    <cellStyle name="40% - Accent6 43 6" xfId="5439" xr:uid="{00000000-0005-0000-0000-0000B4440000}"/>
    <cellStyle name="40% - Accent6 43 6 2" xfId="16727" xr:uid="{00000000-0005-0000-0000-0000B5440000}"/>
    <cellStyle name="40% - Accent6 43 7" xfId="14733" xr:uid="{00000000-0005-0000-0000-0000B6440000}"/>
    <cellStyle name="40% - Accent6 43 8" xfId="13419" xr:uid="{00000000-0005-0000-0000-0000B7440000}"/>
    <cellStyle name="40% - Accent6 44" xfId="1484" xr:uid="{00000000-0005-0000-0000-0000B8440000}"/>
    <cellStyle name="40% - Accent6 44 2" xfId="4440" xr:uid="{00000000-0005-0000-0000-0000B9440000}"/>
    <cellStyle name="40% - Accent6 44 2 2" xfId="12419" xr:uid="{00000000-0005-0000-0000-0000BA440000}"/>
    <cellStyle name="40% - Accent6 44 2 2 2" xfId="23707" xr:uid="{00000000-0005-0000-0000-0000BB440000}"/>
    <cellStyle name="40% - Accent6 44 2 3" xfId="10425" xr:uid="{00000000-0005-0000-0000-0000BC440000}"/>
    <cellStyle name="40% - Accent6 44 2 3 2" xfId="21713" xr:uid="{00000000-0005-0000-0000-0000BD440000}"/>
    <cellStyle name="40% - Accent6 44 2 4" xfId="8431" xr:uid="{00000000-0005-0000-0000-0000BE440000}"/>
    <cellStyle name="40% - Accent6 44 2 4 2" xfId="19719" xr:uid="{00000000-0005-0000-0000-0000BF440000}"/>
    <cellStyle name="40% - Accent6 44 2 5" xfId="6437" xr:uid="{00000000-0005-0000-0000-0000C0440000}"/>
    <cellStyle name="40% - Accent6 44 2 5 2" xfId="17725" xr:uid="{00000000-0005-0000-0000-0000C1440000}"/>
    <cellStyle name="40% - Accent6 44 2 6" xfId="15731" xr:uid="{00000000-0005-0000-0000-0000C2440000}"/>
    <cellStyle name="40% - Accent6 44 3" xfId="11422" xr:uid="{00000000-0005-0000-0000-0000C3440000}"/>
    <cellStyle name="40% - Accent6 44 3 2" xfId="22710" xr:uid="{00000000-0005-0000-0000-0000C4440000}"/>
    <cellStyle name="40% - Accent6 44 4" xfId="9428" xr:uid="{00000000-0005-0000-0000-0000C5440000}"/>
    <cellStyle name="40% - Accent6 44 4 2" xfId="20716" xr:uid="{00000000-0005-0000-0000-0000C6440000}"/>
    <cellStyle name="40% - Accent6 44 5" xfId="7434" xr:uid="{00000000-0005-0000-0000-0000C7440000}"/>
    <cellStyle name="40% - Accent6 44 5 2" xfId="18722" xr:uid="{00000000-0005-0000-0000-0000C8440000}"/>
    <cellStyle name="40% - Accent6 44 6" xfId="5440" xr:uid="{00000000-0005-0000-0000-0000C9440000}"/>
    <cellStyle name="40% - Accent6 44 6 2" xfId="16728" xr:uid="{00000000-0005-0000-0000-0000CA440000}"/>
    <cellStyle name="40% - Accent6 44 7" xfId="14734" xr:uid="{00000000-0005-0000-0000-0000CB440000}"/>
    <cellStyle name="40% - Accent6 44 8" xfId="13420" xr:uid="{00000000-0005-0000-0000-0000CC440000}"/>
    <cellStyle name="40% - Accent6 45" xfId="1485" xr:uid="{00000000-0005-0000-0000-0000CD440000}"/>
    <cellStyle name="40% - Accent6 45 2" xfId="4441" xr:uid="{00000000-0005-0000-0000-0000CE440000}"/>
    <cellStyle name="40% - Accent6 45 2 2" xfId="12420" xr:uid="{00000000-0005-0000-0000-0000CF440000}"/>
    <cellStyle name="40% - Accent6 45 2 2 2" xfId="23708" xr:uid="{00000000-0005-0000-0000-0000D0440000}"/>
    <cellStyle name="40% - Accent6 45 2 3" xfId="10426" xr:uid="{00000000-0005-0000-0000-0000D1440000}"/>
    <cellStyle name="40% - Accent6 45 2 3 2" xfId="21714" xr:uid="{00000000-0005-0000-0000-0000D2440000}"/>
    <cellStyle name="40% - Accent6 45 2 4" xfId="8432" xr:uid="{00000000-0005-0000-0000-0000D3440000}"/>
    <cellStyle name="40% - Accent6 45 2 4 2" xfId="19720" xr:uid="{00000000-0005-0000-0000-0000D4440000}"/>
    <cellStyle name="40% - Accent6 45 2 5" xfId="6438" xr:uid="{00000000-0005-0000-0000-0000D5440000}"/>
    <cellStyle name="40% - Accent6 45 2 5 2" xfId="17726" xr:uid="{00000000-0005-0000-0000-0000D6440000}"/>
    <cellStyle name="40% - Accent6 45 2 6" xfId="15732" xr:uid="{00000000-0005-0000-0000-0000D7440000}"/>
    <cellStyle name="40% - Accent6 45 3" xfId="11423" xr:uid="{00000000-0005-0000-0000-0000D8440000}"/>
    <cellStyle name="40% - Accent6 45 3 2" xfId="22711" xr:uid="{00000000-0005-0000-0000-0000D9440000}"/>
    <cellStyle name="40% - Accent6 45 4" xfId="9429" xr:uid="{00000000-0005-0000-0000-0000DA440000}"/>
    <cellStyle name="40% - Accent6 45 4 2" xfId="20717" xr:uid="{00000000-0005-0000-0000-0000DB440000}"/>
    <cellStyle name="40% - Accent6 45 5" xfId="7435" xr:uid="{00000000-0005-0000-0000-0000DC440000}"/>
    <cellStyle name="40% - Accent6 45 5 2" xfId="18723" xr:uid="{00000000-0005-0000-0000-0000DD440000}"/>
    <cellStyle name="40% - Accent6 45 6" xfId="5441" xr:uid="{00000000-0005-0000-0000-0000DE440000}"/>
    <cellStyle name="40% - Accent6 45 6 2" xfId="16729" xr:uid="{00000000-0005-0000-0000-0000DF440000}"/>
    <cellStyle name="40% - Accent6 45 7" xfId="14735" xr:uid="{00000000-0005-0000-0000-0000E0440000}"/>
    <cellStyle name="40% - Accent6 45 8" xfId="13421" xr:uid="{00000000-0005-0000-0000-0000E1440000}"/>
    <cellStyle name="40% - Accent6 46" xfId="1486" xr:uid="{00000000-0005-0000-0000-0000E2440000}"/>
    <cellStyle name="40% - Accent6 46 2" xfId="4442" xr:uid="{00000000-0005-0000-0000-0000E3440000}"/>
    <cellStyle name="40% - Accent6 46 2 2" xfId="12421" xr:uid="{00000000-0005-0000-0000-0000E4440000}"/>
    <cellStyle name="40% - Accent6 46 2 2 2" xfId="23709" xr:uid="{00000000-0005-0000-0000-0000E5440000}"/>
    <cellStyle name="40% - Accent6 46 2 3" xfId="10427" xr:uid="{00000000-0005-0000-0000-0000E6440000}"/>
    <cellStyle name="40% - Accent6 46 2 3 2" xfId="21715" xr:uid="{00000000-0005-0000-0000-0000E7440000}"/>
    <cellStyle name="40% - Accent6 46 2 4" xfId="8433" xr:uid="{00000000-0005-0000-0000-0000E8440000}"/>
    <cellStyle name="40% - Accent6 46 2 4 2" xfId="19721" xr:uid="{00000000-0005-0000-0000-0000E9440000}"/>
    <cellStyle name="40% - Accent6 46 2 5" xfId="6439" xr:uid="{00000000-0005-0000-0000-0000EA440000}"/>
    <cellStyle name="40% - Accent6 46 2 5 2" xfId="17727" xr:uid="{00000000-0005-0000-0000-0000EB440000}"/>
    <cellStyle name="40% - Accent6 46 2 6" xfId="15733" xr:uid="{00000000-0005-0000-0000-0000EC440000}"/>
    <cellStyle name="40% - Accent6 46 3" xfId="11424" xr:uid="{00000000-0005-0000-0000-0000ED440000}"/>
    <cellStyle name="40% - Accent6 46 3 2" xfId="22712" xr:uid="{00000000-0005-0000-0000-0000EE440000}"/>
    <cellStyle name="40% - Accent6 46 4" xfId="9430" xr:uid="{00000000-0005-0000-0000-0000EF440000}"/>
    <cellStyle name="40% - Accent6 46 4 2" xfId="20718" xr:uid="{00000000-0005-0000-0000-0000F0440000}"/>
    <cellStyle name="40% - Accent6 46 5" xfId="7436" xr:uid="{00000000-0005-0000-0000-0000F1440000}"/>
    <cellStyle name="40% - Accent6 46 5 2" xfId="18724" xr:uid="{00000000-0005-0000-0000-0000F2440000}"/>
    <cellStyle name="40% - Accent6 46 6" xfId="5442" xr:uid="{00000000-0005-0000-0000-0000F3440000}"/>
    <cellStyle name="40% - Accent6 46 6 2" xfId="16730" xr:uid="{00000000-0005-0000-0000-0000F4440000}"/>
    <cellStyle name="40% - Accent6 46 7" xfId="14736" xr:uid="{00000000-0005-0000-0000-0000F5440000}"/>
    <cellStyle name="40% - Accent6 46 8" xfId="13422" xr:uid="{00000000-0005-0000-0000-0000F6440000}"/>
    <cellStyle name="40% - Accent6 47" xfId="1487" xr:uid="{00000000-0005-0000-0000-0000F7440000}"/>
    <cellStyle name="40% - Accent6 47 2" xfId="4443" xr:uid="{00000000-0005-0000-0000-0000F8440000}"/>
    <cellStyle name="40% - Accent6 47 2 2" xfId="12422" xr:uid="{00000000-0005-0000-0000-0000F9440000}"/>
    <cellStyle name="40% - Accent6 47 2 2 2" xfId="23710" xr:uid="{00000000-0005-0000-0000-0000FA440000}"/>
    <cellStyle name="40% - Accent6 47 2 3" xfId="10428" xr:uid="{00000000-0005-0000-0000-0000FB440000}"/>
    <cellStyle name="40% - Accent6 47 2 3 2" xfId="21716" xr:uid="{00000000-0005-0000-0000-0000FC440000}"/>
    <cellStyle name="40% - Accent6 47 2 4" xfId="8434" xr:uid="{00000000-0005-0000-0000-0000FD440000}"/>
    <cellStyle name="40% - Accent6 47 2 4 2" xfId="19722" xr:uid="{00000000-0005-0000-0000-0000FE440000}"/>
    <cellStyle name="40% - Accent6 47 2 5" xfId="6440" xr:uid="{00000000-0005-0000-0000-0000FF440000}"/>
    <cellStyle name="40% - Accent6 47 2 5 2" xfId="17728" xr:uid="{00000000-0005-0000-0000-000000450000}"/>
    <cellStyle name="40% - Accent6 47 2 6" xfId="15734" xr:uid="{00000000-0005-0000-0000-000001450000}"/>
    <cellStyle name="40% - Accent6 47 3" xfId="11425" xr:uid="{00000000-0005-0000-0000-000002450000}"/>
    <cellStyle name="40% - Accent6 47 3 2" xfId="22713" xr:uid="{00000000-0005-0000-0000-000003450000}"/>
    <cellStyle name="40% - Accent6 47 4" xfId="9431" xr:uid="{00000000-0005-0000-0000-000004450000}"/>
    <cellStyle name="40% - Accent6 47 4 2" xfId="20719" xr:uid="{00000000-0005-0000-0000-000005450000}"/>
    <cellStyle name="40% - Accent6 47 5" xfId="7437" xr:uid="{00000000-0005-0000-0000-000006450000}"/>
    <cellStyle name="40% - Accent6 47 5 2" xfId="18725" xr:uid="{00000000-0005-0000-0000-000007450000}"/>
    <cellStyle name="40% - Accent6 47 6" xfId="5443" xr:uid="{00000000-0005-0000-0000-000008450000}"/>
    <cellStyle name="40% - Accent6 47 6 2" xfId="16731" xr:uid="{00000000-0005-0000-0000-000009450000}"/>
    <cellStyle name="40% - Accent6 47 7" xfId="14737" xr:uid="{00000000-0005-0000-0000-00000A450000}"/>
    <cellStyle name="40% - Accent6 47 8" xfId="13423" xr:uid="{00000000-0005-0000-0000-00000B450000}"/>
    <cellStyle name="40% - Accent6 48" xfId="1488" xr:uid="{00000000-0005-0000-0000-00000C450000}"/>
    <cellStyle name="40% - Accent6 48 2" xfId="4444" xr:uid="{00000000-0005-0000-0000-00000D450000}"/>
    <cellStyle name="40% - Accent6 48 2 2" xfId="12423" xr:uid="{00000000-0005-0000-0000-00000E450000}"/>
    <cellStyle name="40% - Accent6 48 2 2 2" xfId="23711" xr:uid="{00000000-0005-0000-0000-00000F450000}"/>
    <cellStyle name="40% - Accent6 48 2 3" xfId="10429" xr:uid="{00000000-0005-0000-0000-000010450000}"/>
    <cellStyle name="40% - Accent6 48 2 3 2" xfId="21717" xr:uid="{00000000-0005-0000-0000-000011450000}"/>
    <cellStyle name="40% - Accent6 48 2 4" xfId="8435" xr:uid="{00000000-0005-0000-0000-000012450000}"/>
    <cellStyle name="40% - Accent6 48 2 4 2" xfId="19723" xr:uid="{00000000-0005-0000-0000-000013450000}"/>
    <cellStyle name="40% - Accent6 48 2 5" xfId="6441" xr:uid="{00000000-0005-0000-0000-000014450000}"/>
    <cellStyle name="40% - Accent6 48 2 5 2" xfId="17729" xr:uid="{00000000-0005-0000-0000-000015450000}"/>
    <cellStyle name="40% - Accent6 48 2 6" xfId="15735" xr:uid="{00000000-0005-0000-0000-000016450000}"/>
    <cellStyle name="40% - Accent6 48 3" xfId="11426" xr:uid="{00000000-0005-0000-0000-000017450000}"/>
    <cellStyle name="40% - Accent6 48 3 2" xfId="22714" xr:uid="{00000000-0005-0000-0000-000018450000}"/>
    <cellStyle name="40% - Accent6 48 4" xfId="9432" xr:uid="{00000000-0005-0000-0000-000019450000}"/>
    <cellStyle name="40% - Accent6 48 4 2" xfId="20720" xr:uid="{00000000-0005-0000-0000-00001A450000}"/>
    <cellStyle name="40% - Accent6 48 5" xfId="7438" xr:uid="{00000000-0005-0000-0000-00001B450000}"/>
    <cellStyle name="40% - Accent6 48 5 2" xfId="18726" xr:uid="{00000000-0005-0000-0000-00001C450000}"/>
    <cellStyle name="40% - Accent6 48 6" xfId="5444" xr:uid="{00000000-0005-0000-0000-00001D450000}"/>
    <cellStyle name="40% - Accent6 48 6 2" xfId="16732" xr:uid="{00000000-0005-0000-0000-00001E450000}"/>
    <cellStyle name="40% - Accent6 48 7" xfId="14738" xr:uid="{00000000-0005-0000-0000-00001F450000}"/>
    <cellStyle name="40% - Accent6 48 8" xfId="13424" xr:uid="{00000000-0005-0000-0000-000020450000}"/>
    <cellStyle name="40% - Accent6 49" xfId="1489" xr:uid="{00000000-0005-0000-0000-000021450000}"/>
    <cellStyle name="40% - Accent6 49 2" xfId="4445" xr:uid="{00000000-0005-0000-0000-000022450000}"/>
    <cellStyle name="40% - Accent6 49 2 2" xfId="12424" xr:uid="{00000000-0005-0000-0000-000023450000}"/>
    <cellStyle name="40% - Accent6 49 2 2 2" xfId="23712" xr:uid="{00000000-0005-0000-0000-000024450000}"/>
    <cellStyle name="40% - Accent6 49 2 3" xfId="10430" xr:uid="{00000000-0005-0000-0000-000025450000}"/>
    <cellStyle name="40% - Accent6 49 2 3 2" xfId="21718" xr:uid="{00000000-0005-0000-0000-000026450000}"/>
    <cellStyle name="40% - Accent6 49 2 4" xfId="8436" xr:uid="{00000000-0005-0000-0000-000027450000}"/>
    <cellStyle name="40% - Accent6 49 2 4 2" xfId="19724" xr:uid="{00000000-0005-0000-0000-000028450000}"/>
    <cellStyle name="40% - Accent6 49 2 5" xfId="6442" xr:uid="{00000000-0005-0000-0000-000029450000}"/>
    <cellStyle name="40% - Accent6 49 2 5 2" xfId="17730" xr:uid="{00000000-0005-0000-0000-00002A450000}"/>
    <cellStyle name="40% - Accent6 49 2 6" xfId="15736" xr:uid="{00000000-0005-0000-0000-00002B450000}"/>
    <cellStyle name="40% - Accent6 49 3" xfId="11427" xr:uid="{00000000-0005-0000-0000-00002C450000}"/>
    <cellStyle name="40% - Accent6 49 3 2" xfId="22715" xr:uid="{00000000-0005-0000-0000-00002D450000}"/>
    <cellStyle name="40% - Accent6 49 4" xfId="9433" xr:uid="{00000000-0005-0000-0000-00002E450000}"/>
    <cellStyle name="40% - Accent6 49 4 2" xfId="20721" xr:uid="{00000000-0005-0000-0000-00002F450000}"/>
    <cellStyle name="40% - Accent6 49 5" xfId="7439" xr:uid="{00000000-0005-0000-0000-000030450000}"/>
    <cellStyle name="40% - Accent6 49 5 2" xfId="18727" xr:uid="{00000000-0005-0000-0000-000031450000}"/>
    <cellStyle name="40% - Accent6 49 6" xfId="5445" xr:uid="{00000000-0005-0000-0000-000032450000}"/>
    <cellStyle name="40% - Accent6 49 6 2" xfId="16733" xr:uid="{00000000-0005-0000-0000-000033450000}"/>
    <cellStyle name="40% - Accent6 49 7" xfId="14739" xr:uid="{00000000-0005-0000-0000-000034450000}"/>
    <cellStyle name="40% - Accent6 49 8" xfId="13425" xr:uid="{00000000-0005-0000-0000-000035450000}"/>
    <cellStyle name="40% - Accent6 5" xfId="1490" xr:uid="{00000000-0005-0000-0000-000036450000}"/>
    <cellStyle name="40% - Accent6 5 10" xfId="24628" xr:uid="{00000000-0005-0000-0000-000037450000}"/>
    <cellStyle name="40% - Accent6 5 11" xfId="25018" xr:uid="{00000000-0005-0000-0000-000038450000}"/>
    <cellStyle name="40% - Accent6 5 2" xfId="4446" xr:uid="{00000000-0005-0000-0000-000039450000}"/>
    <cellStyle name="40% - Accent6 5 2 2" xfId="12425" xr:uid="{00000000-0005-0000-0000-00003A450000}"/>
    <cellStyle name="40% - Accent6 5 2 2 2" xfId="23713" xr:uid="{00000000-0005-0000-0000-00003B450000}"/>
    <cellStyle name="40% - Accent6 5 2 3" xfId="10431" xr:uid="{00000000-0005-0000-0000-00003C450000}"/>
    <cellStyle name="40% - Accent6 5 2 3 2" xfId="21719" xr:uid="{00000000-0005-0000-0000-00003D450000}"/>
    <cellStyle name="40% - Accent6 5 2 4" xfId="8437" xr:uid="{00000000-0005-0000-0000-00003E450000}"/>
    <cellStyle name="40% - Accent6 5 2 4 2" xfId="19725" xr:uid="{00000000-0005-0000-0000-00003F450000}"/>
    <cellStyle name="40% - Accent6 5 2 5" xfId="6443" xr:uid="{00000000-0005-0000-0000-000040450000}"/>
    <cellStyle name="40% - Accent6 5 2 5 2" xfId="17731" xr:uid="{00000000-0005-0000-0000-000041450000}"/>
    <cellStyle name="40% - Accent6 5 2 6" xfId="15737" xr:uid="{00000000-0005-0000-0000-000042450000}"/>
    <cellStyle name="40% - Accent6 5 2 7" xfId="24389" xr:uid="{00000000-0005-0000-0000-000043450000}"/>
    <cellStyle name="40% - Accent6 5 2 8" xfId="24853" xr:uid="{00000000-0005-0000-0000-000044450000}"/>
    <cellStyle name="40% - Accent6 5 2 9" xfId="25220" xr:uid="{00000000-0005-0000-0000-000045450000}"/>
    <cellStyle name="40% - Accent6 5 3" xfId="11428" xr:uid="{00000000-0005-0000-0000-000046450000}"/>
    <cellStyle name="40% - Accent6 5 3 2" xfId="22716" xr:uid="{00000000-0005-0000-0000-000047450000}"/>
    <cellStyle name="40% - Accent6 5 4" xfId="9434" xr:uid="{00000000-0005-0000-0000-000048450000}"/>
    <cellStyle name="40% - Accent6 5 4 2" xfId="20722" xr:uid="{00000000-0005-0000-0000-000049450000}"/>
    <cellStyle name="40% - Accent6 5 5" xfId="7440" xr:uid="{00000000-0005-0000-0000-00004A450000}"/>
    <cellStyle name="40% - Accent6 5 5 2" xfId="18728" xr:uid="{00000000-0005-0000-0000-00004B450000}"/>
    <cellStyle name="40% - Accent6 5 6" xfId="5446" xr:uid="{00000000-0005-0000-0000-00004C450000}"/>
    <cellStyle name="40% - Accent6 5 6 2" xfId="16734" xr:uid="{00000000-0005-0000-0000-00004D450000}"/>
    <cellStyle name="40% - Accent6 5 7" xfId="14740" xr:uid="{00000000-0005-0000-0000-00004E450000}"/>
    <cellStyle name="40% - Accent6 5 8" xfId="13426" xr:uid="{00000000-0005-0000-0000-00004F450000}"/>
    <cellStyle name="40% - Accent6 5 9" xfId="24001" xr:uid="{00000000-0005-0000-0000-000050450000}"/>
    <cellStyle name="40% - Accent6 50" xfId="1491" xr:uid="{00000000-0005-0000-0000-000051450000}"/>
    <cellStyle name="40% - Accent6 50 2" xfId="4447" xr:uid="{00000000-0005-0000-0000-000052450000}"/>
    <cellStyle name="40% - Accent6 50 2 2" xfId="12426" xr:uid="{00000000-0005-0000-0000-000053450000}"/>
    <cellStyle name="40% - Accent6 50 2 2 2" xfId="23714" xr:uid="{00000000-0005-0000-0000-000054450000}"/>
    <cellStyle name="40% - Accent6 50 2 3" xfId="10432" xr:uid="{00000000-0005-0000-0000-000055450000}"/>
    <cellStyle name="40% - Accent6 50 2 3 2" xfId="21720" xr:uid="{00000000-0005-0000-0000-000056450000}"/>
    <cellStyle name="40% - Accent6 50 2 4" xfId="8438" xr:uid="{00000000-0005-0000-0000-000057450000}"/>
    <cellStyle name="40% - Accent6 50 2 4 2" xfId="19726" xr:uid="{00000000-0005-0000-0000-000058450000}"/>
    <cellStyle name="40% - Accent6 50 2 5" xfId="6444" xr:uid="{00000000-0005-0000-0000-000059450000}"/>
    <cellStyle name="40% - Accent6 50 2 5 2" xfId="17732" xr:uid="{00000000-0005-0000-0000-00005A450000}"/>
    <cellStyle name="40% - Accent6 50 2 6" xfId="15738" xr:uid="{00000000-0005-0000-0000-00005B450000}"/>
    <cellStyle name="40% - Accent6 50 3" xfId="11429" xr:uid="{00000000-0005-0000-0000-00005C450000}"/>
    <cellStyle name="40% - Accent6 50 3 2" xfId="22717" xr:uid="{00000000-0005-0000-0000-00005D450000}"/>
    <cellStyle name="40% - Accent6 50 4" xfId="9435" xr:uid="{00000000-0005-0000-0000-00005E450000}"/>
    <cellStyle name="40% - Accent6 50 4 2" xfId="20723" xr:uid="{00000000-0005-0000-0000-00005F450000}"/>
    <cellStyle name="40% - Accent6 50 5" xfId="7441" xr:uid="{00000000-0005-0000-0000-000060450000}"/>
    <cellStyle name="40% - Accent6 50 5 2" xfId="18729" xr:uid="{00000000-0005-0000-0000-000061450000}"/>
    <cellStyle name="40% - Accent6 50 6" xfId="5447" xr:uid="{00000000-0005-0000-0000-000062450000}"/>
    <cellStyle name="40% - Accent6 50 6 2" xfId="16735" xr:uid="{00000000-0005-0000-0000-000063450000}"/>
    <cellStyle name="40% - Accent6 50 7" xfId="14741" xr:uid="{00000000-0005-0000-0000-000064450000}"/>
    <cellStyle name="40% - Accent6 50 8" xfId="13427" xr:uid="{00000000-0005-0000-0000-000065450000}"/>
    <cellStyle name="40% - Accent6 51" xfId="1492" xr:uid="{00000000-0005-0000-0000-000066450000}"/>
    <cellStyle name="40% - Accent6 51 2" xfId="4448" xr:uid="{00000000-0005-0000-0000-000067450000}"/>
    <cellStyle name="40% - Accent6 51 2 2" xfId="12427" xr:uid="{00000000-0005-0000-0000-000068450000}"/>
    <cellStyle name="40% - Accent6 51 2 2 2" xfId="23715" xr:uid="{00000000-0005-0000-0000-000069450000}"/>
    <cellStyle name="40% - Accent6 51 2 3" xfId="10433" xr:uid="{00000000-0005-0000-0000-00006A450000}"/>
    <cellStyle name="40% - Accent6 51 2 3 2" xfId="21721" xr:uid="{00000000-0005-0000-0000-00006B450000}"/>
    <cellStyle name="40% - Accent6 51 2 4" xfId="8439" xr:uid="{00000000-0005-0000-0000-00006C450000}"/>
    <cellStyle name="40% - Accent6 51 2 4 2" xfId="19727" xr:uid="{00000000-0005-0000-0000-00006D450000}"/>
    <cellStyle name="40% - Accent6 51 2 5" xfId="6445" xr:uid="{00000000-0005-0000-0000-00006E450000}"/>
    <cellStyle name="40% - Accent6 51 2 5 2" xfId="17733" xr:uid="{00000000-0005-0000-0000-00006F450000}"/>
    <cellStyle name="40% - Accent6 51 2 6" xfId="15739" xr:uid="{00000000-0005-0000-0000-000070450000}"/>
    <cellStyle name="40% - Accent6 51 3" xfId="11430" xr:uid="{00000000-0005-0000-0000-000071450000}"/>
    <cellStyle name="40% - Accent6 51 3 2" xfId="22718" xr:uid="{00000000-0005-0000-0000-000072450000}"/>
    <cellStyle name="40% - Accent6 51 4" xfId="9436" xr:uid="{00000000-0005-0000-0000-000073450000}"/>
    <cellStyle name="40% - Accent6 51 4 2" xfId="20724" xr:uid="{00000000-0005-0000-0000-000074450000}"/>
    <cellStyle name="40% - Accent6 51 5" xfId="7442" xr:uid="{00000000-0005-0000-0000-000075450000}"/>
    <cellStyle name="40% - Accent6 51 5 2" xfId="18730" xr:uid="{00000000-0005-0000-0000-000076450000}"/>
    <cellStyle name="40% - Accent6 51 6" xfId="5448" xr:uid="{00000000-0005-0000-0000-000077450000}"/>
    <cellStyle name="40% - Accent6 51 6 2" xfId="16736" xr:uid="{00000000-0005-0000-0000-000078450000}"/>
    <cellStyle name="40% - Accent6 51 7" xfId="14742" xr:uid="{00000000-0005-0000-0000-000079450000}"/>
    <cellStyle name="40% - Accent6 51 8" xfId="13428" xr:uid="{00000000-0005-0000-0000-00007A450000}"/>
    <cellStyle name="40% - Accent6 52" xfId="1493" xr:uid="{00000000-0005-0000-0000-00007B450000}"/>
    <cellStyle name="40% - Accent6 52 2" xfId="4449" xr:uid="{00000000-0005-0000-0000-00007C450000}"/>
    <cellStyle name="40% - Accent6 52 2 2" xfId="12428" xr:uid="{00000000-0005-0000-0000-00007D450000}"/>
    <cellStyle name="40% - Accent6 52 2 2 2" xfId="23716" xr:uid="{00000000-0005-0000-0000-00007E450000}"/>
    <cellStyle name="40% - Accent6 52 2 3" xfId="10434" xr:uid="{00000000-0005-0000-0000-00007F450000}"/>
    <cellStyle name="40% - Accent6 52 2 3 2" xfId="21722" xr:uid="{00000000-0005-0000-0000-000080450000}"/>
    <cellStyle name="40% - Accent6 52 2 4" xfId="8440" xr:uid="{00000000-0005-0000-0000-000081450000}"/>
    <cellStyle name="40% - Accent6 52 2 4 2" xfId="19728" xr:uid="{00000000-0005-0000-0000-000082450000}"/>
    <cellStyle name="40% - Accent6 52 2 5" xfId="6446" xr:uid="{00000000-0005-0000-0000-000083450000}"/>
    <cellStyle name="40% - Accent6 52 2 5 2" xfId="17734" xr:uid="{00000000-0005-0000-0000-000084450000}"/>
    <cellStyle name="40% - Accent6 52 2 6" xfId="15740" xr:uid="{00000000-0005-0000-0000-000085450000}"/>
    <cellStyle name="40% - Accent6 52 3" xfId="11431" xr:uid="{00000000-0005-0000-0000-000086450000}"/>
    <cellStyle name="40% - Accent6 52 3 2" xfId="22719" xr:uid="{00000000-0005-0000-0000-000087450000}"/>
    <cellStyle name="40% - Accent6 52 4" xfId="9437" xr:uid="{00000000-0005-0000-0000-000088450000}"/>
    <cellStyle name="40% - Accent6 52 4 2" xfId="20725" xr:uid="{00000000-0005-0000-0000-000089450000}"/>
    <cellStyle name="40% - Accent6 52 5" xfId="7443" xr:uid="{00000000-0005-0000-0000-00008A450000}"/>
    <cellStyle name="40% - Accent6 52 5 2" xfId="18731" xr:uid="{00000000-0005-0000-0000-00008B450000}"/>
    <cellStyle name="40% - Accent6 52 6" xfId="5449" xr:uid="{00000000-0005-0000-0000-00008C450000}"/>
    <cellStyle name="40% - Accent6 52 6 2" xfId="16737" xr:uid="{00000000-0005-0000-0000-00008D450000}"/>
    <cellStyle name="40% - Accent6 52 7" xfId="14743" xr:uid="{00000000-0005-0000-0000-00008E450000}"/>
    <cellStyle name="40% - Accent6 52 8" xfId="13429" xr:uid="{00000000-0005-0000-0000-00008F450000}"/>
    <cellStyle name="40% - Accent6 53" xfId="1494" xr:uid="{00000000-0005-0000-0000-000090450000}"/>
    <cellStyle name="40% - Accent6 53 2" xfId="4450" xr:uid="{00000000-0005-0000-0000-000091450000}"/>
    <cellStyle name="40% - Accent6 53 2 2" xfId="12429" xr:uid="{00000000-0005-0000-0000-000092450000}"/>
    <cellStyle name="40% - Accent6 53 2 2 2" xfId="23717" xr:uid="{00000000-0005-0000-0000-000093450000}"/>
    <cellStyle name="40% - Accent6 53 2 3" xfId="10435" xr:uid="{00000000-0005-0000-0000-000094450000}"/>
    <cellStyle name="40% - Accent6 53 2 3 2" xfId="21723" xr:uid="{00000000-0005-0000-0000-000095450000}"/>
    <cellStyle name="40% - Accent6 53 2 4" xfId="8441" xr:uid="{00000000-0005-0000-0000-000096450000}"/>
    <cellStyle name="40% - Accent6 53 2 4 2" xfId="19729" xr:uid="{00000000-0005-0000-0000-000097450000}"/>
    <cellStyle name="40% - Accent6 53 2 5" xfId="6447" xr:uid="{00000000-0005-0000-0000-000098450000}"/>
    <cellStyle name="40% - Accent6 53 2 5 2" xfId="17735" xr:uid="{00000000-0005-0000-0000-000099450000}"/>
    <cellStyle name="40% - Accent6 53 2 6" xfId="15741" xr:uid="{00000000-0005-0000-0000-00009A450000}"/>
    <cellStyle name="40% - Accent6 53 3" xfId="11432" xr:uid="{00000000-0005-0000-0000-00009B450000}"/>
    <cellStyle name="40% - Accent6 53 3 2" xfId="22720" xr:uid="{00000000-0005-0000-0000-00009C450000}"/>
    <cellStyle name="40% - Accent6 53 4" xfId="9438" xr:uid="{00000000-0005-0000-0000-00009D450000}"/>
    <cellStyle name="40% - Accent6 53 4 2" xfId="20726" xr:uid="{00000000-0005-0000-0000-00009E450000}"/>
    <cellStyle name="40% - Accent6 53 5" xfId="7444" xr:uid="{00000000-0005-0000-0000-00009F450000}"/>
    <cellStyle name="40% - Accent6 53 5 2" xfId="18732" xr:uid="{00000000-0005-0000-0000-0000A0450000}"/>
    <cellStyle name="40% - Accent6 53 6" xfId="5450" xr:uid="{00000000-0005-0000-0000-0000A1450000}"/>
    <cellStyle name="40% - Accent6 53 6 2" xfId="16738" xr:uid="{00000000-0005-0000-0000-0000A2450000}"/>
    <cellStyle name="40% - Accent6 53 7" xfId="14744" xr:uid="{00000000-0005-0000-0000-0000A3450000}"/>
    <cellStyle name="40% - Accent6 53 8" xfId="13430" xr:uid="{00000000-0005-0000-0000-0000A4450000}"/>
    <cellStyle name="40% - Accent6 54" xfId="1495" xr:uid="{00000000-0005-0000-0000-0000A5450000}"/>
    <cellStyle name="40% - Accent6 54 2" xfId="4451" xr:uid="{00000000-0005-0000-0000-0000A6450000}"/>
    <cellStyle name="40% - Accent6 54 2 2" xfId="12430" xr:uid="{00000000-0005-0000-0000-0000A7450000}"/>
    <cellStyle name="40% - Accent6 54 2 2 2" xfId="23718" xr:uid="{00000000-0005-0000-0000-0000A8450000}"/>
    <cellStyle name="40% - Accent6 54 2 3" xfId="10436" xr:uid="{00000000-0005-0000-0000-0000A9450000}"/>
    <cellStyle name="40% - Accent6 54 2 3 2" xfId="21724" xr:uid="{00000000-0005-0000-0000-0000AA450000}"/>
    <cellStyle name="40% - Accent6 54 2 4" xfId="8442" xr:uid="{00000000-0005-0000-0000-0000AB450000}"/>
    <cellStyle name="40% - Accent6 54 2 4 2" xfId="19730" xr:uid="{00000000-0005-0000-0000-0000AC450000}"/>
    <cellStyle name="40% - Accent6 54 2 5" xfId="6448" xr:uid="{00000000-0005-0000-0000-0000AD450000}"/>
    <cellStyle name="40% - Accent6 54 2 5 2" xfId="17736" xr:uid="{00000000-0005-0000-0000-0000AE450000}"/>
    <cellStyle name="40% - Accent6 54 2 6" xfId="15742" xr:uid="{00000000-0005-0000-0000-0000AF450000}"/>
    <cellStyle name="40% - Accent6 54 3" xfId="11433" xr:uid="{00000000-0005-0000-0000-0000B0450000}"/>
    <cellStyle name="40% - Accent6 54 3 2" xfId="22721" xr:uid="{00000000-0005-0000-0000-0000B1450000}"/>
    <cellStyle name="40% - Accent6 54 4" xfId="9439" xr:uid="{00000000-0005-0000-0000-0000B2450000}"/>
    <cellStyle name="40% - Accent6 54 4 2" xfId="20727" xr:uid="{00000000-0005-0000-0000-0000B3450000}"/>
    <cellStyle name="40% - Accent6 54 5" xfId="7445" xr:uid="{00000000-0005-0000-0000-0000B4450000}"/>
    <cellStyle name="40% - Accent6 54 5 2" xfId="18733" xr:uid="{00000000-0005-0000-0000-0000B5450000}"/>
    <cellStyle name="40% - Accent6 54 6" xfId="5451" xr:uid="{00000000-0005-0000-0000-0000B6450000}"/>
    <cellStyle name="40% - Accent6 54 6 2" xfId="16739" xr:uid="{00000000-0005-0000-0000-0000B7450000}"/>
    <cellStyle name="40% - Accent6 54 7" xfId="14745" xr:uid="{00000000-0005-0000-0000-0000B8450000}"/>
    <cellStyle name="40% - Accent6 54 8" xfId="13431" xr:uid="{00000000-0005-0000-0000-0000B9450000}"/>
    <cellStyle name="40% - Accent6 55" xfId="1496" xr:uid="{00000000-0005-0000-0000-0000BA450000}"/>
    <cellStyle name="40% - Accent6 55 2" xfId="4452" xr:uid="{00000000-0005-0000-0000-0000BB450000}"/>
    <cellStyle name="40% - Accent6 55 2 2" xfId="12431" xr:uid="{00000000-0005-0000-0000-0000BC450000}"/>
    <cellStyle name="40% - Accent6 55 2 2 2" xfId="23719" xr:uid="{00000000-0005-0000-0000-0000BD450000}"/>
    <cellStyle name="40% - Accent6 55 2 3" xfId="10437" xr:uid="{00000000-0005-0000-0000-0000BE450000}"/>
    <cellStyle name="40% - Accent6 55 2 3 2" xfId="21725" xr:uid="{00000000-0005-0000-0000-0000BF450000}"/>
    <cellStyle name="40% - Accent6 55 2 4" xfId="8443" xr:uid="{00000000-0005-0000-0000-0000C0450000}"/>
    <cellStyle name="40% - Accent6 55 2 4 2" xfId="19731" xr:uid="{00000000-0005-0000-0000-0000C1450000}"/>
    <cellStyle name="40% - Accent6 55 2 5" xfId="6449" xr:uid="{00000000-0005-0000-0000-0000C2450000}"/>
    <cellStyle name="40% - Accent6 55 2 5 2" xfId="17737" xr:uid="{00000000-0005-0000-0000-0000C3450000}"/>
    <cellStyle name="40% - Accent6 55 2 6" xfId="15743" xr:uid="{00000000-0005-0000-0000-0000C4450000}"/>
    <cellStyle name="40% - Accent6 55 3" xfId="11434" xr:uid="{00000000-0005-0000-0000-0000C5450000}"/>
    <cellStyle name="40% - Accent6 55 3 2" xfId="22722" xr:uid="{00000000-0005-0000-0000-0000C6450000}"/>
    <cellStyle name="40% - Accent6 55 4" xfId="9440" xr:uid="{00000000-0005-0000-0000-0000C7450000}"/>
    <cellStyle name="40% - Accent6 55 4 2" xfId="20728" xr:uid="{00000000-0005-0000-0000-0000C8450000}"/>
    <cellStyle name="40% - Accent6 55 5" xfId="7446" xr:uid="{00000000-0005-0000-0000-0000C9450000}"/>
    <cellStyle name="40% - Accent6 55 5 2" xfId="18734" xr:uid="{00000000-0005-0000-0000-0000CA450000}"/>
    <cellStyle name="40% - Accent6 55 6" xfId="5452" xr:uid="{00000000-0005-0000-0000-0000CB450000}"/>
    <cellStyle name="40% - Accent6 55 6 2" xfId="16740" xr:uid="{00000000-0005-0000-0000-0000CC450000}"/>
    <cellStyle name="40% - Accent6 55 7" xfId="14746" xr:uid="{00000000-0005-0000-0000-0000CD450000}"/>
    <cellStyle name="40% - Accent6 55 8" xfId="13432" xr:uid="{00000000-0005-0000-0000-0000CE450000}"/>
    <cellStyle name="40% - Accent6 56" xfId="1497" xr:uid="{00000000-0005-0000-0000-0000CF450000}"/>
    <cellStyle name="40% - Accent6 56 2" xfId="4453" xr:uid="{00000000-0005-0000-0000-0000D0450000}"/>
    <cellStyle name="40% - Accent6 56 2 2" xfId="12432" xr:uid="{00000000-0005-0000-0000-0000D1450000}"/>
    <cellStyle name="40% - Accent6 56 2 2 2" xfId="23720" xr:uid="{00000000-0005-0000-0000-0000D2450000}"/>
    <cellStyle name="40% - Accent6 56 2 3" xfId="10438" xr:uid="{00000000-0005-0000-0000-0000D3450000}"/>
    <cellStyle name="40% - Accent6 56 2 3 2" xfId="21726" xr:uid="{00000000-0005-0000-0000-0000D4450000}"/>
    <cellStyle name="40% - Accent6 56 2 4" xfId="8444" xr:uid="{00000000-0005-0000-0000-0000D5450000}"/>
    <cellStyle name="40% - Accent6 56 2 4 2" xfId="19732" xr:uid="{00000000-0005-0000-0000-0000D6450000}"/>
    <cellStyle name="40% - Accent6 56 2 5" xfId="6450" xr:uid="{00000000-0005-0000-0000-0000D7450000}"/>
    <cellStyle name="40% - Accent6 56 2 5 2" xfId="17738" xr:uid="{00000000-0005-0000-0000-0000D8450000}"/>
    <cellStyle name="40% - Accent6 56 2 6" xfId="15744" xr:uid="{00000000-0005-0000-0000-0000D9450000}"/>
    <cellStyle name="40% - Accent6 56 3" xfId="11435" xr:uid="{00000000-0005-0000-0000-0000DA450000}"/>
    <cellStyle name="40% - Accent6 56 3 2" xfId="22723" xr:uid="{00000000-0005-0000-0000-0000DB450000}"/>
    <cellStyle name="40% - Accent6 56 4" xfId="9441" xr:uid="{00000000-0005-0000-0000-0000DC450000}"/>
    <cellStyle name="40% - Accent6 56 4 2" xfId="20729" xr:uid="{00000000-0005-0000-0000-0000DD450000}"/>
    <cellStyle name="40% - Accent6 56 5" xfId="7447" xr:uid="{00000000-0005-0000-0000-0000DE450000}"/>
    <cellStyle name="40% - Accent6 56 5 2" xfId="18735" xr:uid="{00000000-0005-0000-0000-0000DF450000}"/>
    <cellStyle name="40% - Accent6 56 6" xfId="5453" xr:uid="{00000000-0005-0000-0000-0000E0450000}"/>
    <cellStyle name="40% - Accent6 56 6 2" xfId="16741" xr:uid="{00000000-0005-0000-0000-0000E1450000}"/>
    <cellStyle name="40% - Accent6 56 7" xfId="14747" xr:uid="{00000000-0005-0000-0000-0000E2450000}"/>
    <cellStyle name="40% - Accent6 56 8" xfId="13433" xr:uid="{00000000-0005-0000-0000-0000E3450000}"/>
    <cellStyle name="40% - Accent6 57" xfId="1498" xr:uid="{00000000-0005-0000-0000-0000E4450000}"/>
    <cellStyle name="40% - Accent6 57 2" xfId="4454" xr:uid="{00000000-0005-0000-0000-0000E5450000}"/>
    <cellStyle name="40% - Accent6 57 2 2" xfId="12433" xr:uid="{00000000-0005-0000-0000-0000E6450000}"/>
    <cellStyle name="40% - Accent6 57 2 2 2" xfId="23721" xr:uid="{00000000-0005-0000-0000-0000E7450000}"/>
    <cellStyle name="40% - Accent6 57 2 3" xfId="10439" xr:uid="{00000000-0005-0000-0000-0000E8450000}"/>
    <cellStyle name="40% - Accent6 57 2 3 2" xfId="21727" xr:uid="{00000000-0005-0000-0000-0000E9450000}"/>
    <cellStyle name="40% - Accent6 57 2 4" xfId="8445" xr:uid="{00000000-0005-0000-0000-0000EA450000}"/>
    <cellStyle name="40% - Accent6 57 2 4 2" xfId="19733" xr:uid="{00000000-0005-0000-0000-0000EB450000}"/>
    <cellStyle name="40% - Accent6 57 2 5" xfId="6451" xr:uid="{00000000-0005-0000-0000-0000EC450000}"/>
    <cellStyle name="40% - Accent6 57 2 5 2" xfId="17739" xr:uid="{00000000-0005-0000-0000-0000ED450000}"/>
    <cellStyle name="40% - Accent6 57 2 6" xfId="15745" xr:uid="{00000000-0005-0000-0000-0000EE450000}"/>
    <cellStyle name="40% - Accent6 57 3" xfId="11436" xr:uid="{00000000-0005-0000-0000-0000EF450000}"/>
    <cellStyle name="40% - Accent6 57 3 2" xfId="22724" xr:uid="{00000000-0005-0000-0000-0000F0450000}"/>
    <cellStyle name="40% - Accent6 57 4" xfId="9442" xr:uid="{00000000-0005-0000-0000-0000F1450000}"/>
    <cellStyle name="40% - Accent6 57 4 2" xfId="20730" xr:uid="{00000000-0005-0000-0000-0000F2450000}"/>
    <cellStyle name="40% - Accent6 57 5" xfId="7448" xr:uid="{00000000-0005-0000-0000-0000F3450000}"/>
    <cellStyle name="40% - Accent6 57 5 2" xfId="18736" xr:uid="{00000000-0005-0000-0000-0000F4450000}"/>
    <cellStyle name="40% - Accent6 57 6" xfId="5454" xr:uid="{00000000-0005-0000-0000-0000F5450000}"/>
    <cellStyle name="40% - Accent6 57 6 2" xfId="16742" xr:uid="{00000000-0005-0000-0000-0000F6450000}"/>
    <cellStyle name="40% - Accent6 57 7" xfId="14748" xr:uid="{00000000-0005-0000-0000-0000F7450000}"/>
    <cellStyle name="40% - Accent6 57 8" xfId="13434" xr:uid="{00000000-0005-0000-0000-0000F8450000}"/>
    <cellStyle name="40% - Accent6 58" xfId="1499" xr:uid="{00000000-0005-0000-0000-0000F9450000}"/>
    <cellStyle name="40% - Accent6 58 2" xfId="4455" xr:uid="{00000000-0005-0000-0000-0000FA450000}"/>
    <cellStyle name="40% - Accent6 58 2 2" xfId="12434" xr:uid="{00000000-0005-0000-0000-0000FB450000}"/>
    <cellStyle name="40% - Accent6 58 2 2 2" xfId="23722" xr:uid="{00000000-0005-0000-0000-0000FC450000}"/>
    <cellStyle name="40% - Accent6 58 2 3" xfId="10440" xr:uid="{00000000-0005-0000-0000-0000FD450000}"/>
    <cellStyle name="40% - Accent6 58 2 3 2" xfId="21728" xr:uid="{00000000-0005-0000-0000-0000FE450000}"/>
    <cellStyle name="40% - Accent6 58 2 4" xfId="8446" xr:uid="{00000000-0005-0000-0000-0000FF450000}"/>
    <cellStyle name="40% - Accent6 58 2 4 2" xfId="19734" xr:uid="{00000000-0005-0000-0000-000000460000}"/>
    <cellStyle name="40% - Accent6 58 2 5" xfId="6452" xr:uid="{00000000-0005-0000-0000-000001460000}"/>
    <cellStyle name="40% - Accent6 58 2 5 2" xfId="17740" xr:uid="{00000000-0005-0000-0000-000002460000}"/>
    <cellStyle name="40% - Accent6 58 2 6" xfId="15746" xr:uid="{00000000-0005-0000-0000-000003460000}"/>
    <cellStyle name="40% - Accent6 58 3" xfId="11437" xr:uid="{00000000-0005-0000-0000-000004460000}"/>
    <cellStyle name="40% - Accent6 58 3 2" xfId="22725" xr:uid="{00000000-0005-0000-0000-000005460000}"/>
    <cellStyle name="40% - Accent6 58 4" xfId="9443" xr:uid="{00000000-0005-0000-0000-000006460000}"/>
    <cellStyle name="40% - Accent6 58 4 2" xfId="20731" xr:uid="{00000000-0005-0000-0000-000007460000}"/>
    <cellStyle name="40% - Accent6 58 5" xfId="7449" xr:uid="{00000000-0005-0000-0000-000008460000}"/>
    <cellStyle name="40% - Accent6 58 5 2" xfId="18737" xr:uid="{00000000-0005-0000-0000-000009460000}"/>
    <cellStyle name="40% - Accent6 58 6" xfId="5455" xr:uid="{00000000-0005-0000-0000-00000A460000}"/>
    <cellStyle name="40% - Accent6 58 6 2" xfId="16743" xr:uid="{00000000-0005-0000-0000-00000B460000}"/>
    <cellStyle name="40% - Accent6 58 7" xfId="14749" xr:uid="{00000000-0005-0000-0000-00000C460000}"/>
    <cellStyle name="40% - Accent6 58 8" xfId="13435" xr:uid="{00000000-0005-0000-0000-00000D460000}"/>
    <cellStyle name="40% - Accent6 59" xfId="1500" xr:uid="{00000000-0005-0000-0000-00000E460000}"/>
    <cellStyle name="40% - Accent6 59 2" xfId="4456" xr:uid="{00000000-0005-0000-0000-00000F460000}"/>
    <cellStyle name="40% - Accent6 59 2 2" xfId="12435" xr:uid="{00000000-0005-0000-0000-000010460000}"/>
    <cellStyle name="40% - Accent6 59 2 2 2" xfId="23723" xr:uid="{00000000-0005-0000-0000-000011460000}"/>
    <cellStyle name="40% - Accent6 59 2 3" xfId="10441" xr:uid="{00000000-0005-0000-0000-000012460000}"/>
    <cellStyle name="40% - Accent6 59 2 3 2" xfId="21729" xr:uid="{00000000-0005-0000-0000-000013460000}"/>
    <cellStyle name="40% - Accent6 59 2 4" xfId="8447" xr:uid="{00000000-0005-0000-0000-000014460000}"/>
    <cellStyle name="40% - Accent6 59 2 4 2" xfId="19735" xr:uid="{00000000-0005-0000-0000-000015460000}"/>
    <cellStyle name="40% - Accent6 59 2 5" xfId="6453" xr:uid="{00000000-0005-0000-0000-000016460000}"/>
    <cellStyle name="40% - Accent6 59 2 5 2" xfId="17741" xr:uid="{00000000-0005-0000-0000-000017460000}"/>
    <cellStyle name="40% - Accent6 59 2 6" xfId="15747" xr:uid="{00000000-0005-0000-0000-000018460000}"/>
    <cellStyle name="40% - Accent6 59 3" xfId="11438" xr:uid="{00000000-0005-0000-0000-000019460000}"/>
    <cellStyle name="40% - Accent6 59 3 2" xfId="22726" xr:uid="{00000000-0005-0000-0000-00001A460000}"/>
    <cellStyle name="40% - Accent6 59 4" xfId="9444" xr:uid="{00000000-0005-0000-0000-00001B460000}"/>
    <cellStyle name="40% - Accent6 59 4 2" xfId="20732" xr:uid="{00000000-0005-0000-0000-00001C460000}"/>
    <cellStyle name="40% - Accent6 59 5" xfId="7450" xr:uid="{00000000-0005-0000-0000-00001D460000}"/>
    <cellStyle name="40% - Accent6 59 5 2" xfId="18738" xr:uid="{00000000-0005-0000-0000-00001E460000}"/>
    <cellStyle name="40% - Accent6 59 6" xfId="5456" xr:uid="{00000000-0005-0000-0000-00001F460000}"/>
    <cellStyle name="40% - Accent6 59 6 2" xfId="16744" xr:uid="{00000000-0005-0000-0000-000020460000}"/>
    <cellStyle name="40% - Accent6 59 7" xfId="14750" xr:uid="{00000000-0005-0000-0000-000021460000}"/>
    <cellStyle name="40% - Accent6 59 8" xfId="13436" xr:uid="{00000000-0005-0000-0000-000022460000}"/>
    <cellStyle name="40% - Accent6 6" xfId="1501" xr:uid="{00000000-0005-0000-0000-000023460000}"/>
    <cellStyle name="40% - Accent6 6 10" xfId="24629" xr:uid="{00000000-0005-0000-0000-000024460000}"/>
    <cellStyle name="40% - Accent6 6 11" xfId="25019" xr:uid="{00000000-0005-0000-0000-000025460000}"/>
    <cellStyle name="40% - Accent6 6 2" xfId="4457" xr:uid="{00000000-0005-0000-0000-000026460000}"/>
    <cellStyle name="40% - Accent6 6 2 2" xfId="12436" xr:uid="{00000000-0005-0000-0000-000027460000}"/>
    <cellStyle name="40% - Accent6 6 2 2 2" xfId="23724" xr:uid="{00000000-0005-0000-0000-000028460000}"/>
    <cellStyle name="40% - Accent6 6 2 3" xfId="10442" xr:uid="{00000000-0005-0000-0000-000029460000}"/>
    <cellStyle name="40% - Accent6 6 2 3 2" xfId="21730" xr:uid="{00000000-0005-0000-0000-00002A460000}"/>
    <cellStyle name="40% - Accent6 6 2 4" xfId="8448" xr:uid="{00000000-0005-0000-0000-00002B460000}"/>
    <cellStyle name="40% - Accent6 6 2 4 2" xfId="19736" xr:uid="{00000000-0005-0000-0000-00002C460000}"/>
    <cellStyle name="40% - Accent6 6 2 5" xfId="6454" xr:uid="{00000000-0005-0000-0000-00002D460000}"/>
    <cellStyle name="40% - Accent6 6 2 5 2" xfId="17742" xr:uid="{00000000-0005-0000-0000-00002E460000}"/>
    <cellStyle name="40% - Accent6 6 2 6" xfId="15748" xr:uid="{00000000-0005-0000-0000-00002F460000}"/>
    <cellStyle name="40% - Accent6 6 2 7" xfId="24390" xr:uid="{00000000-0005-0000-0000-000030460000}"/>
    <cellStyle name="40% - Accent6 6 2 8" xfId="24854" xr:uid="{00000000-0005-0000-0000-000031460000}"/>
    <cellStyle name="40% - Accent6 6 2 9" xfId="25221" xr:uid="{00000000-0005-0000-0000-000032460000}"/>
    <cellStyle name="40% - Accent6 6 3" xfId="11439" xr:uid="{00000000-0005-0000-0000-000033460000}"/>
    <cellStyle name="40% - Accent6 6 3 2" xfId="22727" xr:uid="{00000000-0005-0000-0000-000034460000}"/>
    <cellStyle name="40% - Accent6 6 4" xfId="9445" xr:uid="{00000000-0005-0000-0000-000035460000}"/>
    <cellStyle name="40% - Accent6 6 4 2" xfId="20733" xr:uid="{00000000-0005-0000-0000-000036460000}"/>
    <cellStyle name="40% - Accent6 6 5" xfId="7451" xr:uid="{00000000-0005-0000-0000-000037460000}"/>
    <cellStyle name="40% - Accent6 6 5 2" xfId="18739" xr:uid="{00000000-0005-0000-0000-000038460000}"/>
    <cellStyle name="40% - Accent6 6 6" xfId="5457" xr:uid="{00000000-0005-0000-0000-000039460000}"/>
    <cellStyle name="40% - Accent6 6 6 2" xfId="16745" xr:uid="{00000000-0005-0000-0000-00003A460000}"/>
    <cellStyle name="40% - Accent6 6 7" xfId="14751" xr:uid="{00000000-0005-0000-0000-00003B460000}"/>
    <cellStyle name="40% - Accent6 6 8" xfId="13437" xr:uid="{00000000-0005-0000-0000-00003C460000}"/>
    <cellStyle name="40% - Accent6 6 9" xfId="24002" xr:uid="{00000000-0005-0000-0000-00003D460000}"/>
    <cellStyle name="40% - Accent6 60" xfId="1502" xr:uid="{00000000-0005-0000-0000-00003E460000}"/>
    <cellStyle name="40% - Accent6 60 2" xfId="4458" xr:uid="{00000000-0005-0000-0000-00003F460000}"/>
    <cellStyle name="40% - Accent6 60 2 2" xfId="12437" xr:uid="{00000000-0005-0000-0000-000040460000}"/>
    <cellStyle name="40% - Accent6 60 2 2 2" xfId="23725" xr:uid="{00000000-0005-0000-0000-000041460000}"/>
    <cellStyle name="40% - Accent6 60 2 3" xfId="10443" xr:uid="{00000000-0005-0000-0000-000042460000}"/>
    <cellStyle name="40% - Accent6 60 2 3 2" xfId="21731" xr:uid="{00000000-0005-0000-0000-000043460000}"/>
    <cellStyle name="40% - Accent6 60 2 4" xfId="8449" xr:uid="{00000000-0005-0000-0000-000044460000}"/>
    <cellStyle name="40% - Accent6 60 2 4 2" xfId="19737" xr:uid="{00000000-0005-0000-0000-000045460000}"/>
    <cellStyle name="40% - Accent6 60 2 5" xfId="6455" xr:uid="{00000000-0005-0000-0000-000046460000}"/>
    <cellStyle name="40% - Accent6 60 2 5 2" xfId="17743" xr:uid="{00000000-0005-0000-0000-000047460000}"/>
    <cellStyle name="40% - Accent6 60 2 6" xfId="15749" xr:uid="{00000000-0005-0000-0000-000048460000}"/>
    <cellStyle name="40% - Accent6 60 3" xfId="11440" xr:uid="{00000000-0005-0000-0000-000049460000}"/>
    <cellStyle name="40% - Accent6 60 3 2" xfId="22728" xr:uid="{00000000-0005-0000-0000-00004A460000}"/>
    <cellStyle name="40% - Accent6 60 4" xfId="9446" xr:uid="{00000000-0005-0000-0000-00004B460000}"/>
    <cellStyle name="40% - Accent6 60 4 2" xfId="20734" xr:uid="{00000000-0005-0000-0000-00004C460000}"/>
    <cellStyle name="40% - Accent6 60 5" xfId="7452" xr:uid="{00000000-0005-0000-0000-00004D460000}"/>
    <cellStyle name="40% - Accent6 60 5 2" xfId="18740" xr:uid="{00000000-0005-0000-0000-00004E460000}"/>
    <cellStyle name="40% - Accent6 60 6" xfId="5458" xr:uid="{00000000-0005-0000-0000-00004F460000}"/>
    <cellStyle name="40% - Accent6 60 6 2" xfId="16746" xr:uid="{00000000-0005-0000-0000-000050460000}"/>
    <cellStyle name="40% - Accent6 60 7" xfId="14752" xr:uid="{00000000-0005-0000-0000-000051460000}"/>
    <cellStyle name="40% - Accent6 60 8" xfId="13438" xr:uid="{00000000-0005-0000-0000-000052460000}"/>
    <cellStyle name="40% - Accent6 61" xfId="1503" xr:uid="{00000000-0005-0000-0000-000053460000}"/>
    <cellStyle name="40% - Accent6 61 2" xfId="4459" xr:uid="{00000000-0005-0000-0000-000054460000}"/>
    <cellStyle name="40% - Accent6 61 2 2" xfId="12438" xr:uid="{00000000-0005-0000-0000-000055460000}"/>
    <cellStyle name="40% - Accent6 61 2 2 2" xfId="23726" xr:uid="{00000000-0005-0000-0000-000056460000}"/>
    <cellStyle name="40% - Accent6 61 2 3" xfId="10444" xr:uid="{00000000-0005-0000-0000-000057460000}"/>
    <cellStyle name="40% - Accent6 61 2 3 2" xfId="21732" xr:uid="{00000000-0005-0000-0000-000058460000}"/>
    <cellStyle name="40% - Accent6 61 2 4" xfId="8450" xr:uid="{00000000-0005-0000-0000-000059460000}"/>
    <cellStyle name="40% - Accent6 61 2 4 2" xfId="19738" xr:uid="{00000000-0005-0000-0000-00005A460000}"/>
    <cellStyle name="40% - Accent6 61 2 5" xfId="6456" xr:uid="{00000000-0005-0000-0000-00005B460000}"/>
    <cellStyle name="40% - Accent6 61 2 5 2" xfId="17744" xr:uid="{00000000-0005-0000-0000-00005C460000}"/>
    <cellStyle name="40% - Accent6 61 2 6" xfId="15750" xr:uid="{00000000-0005-0000-0000-00005D460000}"/>
    <cellStyle name="40% - Accent6 61 3" xfId="11441" xr:uid="{00000000-0005-0000-0000-00005E460000}"/>
    <cellStyle name="40% - Accent6 61 3 2" xfId="22729" xr:uid="{00000000-0005-0000-0000-00005F460000}"/>
    <cellStyle name="40% - Accent6 61 4" xfId="9447" xr:uid="{00000000-0005-0000-0000-000060460000}"/>
    <cellStyle name="40% - Accent6 61 4 2" xfId="20735" xr:uid="{00000000-0005-0000-0000-000061460000}"/>
    <cellStyle name="40% - Accent6 61 5" xfId="7453" xr:uid="{00000000-0005-0000-0000-000062460000}"/>
    <cellStyle name="40% - Accent6 61 5 2" xfId="18741" xr:uid="{00000000-0005-0000-0000-000063460000}"/>
    <cellStyle name="40% - Accent6 61 6" xfId="5459" xr:uid="{00000000-0005-0000-0000-000064460000}"/>
    <cellStyle name="40% - Accent6 61 6 2" xfId="16747" xr:uid="{00000000-0005-0000-0000-000065460000}"/>
    <cellStyle name="40% - Accent6 61 7" xfId="14753" xr:uid="{00000000-0005-0000-0000-000066460000}"/>
    <cellStyle name="40% - Accent6 61 8" xfId="13439" xr:uid="{00000000-0005-0000-0000-000067460000}"/>
    <cellStyle name="40% - Accent6 62" xfId="1504" xr:uid="{00000000-0005-0000-0000-000068460000}"/>
    <cellStyle name="40% - Accent6 62 2" xfId="4460" xr:uid="{00000000-0005-0000-0000-000069460000}"/>
    <cellStyle name="40% - Accent6 62 2 2" xfId="12439" xr:uid="{00000000-0005-0000-0000-00006A460000}"/>
    <cellStyle name="40% - Accent6 62 2 2 2" xfId="23727" xr:uid="{00000000-0005-0000-0000-00006B460000}"/>
    <cellStyle name="40% - Accent6 62 2 3" xfId="10445" xr:uid="{00000000-0005-0000-0000-00006C460000}"/>
    <cellStyle name="40% - Accent6 62 2 3 2" xfId="21733" xr:uid="{00000000-0005-0000-0000-00006D460000}"/>
    <cellStyle name="40% - Accent6 62 2 4" xfId="8451" xr:uid="{00000000-0005-0000-0000-00006E460000}"/>
    <cellStyle name="40% - Accent6 62 2 4 2" xfId="19739" xr:uid="{00000000-0005-0000-0000-00006F460000}"/>
    <cellStyle name="40% - Accent6 62 2 5" xfId="6457" xr:uid="{00000000-0005-0000-0000-000070460000}"/>
    <cellStyle name="40% - Accent6 62 2 5 2" xfId="17745" xr:uid="{00000000-0005-0000-0000-000071460000}"/>
    <cellStyle name="40% - Accent6 62 2 6" xfId="15751" xr:uid="{00000000-0005-0000-0000-000072460000}"/>
    <cellStyle name="40% - Accent6 62 3" xfId="11442" xr:uid="{00000000-0005-0000-0000-000073460000}"/>
    <cellStyle name="40% - Accent6 62 3 2" xfId="22730" xr:uid="{00000000-0005-0000-0000-000074460000}"/>
    <cellStyle name="40% - Accent6 62 4" xfId="9448" xr:uid="{00000000-0005-0000-0000-000075460000}"/>
    <cellStyle name="40% - Accent6 62 4 2" xfId="20736" xr:uid="{00000000-0005-0000-0000-000076460000}"/>
    <cellStyle name="40% - Accent6 62 5" xfId="7454" xr:uid="{00000000-0005-0000-0000-000077460000}"/>
    <cellStyle name="40% - Accent6 62 5 2" xfId="18742" xr:uid="{00000000-0005-0000-0000-000078460000}"/>
    <cellStyle name="40% - Accent6 62 6" xfId="5460" xr:uid="{00000000-0005-0000-0000-000079460000}"/>
    <cellStyle name="40% - Accent6 62 6 2" xfId="16748" xr:uid="{00000000-0005-0000-0000-00007A460000}"/>
    <cellStyle name="40% - Accent6 62 7" xfId="14754" xr:uid="{00000000-0005-0000-0000-00007B460000}"/>
    <cellStyle name="40% - Accent6 62 8" xfId="13440" xr:uid="{00000000-0005-0000-0000-00007C460000}"/>
    <cellStyle name="40% - Accent6 63" xfId="1505" xr:uid="{00000000-0005-0000-0000-00007D460000}"/>
    <cellStyle name="40% - Accent6 63 2" xfId="4461" xr:uid="{00000000-0005-0000-0000-00007E460000}"/>
    <cellStyle name="40% - Accent6 63 2 2" xfId="12440" xr:uid="{00000000-0005-0000-0000-00007F460000}"/>
    <cellStyle name="40% - Accent6 63 2 2 2" xfId="23728" xr:uid="{00000000-0005-0000-0000-000080460000}"/>
    <cellStyle name="40% - Accent6 63 2 3" xfId="10446" xr:uid="{00000000-0005-0000-0000-000081460000}"/>
    <cellStyle name="40% - Accent6 63 2 3 2" xfId="21734" xr:uid="{00000000-0005-0000-0000-000082460000}"/>
    <cellStyle name="40% - Accent6 63 2 4" xfId="8452" xr:uid="{00000000-0005-0000-0000-000083460000}"/>
    <cellStyle name="40% - Accent6 63 2 4 2" xfId="19740" xr:uid="{00000000-0005-0000-0000-000084460000}"/>
    <cellStyle name="40% - Accent6 63 2 5" xfId="6458" xr:uid="{00000000-0005-0000-0000-000085460000}"/>
    <cellStyle name="40% - Accent6 63 2 5 2" xfId="17746" xr:uid="{00000000-0005-0000-0000-000086460000}"/>
    <cellStyle name="40% - Accent6 63 2 6" xfId="15752" xr:uid="{00000000-0005-0000-0000-000087460000}"/>
    <cellStyle name="40% - Accent6 63 3" xfId="11443" xr:uid="{00000000-0005-0000-0000-000088460000}"/>
    <cellStyle name="40% - Accent6 63 3 2" xfId="22731" xr:uid="{00000000-0005-0000-0000-000089460000}"/>
    <cellStyle name="40% - Accent6 63 4" xfId="9449" xr:uid="{00000000-0005-0000-0000-00008A460000}"/>
    <cellStyle name="40% - Accent6 63 4 2" xfId="20737" xr:uid="{00000000-0005-0000-0000-00008B460000}"/>
    <cellStyle name="40% - Accent6 63 5" xfId="7455" xr:uid="{00000000-0005-0000-0000-00008C460000}"/>
    <cellStyle name="40% - Accent6 63 5 2" xfId="18743" xr:uid="{00000000-0005-0000-0000-00008D460000}"/>
    <cellStyle name="40% - Accent6 63 6" xfId="5461" xr:uid="{00000000-0005-0000-0000-00008E460000}"/>
    <cellStyle name="40% - Accent6 63 6 2" xfId="16749" xr:uid="{00000000-0005-0000-0000-00008F460000}"/>
    <cellStyle name="40% - Accent6 63 7" xfId="14755" xr:uid="{00000000-0005-0000-0000-000090460000}"/>
    <cellStyle name="40% - Accent6 63 8" xfId="13441" xr:uid="{00000000-0005-0000-0000-000091460000}"/>
    <cellStyle name="40% - Accent6 64" xfId="1506" xr:uid="{00000000-0005-0000-0000-000092460000}"/>
    <cellStyle name="40% - Accent6 64 2" xfId="4462" xr:uid="{00000000-0005-0000-0000-000093460000}"/>
    <cellStyle name="40% - Accent6 64 2 2" xfId="12441" xr:uid="{00000000-0005-0000-0000-000094460000}"/>
    <cellStyle name="40% - Accent6 64 2 2 2" xfId="23729" xr:uid="{00000000-0005-0000-0000-000095460000}"/>
    <cellStyle name="40% - Accent6 64 2 3" xfId="10447" xr:uid="{00000000-0005-0000-0000-000096460000}"/>
    <cellStyle name="40% - Accent6 64 2 3 2" xfId="21735" xr:uid="{00000000-0005-0000-0000-000097460000}"/>
    <cellStyle name="40% - Accent6 64 2 4" xfId="8453" xr:uid="{00000000-0005-0000-0000-000098460000}"/>
    <cellStyle name="40% - Accent6 64 2 4 2" xfId="19741" xr:uid="{00000000-0005-0000-0000-000099460000}"/>
    <cellStyle name="40% - Accent6 64 2 5" xfId="6459" xr:uid="{00000000-0005-0000-0000-00009A460000}"/>
    <cellStyle name="40% - Accent6 64 2 5 2" xfId="17747" xr:uid="{00000000-0005-0000-0000-00009B460000}"/>
    <cellStyle name="40% - Accent6 64 2 6" xfId="15753" xr:uid="{00000000-0005-0000-0000-00009C460000}"/>
    <cellStyle name="40% - Accent6 64 3" xfId="11444" xr:uid="{00000000-0005-0000-0000-00009D460000}"/>
    <cellStyle name="40% - Accent6 64 3 2" xfId="22732" xr:uid="{00000000-0005-0000-0000-00009E460000}"/>
    <cellStyle name="40% - Accent6 64 4" xfId="9450" xr:uid="{00000000-0005-0000-0000-00009F460000}"/>
    <cellStyle name="40% - Accent6 64 4 2" xfId="20738" xr:uid="{00000000-0005-0000-0000-0000A0460000}"/>
    <cellStyle name="40% - Accent6 64 5" xfId="7456" xr:uid="{00000000-0005-0000-0000-0000A1460000}"/>
    <cellStyle name="40% - Accent6 64 5 2" xfId="18744" xr:uid="{00000000-0005-0000-0000-0000A2460000}"/>
    <cellStyle name="40% - Accent6 64 6" xfId="5462" xr:uid="{00000000-0005-0000-0000-0000A3460000}"/>
    <cellStyle name="40% - Accent6 64 6 2" xfId="16750" xr:uid="{00000000-0005-0000-0000-0000A4460000}"/>
    <cellStyle name="40% - Accent6 64 7" xfId="14756" xr:uid="{00000000-0005-0000-0000-0000A5460000}"/>
    <cellStyle name="40% - Accent6 64 8" xfId="13442" xr:uid="{00000000-0005-0000-0000-0000A6460000}"/>
    <cellStyle name="40% - Accent6 65" xfId="1507" xr:uid="{00000000-0005-0000-0000-0000A7460000}"/>
    <cellStyle name="40% - Accent6 65 2" xfId="4463" xr:uid="{00000000-0005-0000-0000-0000A8460000}"/>
    <cellStyle name="40% - Accent6 65 2 2" xfId="12442" xr:uid="{00000000-0005-0000-0000-0000A9460000}"/>
    <cellStyle name="40% - Accent6 65 2 2 2" xfId="23730" xr:uid="{00000000-0005-0000-0000-0000AA460000}"/>
    <cellStyle name="40% - Accent6 65 2 3" xfId="10448" xr:uid="{00000000-0005-0000-0000-0000AB460000}"/>
    <cellStyle name="40% - Accent6 65 2 3 2" xfId="21736" xr:uid="{00000000-0005-0000-0000-0000AC460000}"/>
    <cellStyle name="40% - Accent6 65 2 4" xfId="8454" xr:uid="{00000000-0005-0000-0000-0000AD460000}"/>
    <cellStyle name="40% - Accent6 65 2 4 2" xfId="19742" xr:uid="{00000000-0005-0000-0000-0000AE460000}"/>
    <cellStyle name="40% - Accent6 65 2 5" xfId="6460" xr:uid="{00000000-0005-0000-0000-0000AF460000}"/>
    <cellStyle name="40% - Accent6 65 2 5 2" xfId="17748" xr:uid="{00000000-0005-0000-0000-0000B0460000}"/>
    <cellStyle name="40% - Accent6 65 2 6" xfId="15754" xr:uid="{00000000-0005-0000-0000-0000B1460000}"/>
    <cellStyle name="40% - Accent6 65 3" xfId="11445" xr:uid="{00000000-0005-0000-0000-0000B2460000}"/>
    <cellStyle name="40% - Accent6 65 3 2" xfId="22733" xr:uid="{00000000-0005-0000-0000-0000B3460000}"/>
    <cellStyle name="40% - Accent6 65 4" xfId="9451" xr:uid="{00000000-0005-0000-0000-0000B4460000}"/>
    <cellStyle name="40% - Accent6 65 4 2" xfId="20739" xr:uid="{00000000-0005-0000-0000-0000B5460000}"/>
    <cellStyle name="40% - Accent6 65 5" xfId="7457" xr:uid="{00000000-0005-0000-0000-0000B6460000}"/>
    <cellStyle name="40% - Accent6 65 5 2" xfId="18745" xr:uid="{00000000-0005-0000-0000-0000B7460000}"/>
    <cellStyle name="40% - Accent6 65 6" xfId="5463" xr:uid="{00000000-0005-0000-0000-0000B8460000}"/>
    <cellStyle name="40% - Accent6 65 6 2" xfId="16751" xr:uid="{00000000-0005-0000-0000-0000B9460000}"/>
    <cellStyle name="40% - Accent6 65 7" xfId="14757" xr:uid="{00000000-0005-0000-0000-0000BA460000}"/>
    <cellStyle name="40% - Accent6 65 8" xfId="13443" xr:uid="{00000000-0005-0000-0000-0000BB460000}"/>
    <cellStyle name="40% - Accent6 66" xfId="1508" xr:uid="{00000000-0005-0000-0000-0000BC460000}"/>
    <cellStyle name="40% - Accent6 66 2" xfId="4464" xr:uid="{00000000-0005-0000-0000-0000BD460000}"/>
    <cellStyle name="40% - Accent6 66 2 2" xfId="12443" xr:uid="{00000000-0005-0000-0000-0000BE460000}"/>
    <cellStyle name="40% - Accent6 66 2 2 2" xfId="23731" xr:uid="{00000000-0005-0000-0000-0000BF460000}"/>
    <cellStyle name="40% - Accent6 66 2 3" xfId="10449" xr:uid="{00000000-0005-0000-0000-0000C0460000}"/>
    <cellStyle name="40% - Accent6 66 2 3 2" xfId="21737" xr:uid="{00000000-0005-0000-0000-0000C1460000}"/>
    <cellStyle name="40% - Accent6 66 2 4" xfId="8455" xr:uid="{00000000-0005-0000-0000-0000C2460000}"/>
    <cellStyle name="40% - Accent6 66 2 4 2" xfId="19743" xr:uid="{00000000-0005-0000-0000-0000C3460000}"/>
    <cellStyle name="40% - Accent6 66 2 5" xfId="6461" xr:uid="{00000000-0005-0000-0000-0000C4460000}"/>
    <cellStyle name="40% - Accent6 66 2 5 2" xfId="17749" xr:uid="{00000000-0005-0000-0000-0000C5460000}"/>
    <cellStyle name="40% - Accent6 66 2 6" xfId="15755" xr:uid="{00000000-0005-0000-0000-0000C6460000}"/>
    <cellStyle name="40% - Accent6 66 3" xfId="11446" xr:uid="{00000000-0005-0000-0000-0000C7460000}"/>
    <cellStyle name="40% - Accent6 66 3 2" xfId="22734" xr:uid="{00000000-0005-0000-0000-0000C8460000}"/>
    <cellStyle name="40% - Accent6 66 4" xfId="9452" xr:uid="{00000000-0005-0000-0000-0000C9460000}"/>
    <cellStyle name="40% - Accent6 66 4 2" xfId="20740" xr:uid="{00000000-0005-0000-0000-0000CA460000}"/>
    <cellStyle name="40% - Accent6 66 5" xfId="7458" xr:uid="{00000000-0005-0000-0000-0000CB460000}"/>
    <cellStyle name="40% - Accent6 66 5 2" xfId="18746" xr:uid="{00000000-0005-0000-0000-0000CC460000}"/>
    <cellStyle name="40% - Accent6 66 6" xfId="5464" xr:uid="{00000000-0005-0000-0000-0000CD460000}"/>
    <cellStyle name="40% - Accent6 66 6 2" xfId="16752" xr:uid="{00000000-0005-0000-0000-0000CE460000}"/>
    <cellStyle name="40% - Accent6 66 7" xfId="14758" xr:uid="{00000000-0005-0000-0000-0000CF460000}"/>
    <cellStyle name="40% - Accent6 66 8" xfId="13444" xr:uid="{00000000-0005-0000-0000-0000D0460000}"/>
    <cellStyle name="40% - Accent6 67" xfId="1509" xr:uid="{00000000-0005-0000-0000-0000D1460000}"/>
    <cellStyle name="40% - Accent6 67 2" xfId="4465" xr:uid="{00000000-0005-0000-0000-0000D2460000}"/>
    <cellStyle name="40% - Accent6 67 2 2" xfId="12444" xr:uid="{00000000-0005-0000-0000-0000D3460000}"/>
    <cellStyle name="40% - Accent6 67 2 2 2" xfId="23732" xr:uid="{00000000-0005-0000-0000-0000D4460000}"/>
    <cellStyle name="40% - Accent6 67 2 3" xfId="10450" xr:uid="{00000000-0005-0000-0000-0000D5460000}"/>
    <cellStyle name="40% - Accent6 67 2 3 2" xfId="21738" xr:uid="{00000000-0005-0000-0000-0000D6460000}"/>
    <cellStyle name="40% - Accent6 67 2 4" xfId="8456" xr:uid="{00000000-0005-0000-0000-0000D7460000}"/>
    <cellStyle name="40% - Accent6 67 2 4 2" xfId="19744" xr:uid="{00000000-0005-0000-0000-0000D8460000}"/>
    <cellStyle name="40% - Accent6 67 2 5" xfId="6462" xr:uid="{00000000-0005-0000-0000-0000D9460000}"/>
    <cellStyle name="40% - Accent6 67 2 5 2" xfId="17750" xr:uid="{00000000-0005-0000-0000-0000DA460000}"/>
    <cellStyle name="40% - Accent6 67 2 6" xfId="15756" xr:uid="{00000000-0005-0000-0000-0000DB460000}"/>
    <cellStyle name="40% - Accent6 67 3" xfId="11447" xr:uid="{00000000-0005-0000-0000-0000DC460000}"/>
    <cellStyle name="40% - Accent6 67 3 2" xfId="22735" xr:uid="{00000000-0005-0000-0000-0000DD460000}"/>
    <cellStyle name="40% - Accent6 67 4" xfId="9453" xr:uid="{00000000-0005-0000-0000-0000DE460000}"/>
    <cellStyle name="40% - Accent6 67 4 2" xfId="20741" xr:uid="{00000000-0005-0000-0000-0000DF460000}"/>
    <cellStyle name="40% - Accent6 67 5" xfId="7459" xr:uid="{00000000-0005-0000-0000-0000E0460000}"/>
    <cellStyle name="40% - Accent6 67 5 2" xfId="18747" xr:uid="{00000000-0005-0000-0000-0000E1460000}"/>
    <cellStyle name="40% - Accent6 67 6" xfId="5465" xr:uid="{00000000-0005-0000-0000-0000E2460000}"/>
    <cellStyle name="40% - Accent6 67 6 2" xfId="16753" xr:uid="{00000000-0005-0000-0000-0000E3460000}"/>
    <cellStyle name="40% - Accent6 67 7" xfId="14759" xr:uid="{00000000-0005-0000-0000-0000E4460000}"/>
    <cellStyle name="40% - Accent6 67 8" xfId="13445" xr:uid="{00000000-0005-0000-0000-0000E5460000}"/>
    <cellStyle name="40% - Accent6 68" xfId="1510" xr:uid="{00000000-0005-0000-0000-0000E6460000}"/>
    <cellStyle name="40% - Accent6 68 2" xfId="4466" xr:uid="{00000000-0005-0000-0000-0000E7460000}"/>
    <cellStyle name="40% - Accent6 68 2 2" xfId="12445" xr:uid="{00000000-0005-0000-0000-0000E8460000}"/>
    <cellStyle name="40% - Accent6 68 2 2 2" xfId="23733" xr:uid="{00000000-0005-0000-0000-0000E9460000}"/>
    <cellStyle name="40% - Accent6 68 2 3" xfId="10451" xr:uid="{00000000-0005-0000-0000-0000EA460000}"/>
    <cellStyle name="40% - Accent6 68 2 3 2" xfId="21739" xr:uid="{00000000-0005-0000-0000-0000EB460000}"/>
    <cellStyle name="40% - Accent6 68 2 4" xfId="8457" xr:uid="{00000000-0005-0000-0000-0000EC460000}"/>
    <cellStyle name="40% - Accent6 68 2 4 2" xfId="19745" xr:uid="{00000000-0005-0000-0000-0000ED460000}"/>
    <cellStyle name="40% - Accent6 68 2 5" xfId="6463" xr:uid="{00000000-0005-0000-0000-0000EE460000}"/>
    <cellStyle name="40% - Accent6 68 2 5 2" xfId="17751" xr:uid="{00000000-0005-0000-0000-0000EF460000}"/>
    <cellStyle name="40% - Accent6 68 2 6" xfId="15757" xr:uid="{00000000-0005-0000-0000-0000F0460000}"/>
    <cellStyle name="40% - Accent6 68 3" xfId="11448" xr:uid="{00000000-0005-0000-0000-0000F1460000}"/>
    <cellStyle name="40% - Accent6 68 3 2" xfId="22736" xr:uid="{00000000-0005-0000-0000-0000F2460000}"/>
    <cellStyle name="40% - Accent6 68 4" xfId="9454" xr:uid="{00000000-0005-0000-0000-0000F3460000}"/>
    <cellStyle name="40% - Accent6 68 4 2" xfId="20742" xr:uid="{00000000-0005-0000-0000-0000F4460000}"/>
    <cellStyle name="40% - Accent6 68 5" xfId="7460" xr:uid="{00000000-0005-0000-0000-0000F5460000}"/>
    <cellStyle name="40% - Accent6 68 5 2" xfId="18748" xr:uid="{00000000-0005-0000-0000-0000F6460000}"/>
    <cellStyle name="40% - Accent6 68 6" xfId="5466" xr:uid="{00000000-0005-0000-0000-0000F7460000}"/>
    <cellStyle name="40% - Accent6 68 6 2" xfId="16754" xr:uid="{00000000-0005-0000-0000-0000F8460000}"/>
    <cellStyle name="40% - Accent6 68 7" xfId="14760" xr:uid="{00000000-0005-0000-0000-0000F9460000}"/>
    <cellStyle name="40% - Accent6 68 8" xfId="13446" xr:uid="{00000000-0005-0000-0000-0000FA460000}"/>
    <cellStyle name="40% - Accent6 69" xfId="1511" xr:uid="{00000000-0005-0000-0000-0000FB460000}"/>
    <cellStyle name="40% - Accent6 69 2" xfId="4467" xr:uid="{00000000-0005-0000-0000-0000FC460000}"/>
    <cellStyle name="40% - Accent6 69 2 2" xfId="12446" xr:uid="{00000000-0005-0000-0000-0000FD460000}"/>
    <cellStyle name="40% - Accent6 69 2 2 2" xfId="23734" xr:uid="{00000000-0005-0000-0000-0000FE460000}"/>
    <cellStyle name="40% - Accent6 69 2 3" xfId="10452" xr:uid="{00000000-0005-0000-0000-0000FF460000}"/>
    <cellStyle name="40% - Accent6 69 2 3 2" xfId="21740" xr:uid="{00000000-0005-0000-0000-000000470000}"/>
    <cellStyle name="40% - Accent6 69 2 4" xfId="8458" xr:uid="{00000000-0005-0000-0000-000001470000}"/>
    <cellStyle name="40% - Accent6 69 2 4 2" xfId="19746" xr:uid="{00000000-0005-0000-0000-000002470000}"/>
    <cellStyle name="40% - Accent6 69 2 5" xfId="6464" xr:uid="{00000000-0005-0000-0000-000003470000}"/>
    <cellStyle name="40% - Accent6 69 2 5 2" xfId="17752" xr:uid="{00000000-0005-0000-0000-000004470000}"/>
    <cellStyle name="40% - Accent6 69 2 6" xfId="15758" xr:uid="{00000000-0005-0000-0000-000005470000}"/>
    <cellStyle name="40% - Accent6 69 3" xfId="11449" xr:uid="{00000000-0005-0000-0000-000006470000}"/>
    <cellStyle name="40% - Accent6 69 3 2" xfId="22737" xr:uid="{00000000-0005-0000-0000-000007470000}"/>
    <cellStyle name="40% - Accent6 69 4" xfId="9455" xr:uid="{00000000-0005-0000-0000-000008470000}"/>
    <cellStyle name="40% - Accent6 69 4 2" xfId="20743" xr:uid="{00000000-0005-0000-0000-000009470000}"/>
    <cellStyle name="40% - Accent6 69 5" xfId="7461" xr:uid="{00000000-0005-0000-0000-00000A470000}"/>
    <cellStyle name="40% - Accent6 69 5 2" xfId="18749" xr:uid="{00000000-0005-0000-0000-00000B470000}"/>
    <cellStyle name="40% - Accent6 69 6" xfId="5467" xr:uid="{00000000-0005-0000-0000-00000C470000}"/>
    <cellStyle name="40% - Accent6 69 6 2" xfId="16755" xr:uid="{00000000-0005-0000-0000-00000D470000}"/>
    <cellStyle name="40% - Accent6 69 7" xfId="14761" xr:uid="{00000000-0005-0000-0000-00000E470000}"/>
    <cellStyle name="40% - Accent6 69 8" xfId="13447" xr:uid="{00000000-0005-0000-0000-00000F470000}"/>
    <cellStyle name="40% - Accent6 7" xfId="1512" xr:uid="{00000000-0005-0000-0000-000010470000}"/>
    <cellStyle name="40% - Accent6 7 10" xfId="24630" xr:uid="{00000000-0005-0000-0000-000011470000}"/>
    <cellStyle name="40% - Accent6 7 11" xfId="25020" xr:uid="{00000000-0005-0000-0000-000012470000}"/>
    <cellStyle name="40% - Accent6 7 2" xfId="4468" xr:uid="{00000000-0005-0000-0000-000013470000}"/>
    <cellStyle name="40% - Accent6 7 2 2" xfId="12447" xr:uid="{00000000-0005-0000-0000-000014470000}"/>
    <cellStyle name="40% - Accent6 7 2 2 2" xfId="23735" xr:uid="{00000000-0005-0000-0000-000015470000}"/>
    <cellStyle name="40% - Accent6 7 2 3" xfId="10453" xr:uid="{00000000-0005-0000-0000-000016470000}"/>
    <cellStyle name="40% - Accent6 7 2 3 2" xfId="21741" xr:uid="{00000000-0005-0000-0000-000017470000}"/>
    <cellStyle name="40% - Accent6 7 2 4" xfId="8459" xr:uid="{00000000-0005-0000-0000-000018470000}"/>
    <cellStyle name="40% - Accent6 7 2 4 2" xfId="19747" xr:uid="{00000000-0005-0000-0000-000019470000}"/>
    <cellStyle name="40% - Accent6 7 2 5" xfId="6465" xr:uid="{00000000-0005-0000-0000-00001A470000}"/>
    <cellStyle name="40% - Accent6 7 2 5 2" xfId="17753" xr:uid="{00000000-0005-0000-0000-00001B470000}"/>
    <cellStyle name="40% - Accent6 7 2 6" xfId="15759" xr:uid="{00000000-0005-0000-0000-00001C470000}"/>
    <cellStyle name="40% - Accent6 7 2 7" xfId="24391" xr:uid="{00000000-0005-0000-0000-00001D470000}"/>
    <cellStyle name="40% - Accent6 7 2 8" xfId="24855" xr:uid="{00000000-0005-0000-0000-00001E470000}"/>
    <cellStyle name="40% - Accent6 7 2 9" xfId="25222" xr:uid="{00000000-0005-0000-0000-00001F470000}"/>
    <cellStyle name="40% - Accent6 7 3" xfId="11450" xr:uid="{00000000-0005-0000-0000-000020470000}"/>
    <cellStyle name="40% - Accent6 7 3 2" xfId="22738" xr:uid="{00000000-0005-0000-0000-000021470000}"/>
    <cellStyle name="40% - Accent6 7 4" xfId="9456" xr:uid="{00000000-0005-0000-0000-000022470000}"/>
    <cellStyle name="40% - Accent6 7 4 2" xfId="20744" xr:uid="{00000000-0005-0000-0000-000023470000}"/>
    <cellStyle name="40% - Accent6 7 5" xfId="7462" xr:uid="{00000000-0005-0000-0000-000024470000}"/>
    <cellStyle name="40% - Accent6 7 5 2" xfId="18750" xr:uid="{00000000-0005-0000-0000-000025470000}"/>
    <cellStyle name="40% - Accent6 7 6" xfId="5468" xr:uid="{00000000-0005-0000-0000-000026470000}"/>
    <cellStyle name="40% - Accent6 7 6 2" xfId="16756" xr:uid="{00000000-0005-0000-0000-000027470000}"/>
    <cellStyle name="40% - Accent6 7 7" xfId="14762" xr:uid="{00000000-0005-0000-0000-000028470000}"/>
    <cellStyle name="40% - Accent6 7 8" xfId="13448" xr:uid="{00000000-0005-0000-0000-000029470000}"/>
    <cellStyle name="40% - Accent6 7 9" xfId="24003" xr:uid="{00000000-0005-0000-0000-00002A470000}"/>
    <cellStyle name="40% - Accent6 70" xfId="1513" xr:uid="{00000000-0005-0000-0000-00002B470000}"/>
    <cellStyle name="40% - Accent6 70 2" xfId="4469" xr:uid="{00000000-0005-0000-0000-00002C470000}"/>
    <cellStyle name="40% - Accent6 70 2 2" xfId="12448" xr:uid="{00000000-0005-0000-0000-00002D470000}"/>
    <cellStyle name="40% - Accent6 70 2 2 2" xfId="23736" xr:uid="{00000000-0005-0000-0000-00002E470000}"/>
    <cellStyle name="40% - Accent6 70 2 3" xfId="10454" xr:uid="{00000000-0005-0000-0000-00002F470000}"/>
    <cellStyle name="40% - Accent6 70 2 3 2" xfId="21742" xr:uid="{00000000-0005-0000-0000-000030470000}"/>
    <cellStyle name="40% - Accent6 70 2 4" xfId="8460" xr:uid="{00000000-0005-0000-0000-000031470000}"/>
    <cellStyle name="40% - Accent6 70 2 4 2" xfId="19748" xr:uid="{00000000-0005-0000-0000-000032470000}"/>
    <cellStyle name="40% - Accent6 70 2 5" xfId="6466" xr:uid="{00000000-0005-0000-0000-000033470000}"/>
    <cellStyle name="40% - Accent6 70 2 5 2" xfId="17754" xr:uid="{00000000-0005-0000-0000-000034470000}"/>
    <cellStyle name="40% - Accent6 70 2 6" xfId="15760" xr:uid="{00000000-0005-0000-0000-000035470000}"/>
    <cellStyle name="40% - Accent6 70 3" xfId="11451" xr:uid="{00000000-0005-0000-0000-000036470000}"/>
    <cellStyle name="40% - Accent6 70 3 2" xfId="22739" xr:uid="{00000000-0005-0000-0000-000037470000}"/>
    <cellStyle name="40% - Accent6 70 4" xfId="9457" xr:uid="{00000000-0005-0000-0000-000038470000}"/>
    <cellStyle name="40% - Accent6 70 4 2" xfId="20745" xr:uid="{00000000-0005-0000-0000-000039470000}"/>
    <cellStyle name="40% - Accent6 70 5" xfId="7463" xr:uid="{00000000-0005-0000-0000-00003A470000}"/>
    <cellStyle name="40% - Accent6 70 5 2" xfId="18751" xr:uid="{00000000-0005-0000-0000-00003B470000}"/>
    <cellStyle name="40% - Accent6 70 6" xfId="5469" xr:uid="{00000000-0005-0000-0000-00003C470000}"/>
    <cellStyle name="40% - Accent6 70 6 2" xfId="16757" xr:uid="{00000000-0005-0000-0000-00003D470000}"/>
    <cellStyle name="40% - Accent6 70 7" xfId="14763" xr:uid="{00000000-0005-0000-0000-00003E470000}"/>
    <cellStyle name="40% - Accent6 70 8" xfId="13449" xr:uid="{00000000-0005-0000-0000-00003F470000}"/>
    <cellStyle name="40% - Accent6 71" xfId="1514" xr:uid="{00000000-0005-0000-0000-000040470000}"/>
    <cellStyle name="40% - Accent6 71 2" xfId="4470" xr:uid="{00000000-0005-0000-0000-000041470000}"/>
    <cellStyle name="40% - Accent6 71 2 2" xfId="12449" xr:uid="{00000000-0005-0000-0000-000042470000}"/>
    <cellStyle name="40% - Accent6 71 2 2 2" xfId="23737" xr:uid="{00000000-0005-0000-0000-000043470000}"/>
    <cellStyle name="40% - Accent6 71 2 3" xfId="10455" xr:uid="{00000000-0005-0000-0000-000044470000}"/>
    <cellStyle name="40% - Accent6 71 2 3 2" xfId="21743" xr:uid="{00000000-0005-0000-0000-000045470000}"/>
    <cellStyle name="40% - Accent6 71 2 4" xfId="8461" xr:uid="{00000000-0005-0000-0000-000046470000}"/>
    <cellStyle name="40% - Accent6 71 2 4 2" xfId="19749" xr:uid="{00000000-0005-0000-0000-000047470000}"/>
    <cellStyle name="40% - Accent6 71 2 5" xfId="6467" xr:uid="{00000000-0005-0000-0000-000048470000}"/>
    <cellStyle name="40% - Accent6 71 2 5 2" xfId="17755" xr:uid="{00000000-0005-0000-0000-000049470000}"/>
    <cellStyle name="40% - Accent6 71 2 6" xfId="15761" xr:uid="{00000000-0005-0000-0000-00004A470000}"/>
    <cellStyle name="40% - Accent6 71 3" xfId="11452" xr:uid="{00000000-0005-0000-0000-00004B470000}"/>
    <cellStyle name="40% - Accent6 71 3 2" xfId="22740" xr:uid="{00000000-0005-0000-0000-00004C470000}"/>
    <cellStyle name="40% - Accent6 71 4" xfId="9458" xr:uid="{00000000-0005-0000-0000-00004D470000}"/>
    <cellStyle name="40% - Accent6 71 4 2" xfId="20746" xr:uid="{00000000-0005-0000-0000-00004E470000}"/>
    <cellStyle name="40% - Accent6 71 5" xfId="7464" xr:uid="{00000000-0005-0000-0000-00004F470000}"/>
    <cellStyle name="40% - Accent6 71 5 2" xfId="18752" xr:uid="{00000000-0005-0000-0000-000050470000}"/>
    <cellStyle name="40% - Accent6 71 6" xfId="5470" xr:uid="{00000000-0005-0000-0000-000051470000}"/>
    <cellStyle name="40% - Accent6 71 6 2" xfId="16758" xr:uid="{00000000-0005-0000-0000-000052470000}"/>
    <cellStyle name="40% - Accent6 71 7" xfId="14764" xr:uid="{00000000-0005-0000-0000-000053470000}"/>
    <cellStyle name="40% - Accent6 71 8" xfId="13450" xr:uid="{00000000-0005-0000-0000-000054470000}"/>
    <cellStyle name="40% - Accent6 72" xfId="1515" xr:uid="{00000000-0005-0000-0000-000055470000}"/>
    <cellStyle name="40% - Accent6 72 2" xfId="4471" xr:uid="{00000000-0005-0000-0000-000056470000}"/>
    <cellStyle name="40% - Accent6 72 2 2" xfId="12450" xr:uid="{00000000-0005-0000-0000-000057470000}"/>
    <cellStyle name="40% - Accent6 72 2 2 2" xfId="23738" xr:uid="{00000000-0005-0000-0000-000058470000}"/>
    <cellStyle name="40% - Accent6 72 2 3" xfId="10456" xr:uid="{00000000-0005-0000-0000-000059470000}"/>
    <cellStyle name="40% - Accent6 72 2 3 2" xfId="21744" xr:uid="{00000000-0005-0000-0000-00005A470000}"/>
    <cellStyle name="40% - Accent6 72 2 4" xfId="8462" xr:uid="{00000000-0005-0000-0000-00005B470000}"/>
    <cellStyle name="40% - Accent6 72 2 4 2" xfId="19750" xr:uid="{00000000-0005-0000-0000-00005C470000}"/>
    <cellStyle name="40% - Accent6 72 2 5" xfId="6468" xr:uid="{00000000-0005-0000-0000-00005D470000}"/>
    <cellStyle name="40% - Accent6 72 2 5 2" xfId="17756" xr:uid="{00000000-0005-0000-0000-00005E470000}"/>
    <cellStyle name="40% - Accent6 72 2 6" xfId="15762" xr:uid="{00000000-0005-0000-0000-00005F470000}"/>
    <cellStyle name="40% - Accent6 72 3" xfId="11453" xr:uid="{00000000-0005-0000-0000-000060470000}"/>
    <cellStyle name="40% - Accent6 72 3 2" xfId="22741" xr:uid="{00000000-0005-0000-0000-000061470000}"/>
    <cellStyle name="40% - Accent6 72 4" xfId="9459" xr:uid="{00000000-0005-0000-0000-000062470000}"/>
    <cellStyle name="40% - Accent6 72 4 2" xfId="20747" xr:uid="{00000000-0005-0000-0000-000063470000}"/>
    <cellStyle name="40% - Accent6 72 5" xfId="7465" xr:uid="{00000000-0005-0000-0000-000064470000}"/>
    <cellStyle name="40% - Accent6 72 5 2" xfId="18753" xr:uid="{00000000-0005-0000-0000-000065470000}"/>
    <cellStyle name="40% - Accent6 72 6" xfId="5471" xr:uid="{00000000-0005-0000-0000-000066470000}"/>
    <cellStyle name="40% - Accent6 72 6 2" xfId="16759" xr:uid="{00000000-0005-0000-0000-000067470000}"/>
    <cellStyle name="40% - Accent6 72 7" xfId="14765" xr:uid="{00000000-0005-0000-0000-000068470000}"/>
    <cellStyle name="40% - Accent6 72 8" xfId="13451" xr:uid="{00000000-0005-0000-0000-000069470000}"/>
    <cellStyle name="40% - Accent6 8" xfId="1516" xr:uid="{00000000-0005-0000-0000-00006A470000}"/>
    <cellStyle name="40% - Accent6 8 2" xfId="4472" xr:uid="{00000000-0005-0000-0000-00006B470000}"/>
    <cellStyle name="40% - Accent6 8 2 2" xfId="12451" xr:uid="{00000000-0005-0000-0000-00006C470000}"/>
    <cellStyle name="40% - Accent6 8 2 2 2" xfId="23739" xr:uid="{00000000-0005-0000-0000-00006D470000}"/>
    <cellStyle name="40% - Accent6 8 2 3" xfId="10457" xr:uid="{00000000-0005-0000-0000-00006E470000}"/>
    <cellStyle name="40% - Accent6 8 2 3 2" xfId="21745" xr:uid="{00000000-0005-0000-0000-00006F470000}"/>
    <cellStyle name="40% - Accent6 8 2 4" xfId="8463" xr:uid="{00000000-0005-0000-0000-000070470000}"/>
    <cellStyle name="40% - Accent6 8 2 4 2" xfId="19751" xr:uid="{00000000-0005-0000-0000-000071470000}"/>
    <cellStyle name="40% - Accent6 8 2 5" xfId="6469" xr:uid="{00000000-0005-0000-0000-000072470000}"/>
    <cellStyle name="40% - Accent6 8 2 5 2" xfId="17757" xr:uid="{00000000-0005-0000-0000-000073470000}"/>
    <cellStyle name="40% - Accent6 8 2 6" xfId="15763" xr:uid="{00000000-0005-0000-0000-000074470000}"/>
    <cellStyle name="40% - Accent6 8 3" xfId="11454" xr:uid="{00000000-0005-0000-0000-000075470000}"/>
    <cellStyle name="40% - Accent6 8 3 2" xfId="22742" xr:uid="{00000000-0005-0000-0000-000076470000}"/>
    <cellStyle name="40% - Accent6 8 4" xfId="9460" xr:uid="{00000000-0005-0000-0000-000077470000}"/>
    <cellStyle name="40% - Accent6 8 4 2" xfId="20748" xr:uid="{00000000-0005-0000-0000-000078470000}"/>
    <cellStyle name="40% - Accent6 8 5" xfId="7466" xr:uid="{00000000-0005-0000-0000-000079470000}"/>
    <cellStyle name="40% - Accent6 8 5 2" xfId="18754" xr:uid="{00000000-0005-0000-0000-00007A470000}"/>
    <cellStyle name="40% - Accent6 8 6" xfId="5472" xr:uid="{00000000-0005-0000-0000-00007B470000}"/>
    <cellStyle name="40% - Accent6 8 6 2" xfId="16760" xr:uid="{00000000-0005-0000-0000-00007C470000}"/>
    <cellStyle name="40% - Accent6 8 7" xfId="14766" xr:uid="{00000000-0005-0000-0000-00007D470000}"/>
    <cellStyle name="40% - Accent6 8 8" xfId="13452" xr:uid="{00000000-0005-0000-0000-00007E470000}"/>
    <cellStyle name="40% - Accent6 9" xfId="1517" xr:uid="{00000000-0005-0000-0000-00007F470000}"/>
    <cellStyle name="40% - Accent6 9 2" xfId="4473" xr:uid="{00000000-0005-0000-0000-000080470000}"/>
    <cellStyle name="40% - Accent6 9 2 2" xfId="12452" xr:uid="{00000000-0005-0000-0000-000081470000}"/>
    <cellStyle name="40% - Accent6 9 2 2 2" xfId="23740" xr:uid="{00000000-0005-0000-0000-000082470000}"/>
    <cellStyle name="40% - Accent6 9 2 3" xfId="10458" xr:uid="{00000000-0005-0000-0000-000083470000}"/>
    <cellStyle name="40% - Accent6 9 2 3 2" xfId="21746" xr:uid="{00000000-0005-0000-0000-000084470000}"/>
    <cellStyle name="40% - Accent6 9 2 4" xfId="8464" xr:uid="{00000000-0005-0000-0000-000085470000}"/>
    <cellStyle name="40% - Accent6 9 2 4 2" xfId="19752" xr:uid="{00000000-0005-0000-0000-000086470000}"/>
    <cellStyle name="40% - Accent6 9 2 5" xfId="6470" xr:uid="{00000000-0005-0000-0000-000087470000}"/>
    <cellStyle name="40% - Accent6 9 2 5 2" xfId="17758" xr:uid="{00000000-0005-0000-0000-000088470000}"/>
    <cellStyle name="40% - Accent6 9 2 6" xfId="15764" xr:uid="{00000000-0005-0000-0000-000089470000}"/>
    <cellStyle name="40% - Accent6 9 3" xfId="11455" xr:uid="{00000000-0005-0000-0000-00008A470000}"/>
    <cellStyle name="40% - Accent6 9 3 2" xfId="22743" xr:uid="{00000000-0005-0000-0000-00008B470000}"/>
    <cellStyle name="40% - Accent6 9 4" xfId="9461" xr:uid="{00000000-0005-0000-0000-00008C470000}"/>
    <cellStyle name="40% - Accent6 9 4 2" xfId="20749" xr:uid="{00000000-0005-0000-0000-00008D470000}"/>
    <cellStyle name="40% - Accent6 9 5" xfId="7467" xr:uid="{00000000-0005-0000-0000-00008E470000}"/>
    <cellStyle name="40% - Accent6 9 5 2" xfId="18755" xr:uid="{00000000-0005-0000-0000-00008F470000}"/>
    <cellStyle name="40% - Accent6 9 6" xfId="5473" xr:uid="{00000000-0005-0000-0000-000090470000}"/>
    <cellStyle name="40% - Accent6 9 6 2" xfId="16761" xr:uid="{00000000-0005-0000-0000-000091470000}"/>
    <cellStyle name="40% - Accent6 9 7" xfId="14767" xr:uid="{00000000-0005-0000-0000-000092470000}"/>
    <cellStyle name="40% - Accent6 9 8" xfId="13453" xr:uid="{00000000-0005-0000-0000-000093470000}"/>
    <cellStyle name="60% - Accent1 10" xfId="1518" xr:uid="{00000000-0005-0000-0000-000094470000}"/>
    <cellStyle name="60% - Accent1 11" xfId="1519" xr:uid="{00000000-0005-0000-0000-000095470000}"/>
    <cellStyle name="60% - Accent1 12" xfId="1520" xr:uid="{00000000-0005-0000-0000-000096470000}"/>
    <cellStyle name="60% - Accent1 13" xfId="1521" xr:uid="{00000000-0005-0000-0000-000097470000}"/>
    <cellStyle name="60% - Accent1 14" xfId="1522" xr:uid="{00000000-0005-0000-0000-000098470000}"/>
    <cellStyle name="60% - Accent1 15" xfId="1523" xr:uid="{00000000-0005-0000-0000-000099470000}"/>
    <cellStyle name="60% - Accent1 16" xfId="1524" xr:uid="{00000000-0005-0000-0000-00009A470000}"/>
    <cellStyle name="60% - Accent1 17" xfId="1525" xr:uid="{00000000-0005-0000-0000-00009B470000}"/>
    <cellStyle name="60% - Accent1 18" xfId="1526" xr:uid="{00000000-0005-0000-0000-00009C470000}"/>
    <cellStyle name="60% - Accent1 19" xfId="1527" xr:uid="{00000000-0005-0000-0000-00009D470000}"/>
    <cellStyle name="60% - Accent1 2" xfId="1528" xr:uid="{00000000-0005-0000-0000-00009E470000}"/>
    <cellStyle name="60% - Accent1 20" xfId="1529" xr:uid="{00000000-0005-0000-0000-00009F470000}"/>
    <cellStyle name="60% - Accent1 21" xfId="1530" xr:uid="{00000000-0005-0000-0000-0000A0470000}"/>
    <cellStyle name="60% - Accent1 22" xfId="1531" xr:uid="{00000000-0005-0000-0000-0000A1470000}"/>
    <cellStyle name="60% - Accent1 23" xfId="1532" xr:uid="{00000000-0005-0000-0000-0000A2470000}"/>
    <cellStyle name="60% - Accent1 24" xfId="1533" xr:uid="{00000000-0005-0000-0000-0000A3470000}"/>
    <cellStyle name="60% - Accent1 25" xfId="1534" xr:uid="{00000000-0005-0000-0000-0000A4470000}"/>
    <cellStyle name="60% - Accent1 26" xfId="1535" xr:uid="{00000000-0005-0000-0000-0000A5470000}"/>
    <cellStyle name="60% - Accent1 27" xfId="1536" xr:uid="{00000000-0005-0000-0000-0000A6470000}"/>
    <cellStyle name="60% - Accent1 28" xfId="1537" xr:uid="{00000000-0005-0000-0000-0000A7470000}"/>
    <cellStyle name="60% - Accent1 29" xfId="1538" xr:uid="{00000000-0005-0000-0000-0000A8470000}"/>
    <cellStyle name="60% - Accent1 3" xfId="1539" xr:uid="{00000000-0005-0000-0000-0000A9470000}"/>
    <cellStyle name="60% - Accent1 30" xfId="1540" xr:uid="{00000000-0005-0000-0000-0000AA470000}"/>
    <cellStyle name="60% - Accent1 31" xfId="1541" xr:uid="{00000000-0005-0000-0000-0000AB470000}"/>
    <cellStyle name="60% - Accent1 32" xfId="1542" xr:uid="{00000000-0005-0000-0000-0000AC470000}"/>
    <cellStyle name="60% - Accent1 33" xfId="1543" xr:uid="{00000000-0005-0000-0000-0000AD470000}"/>
    <cellStyle name="60% - Accent1 34" xfId="1544" xr:uid="{00000000-0005-0000-0000-0000AE470000}"/>
    <cellStyle name="60% - Accent1 35" xfId="1545" xr:uid="{00000000-0005-0000-0000-0000AF470000}"/>
    <cellStyle name="60% - Accent1 36" xfId="1546" xr:uid="{00000000-0005-0000-0000-0000B0470000}"/>
    <cellStyle name="60% - Accent1 37" xfId="1547" xr:uid="{00000000-0005-0000-0000-0000B1470000}"/>
    <cellStyle name="60% - Accent1 38" xfId="1548" xr:uid="{00000000-0005-0000-0000-0000B2470000}"/>
    <cellStyle name="60% - Accent1 39" xfId="1549" xr:uid="{00000000-0005-0000-0000-0000B3470000}"/>
    <cellStyle name="60% - Accent1 4" xfId="1550" xr:uid="{00000000-0005-0000-0000-0000B4470000}"/>
    <cellStyle name="60% - Accent1 40" xfId="1551" xr:uid="{00000000-0005-0000-0000-0000B5470000}"/>
    <cellStyle name="60% - Accent1 41" xfId="1552" xr:uid="{00000000-0005-0000-0000-0000B6470000}"/>
    <cellStyle name="60% - Accent1 42" xfId="1553" xr:uid="{00000000-0005-0000-0000-0000B7470000}"/>
    <cellStyle name="60% - Accent1 43" xfId="1554" xr:uid="{00000000-0005-0000-0000-0000B8470000}"/>
    <cellStyle name="60% - Accent1 44" xfId="1555" xr:uid="{00000000-0005-0000-0000-0000B9470000}"/>
    <cellStyle name="60% - Accent1 45" xfId="1556" xr:uid="{00000000-0005-0000-0000-0000BA470000}"/>
    <cellStyle name="60% - Accent1 46" xfId="1557" xr:uid="{00000000-0005-0000-0000-0000BB470000}"/>
    <cellStyle name="60% - Accent1 47" xfId="1558" xr:uid="{00000000-0005-0000-0000-0000BC470000}"/>
    <cellStyle name="60% - Accent1 48" xfId="1559" xr:uid="{00000000-0005-0000-0000-0000BD470000}"/>
    <cellStyle name="60% - Accent1 49" xfId="1560" xr:uid="{00000000-0005-0000-0000-0000BE470000}"/>
    <cellStyle name="60% - Accent1 5" xfId="1561" xr:uid="{00000000-0005-0000-0000-0000BF470000}"/>
    <cellStyle name="60% - Accent1 50" xfId="1562" xr:uid="{00000000-0005-0000-0000-0000C0470000}"/>
    <cellStyle name="60% - Accent1 51" xfId="1563" xr:uid="{00000000-0005-0000-0000-0000C1470000}"/>
    <cellStyle name="60% - Accent1 52" xfId="1564" xr:uid="{00000000-0005-0000-0000-0000C2470000}"/>
    <cellStyle name="60% - Accent1 53" xfId="1565" xr:uid="{00000000-0005-0000-0000-0000C3470000}"/>
    <cellStyle name="60% - Accent1 54" xfId="1566" xr:uid="{00000000-0005-0000-0000-0000C4470000}"/>
    <cellStyle name="60% - Accent1 55" xfId="1567" xr:uid="{00000000-0005-0000-0000-0000C5470000}"/>
    <cellStyle name="60% - Accent1 56" xfId="1568" xr:uid="{00000000-0005-0000-0000-0000C6470000}"/>
    <cellStyle name="60% - Accent1 57" xfId="1569" xr:uid="{00000000-0005-0000-0000-0000C7470000}"/>
    <cellStyle name="60% - Accent1 58" xfId="1570" xr:uid="{00000000-0005-0000-0000-0000C8470000}"/>
    <cellStyle name="60% - Accent1 59" xfId="1571" xr:uid="{00000000-0005-0000-0000-0000C9470000}"/>
    <cellStyle name="60% - Accent1 6" xfId="1572" xr:uid="{00000000-0005-0000-0000-0000CA470000}"/>
    <cellStyle name="60% - Accent1 60" xfId="1573" xr:uid="{00000000-0005-0000-0000-0000CB470000}"/>
    <cellStyle name="60% - Accent1 61" xfId="1574" xr:uid="{00000000-0005-0000-0000-0000CC470000}"/>
    <cellStyle name="60% - Accent1 62" xfId="1575" xr:uid="{00000000-0005-0000-0000-0000CD470000}"/>
    <cellStyle name="60% - Accent1 63" xfId="1576" xr:uid="{00000000-0005-0000-0000-0000CE470000}"/>
    <cellStyle name="60% - Accent1 64" xfId="1577" xr:uid="{00000000-0005-0000-0000-0000CF470000}"/>
    <cellStyle name="60% - Accent1 65" xfId="1578" xr:uid="{00000000-0005-0000-0000-0000D0470000}"/>
    <cellStyle name="60% - Accent1 66" xfId="1579" xr:uid="{00000000-0005-0000-0000-0000D1470000}"/>
    <cellStyle name="60% - Accent1 67" xfId="1580" xr:uid="{00000000-0005-0000-0000-0000D2470000}"/>
    <cellStyle name="60% - Accent1 68" xfId="1581" xr:uid="{00000000-0005-0000-0000-0000D3470000}"/>
    <cellStyle name="60% - Accent1 69" xfId="1582" xr:uid="{00000000-0005-0000-0000-0000D4470000}"/>
    <cellStyle name="60% - Accent1 7" xfId="1583" xr:uid="{00000000-0005-0000-0000-0000D5470000}"/>
    <cellStyle name="60% - Accent1 70" xfId="1584" xr:uid="{00000000-0005-0000-0000-0000D6470000}"/>
    <cellStyle name="60% - Accent1 71" xfId="1585" xr:uid="{00000000-0005-0000-0000-0000D7470000}"/>
    <cellStyle name="60% - Accent1 72" xfId="1586" xr:uid="{00000000-0005-0000-0000-0000D8470000}"/>
    <cellStyle name="60% - Accent1 8" xfId="1587" xr:uid="{00000000-0005-0000-0000-0000D9470000}"/>
    <cellStyle name="60% - Accent1 9" xfId="1588" xr:uid="{00000000-0005-0000-0000-0000DA470000}"/>
    <cellStyle name="60% - Accent2 10" xfId="1589" xr:uid="{00000000-0005-0000-0000-0000DB470000}"/>
    <cellStyle name="60% - Accent2 11" xfId="1590" xr:uid="{00000000-0005-0000-0000-0000DC470000}"/>
    <cellStyle name="60% - Accent2 12" xfId="1591" xr:uid="{00000000-0005-0000-0000-0000DD470000}"/>
    <cellStyle name="60% - Accent2 13" xfId="1592" xr:uid="{00000000-0005-0000-0000-0000DE470000}"/>
    <cellStyle name="60% - Accent2 14" xfId="1593" xr:uid="{00000000-0005-0000-0000-0000DF470000}"/>
    <cellStyle name="60% - Accent2 15" xfId="1594" xr:uid="{00000000-0005-0000-0000-0000E0470000}"/>
    <cellStyle name="60% - Accent2 16" xfId="1595" xr:uid="{00000000-0005-0000-0000-0000E1470000}"/>
    <cellStyle name="60% - Accent2 17" xfId="1596" xr:uid="{00000000-0005-0000-0000-0000E2470000}"/>
    <cellStyle name="60% - Accent2 18" xfId="1597" xr:uid="{00000000-0005-0000-0000-0000E3470000}"/>
    <cellStyle name="60% - Accent2 19" xfId="1598" xr:uid="{00000000-0005-0000-0000-0000E4470000}"/>
    <cellStyle name="60% - Accent2 2" xfId="1599" xr:uid="{00000000-0005-0000-0000-0000E5470000}"/>
    <cellStyle name="60% - Accent2 20" xfId="1600" xr:uid="{00000000-0005-0000-0000-0000E6470000}"/>
    <cellStyle name="60% - Accent2 21" xfId="1601" xr:uid="{00000000-0005-0000-0000-0000E7470000}"/>
    <cellStyle name="60% - Accent2 22" xfId="1602" xr:uid="{00000000-0005-0000-0000-0000E8470000}"/>
    <cellStyle name="60% - Accent2 23" xfId="1603" xr:uid="{00000000-0005-0000-0000-0000E9470000}"/>
    <cellStyle name="60% - Accent2 24" xfId="1604" xr:uid="{00000000-0005-0000-0000-0000EA470000}"/>
    <cellStyle name="60% - Accent2 25" xfId="1605" xr:uid="{00000000-0005-0000-0000-0000EB470000}"/>
    <cellStyle name="60% - Accent2 26" xfId="1606" xr:uid="{00000000-0005-0000-0000-0000EC470000}"/>
    <cellStyle name="60% - Accent2 27" xfId="1607" xr:uid="{00000000-0005-0000-0000-0000ED470000}"/>
    <cellStyle name="60% - Accent2 28" xfId="1608" xr:uid="{00000000-0005-0000-0000-0000EE470000}"/>
    <cellStyle name="60% - Accent2 29" xfId="1609" xr:uid="{00000000-0005-0000-0000-0000EF470000}"/>
    <cellStyle name="60% - Accent2 3" xfId="1610" xr:uid="{00000000-0005-0000-0000-0000F0470000}"/>
    <cellStyle name="60% - Accent2 30" xfId="1611" xr:uid="{00000000-0005-0000-0000-0000F1470000}"/>
    <cellStyle name="60% - Accent2 31" xfId="1612" xr:uid="{00000000-0005-0000-0000-0000F2470000}"/>
    <cellStyle name="60% - Accent2 32" xfId="1613" xr:uid="{00000000-0005-0000-0000-0000F3470000}"/>
    <cellStyle name="60% - Accent2 33" xfId="1614" xr:uid="{00000000-0005-0000-0000-0000F4470000}"/>
    <cellStyle name="60% - Accent2 34" xfId="1615" xr:uid="{00000000-0005-0000-0000-0000F5470000}"/>
    <cellStyle name="60% - Accent2 35" xfId="1616" xr:uid="{00000000-0005-0000-0000-0000F6470000}"/>
    <cellStyle name="60% - Accent2 36" xfId="1617" xr:uid="{00000000-0005-0000-0000-0000F7470000}"/>
    <cellStyle name="60% - Accent2 37" xfId="1618" xr:uid="{00000000-0005-0000-0000-0000F8470000}"/>
    <cellStyle name="60% - Accent2 38" xfId="1619" xr:uid="{00000000-0005-0000-0000-0000F9470000}"/>
    <cellStyle name="60% - Accent2 39" xfId="1620" xr:uid="{00000000-0005-0000-0000-0000FA470000}"/>
    <cellStyle name="60% - Accent2 4" xfId="1621" xr:uid="{00000000-0005-0000-0000-0000FB470000}"/>
    <cellStyle name="60% - Accent2 40" xfId="1622" xr:uid="{00000000-0005-0000-0000-0000FC470000}"/>
    <cellStyle name="60% - Accent2 41" xfId="1623" xr:uid="{00000000-0005-0000-0000-0000FD470000}"/>
    <cellStyle name="60% - Accent2 42" xfId="1624" xr:uid="{00000000-0005-0000-0000-0000FE470000}"/>
    <cellStyle name="60% - Accent2 43" xfId="1625" xr:uid="{00000000-0005-0000-0000-0000FF470000}"/>
    <cellStyle name="60% - Accent2 44" xfId="1626" xr:uid="{00000000-0005-0000-0000-000000480000}"/>
    <cellStyle name="60% - Accent2 45" xfId="1627" xr:uid="{00000000-0005-0000-0000-000001480000}"/>
    <cellStyle name="60% - Accent2 46" xfId="1628" xr:uid="{00000000-0005-0000-0000-000002480000}"/>
    <cellStyle name="60% - Accent2 47" xfId="1629" xr:uid="{00000000-0005-0000-0000-000003480000}"/>
    <cellStyle name="60% - Accent2 48" xfId="1630" xr:uid="{00000000-0005-0000-0000-000004480000}"/>
    <cellStyle name="60% - Accent2 49" xfId="1631" xr:uid="{00000000-0005-0000-0000-000005480000}"/>
    <cellStyle name="60% - Accent2 5" xfId="1632" xr:uid="{00000000-0005-0000-0000-000006480000}"/>
    <cellStyle name="60% - Accent2 50" xfId="1633" xr:uid="{00000000-0005-0000-0000-000007480000}"/>
    <cellStyle name="60% - Accent2 51" xfId="1634" xr:uid="{00000000-0005-0000-0000-000008480000}"/>
    <cellStyle name="60% - Accent2 52" xfId="1635" xr:uid="{00000000-0005-0000-0000-000009480000}"/>
    <cellStyle name="60% - Accent2 53" xfId="1636" xr:uid="{00000000-0005-0000-0000-00000A480000}"/>
    <cellStyle name="60% - Accent2 54" xfId="1637" xr:uid="{00000000-0005-0000-0000-00000B480000}"/>
    <cellStyle name="60% - Accent2 55" xfId="1638" xr:uid="{00000000-0005-0000-0000-00000C480000}"/>
    <cellStyle name="60% - Accent2 56" xfId="1639" xr:uid="{00000000-0005-0000-0000-00000D480000}"/>
    <cellStyle name="60% - Accent2 57" xfId="1640" xr:uid="{00000000-0005-0000-0000-00000E480000}"/>
    <cellStyle name="60% - Accent2 58" xfId="1641" xr:uid="{00000000-0005-0000-0000-00000F480000}"/>
    <cellStyle name="60% - Accent2 59" xfId="1642" xr:uid="{00000000-0005-0000-0000-000010480000}"/>
    <cellStyle name="60% - Accent2 6" xfId="1643" xr:uid="{00000000-0005-0000-0000-000011480000}"/>
    <cellStyle name="60% - Accent2 60" xfId="1644" xr:uid="{00000000-0005-0000-0000-000012480000}"/>
    <cellStyle name="60% - Accent2 61" xfId="1645" xr:uid="{00000000-0005-0000-0000-000013480000}"/>
    <cellStyle name="60% - Accent2 62" xfId="1646" xr:uid="{00000000-0005-0000-0000-000014480000}"/>
    <cellStyle name="60% - Accent2 63" xfId="1647" xr:uid="{00000000-0005-0000-0000-000015480000}"/>
    <cellStyle name="60% - Accent2 64" xfId="1648" xr:uid="{00000000-0005-0000-0000-000016480000}"/>
    <cellStyle name="60% - Accent2 65" xfId="1649" xr:uid="{00000000-0005-0000-0000-000017480000}"/>
    <cellStyle name="60% - Accent2 66" xfId="1650" xr:uid="{00000000-0005-0000-0000-000018480000}"/>
    <cellStyle name="60% - Accent2 67" xfId="1651" xr:uid="{00000000-0005-0000-0000-000019480000}"/>
    <cellStyle name="60% - Accent2 68" xfId="1652" xr:uid="{00000000-0005-0000-0000-00001A480000}"/>
    <cellStyle name="60% - Accent2 69" xfId="1653" xr:uid="{00000000-0005-0000-0000-00001B480000}"/>
    <cellStyle name="60% - Accent2 7" xfId="1654" xr:uid="{00000000-0005-0000-0000-00001C480000}"/>
    <cellStyle name="60% - Accent2 70" xfId="1655" xr:uid="{00000000-0005-0000-0000-00001D480000}"/>
    <cellStyle name="60% - Accent2 71" xfId="1656" xr:uid="{00000000-0005-0000-0000-00001E480000}"/>
    <cellStyle name="60% - Accent2 72" xfId="1657" xr:uid="{00000000-0005-0000-0000-00001F480000}"/>
    <cellStyle name="60% - Accent2 8" xfId="1658" xr:uid="{00000000-0005-0000-0000-000020480000}"/>
    <cellStyle name="60% - Accent2 9" xfId="1659" xr:uid="{00000000-0005-0000-0000-000021480000}"/>
    <cellStyle name="60% - Accent3 10" xfId="1660" xr:uid="{00000000-0005-0000-0000-000022480000}"/>
    <cellStyle name="60% - Accent3 11" xfId="1661" xr:uid="{00000000-0005-0000-0000-000023480000}"/>
    <cellStyle name="60% - Accent3 12" xfId="1662" xr:uid="{00000000-0005-0000-0000-000024480000}"/>
    <cellStyle name="60% - Accent3 13" xfId="1663" xr:uid="{00000000-0005-0000-0000-000025480000}"/>
    <cellStyle name="60% - Accent3 14" xfId="1664" xr:uid="{00000000-0005-0000-0000-000026480000}"/>
    <cellStyle name="60% - Accent3 15" xfId="1665" xr:uid="{00000000-0005-0000-0000-000027480000}"/>
    <cellStyle name="60% - Accent3 16" xfId="1666" xr:uid="{00000000-0005-0000-0000-000028480000}"/>
    <cellStyle name="60% - Accent3 17" xfId="1667" xr:uid="{00000000-0005-0000-0000-000029480000}"/>
    <cellStyle name="60% - Accent3 18" xfId="1668" xr:uid="{00000000-0005-0000-0000-00002A480000}"/>
    <cellStyle name="60% - Accent3 19" xfId="1669" xr:uid="{00000000-0005-0000-0000-00002B480000}"/>
    <cellStyle name="60% - Accent3 2" xfId="1670" xr:uid="{00000000-0005-0000-0000-00002C480000}"/>
    <cellStyle name="60% - Accent3 20" xfId="1671" xr:uid="{00000000-0005-0000-0000-00002D480000}"/>
    <cellStyle name="60% - Accent3 21" xfId="1672" xr:uid="{00000000-0005-0000-0000-00002E480000}"/>
    <cellStyle name="60% - Accent3 22" xfId="1673" xr:uid="{00000000-0005-0000-0000-00002F480000}"/>
    <cellStyle name="60% - Accent3 23" xfId="1674" xr:uid="{00000000-0005-0000-0000-000030480000}"/>
    <cellStyle name="60% - Accent3 24" xfId="1675" xr:uid="{00000000-0005-0000-0000-000031480000}"/>
    <cellStyle name="60% - Accent3 25" xfId="1676" xr:uid="{00000000-0005-0000-0000-000032480000}"/>
    <cellStyle name="60% - Accent3 26" xfId="1677" xr:uid="{00000000-0005-0000-0000-000033480000}"/>
    <cellStyle name="60% - Accent3 27" xfId="1678" xr:uid="{00000000-0005-0000-0000-000034480000}"/>
    <cellStyle name="60% - Accent3 28" xfId="1679" xr:uid="{00000000-0005-0000-0000-000035480000}"/>
    <cellStyle name="60% - Accent3 29" xfId="1680" xr:uid="{00000000-0005-0000-0000-000036480000}"/>
    <cellStyle name="60% - Accent3 3" xfId="1681" xr:uid="{00000000-0005-0000-0000-000037480000}"/>
    <cellStyle name="60% - Accent3 30" xfId="1682" xr:uid="{00000000-0005-0000-0000-000038480000}"/>
    <cellStyle name="60% - Accent3 31" xfId="1683" xr:uid="{00000000-0005-0000-0000-000039480000}"/>
    <cellStyle name="60% - Accent3 32" xfId="1684" xr:uid="{00000000-0005-0000-0000-00003A480000}"/>
    <cellStyle name="60% - Accent3 33" xfId="1685" xr:uid="{00000000-0005-0000-0000-00003B480000}"/>
    <cellStyle name="60% - Accent3 34" xfId="1686" xr:uid="{00000000-0005-0000-0000-00003C480000}"/>
    <cellStyle name="60% - Accent3 35" xfId="1687" xr:uid="{00000000-0005-0000-0000-00003D480000}"/>
    <cellStyle name="60% - Accent3 36" xfId="1688" xr:uid="{00000000-0005-0000-0000-00003E480000}"/>
    <cellStyle name="60% - Accent3 37" xfId="1689" xr:uid="{00000000-0005-0000-0000-00003F480000}"/>
    <cellStyle name="60% - Accent3 38" xfId="1690" xr:uid="{00000000-0005-0000-0000-000040480000}"/>
    <cellStyle name="60% - Accent3 39" xfId="1691" xr:uid="{00000000-0005-0000-0000-000041480000}"/>
    <cellStyle name="60% - Accent3 4" xfId="1692" xr:uid="{00000000-0005-0000-0000-000042480000}"/>
    <cellStyle name="60% - Accent3 40" xfId="1693" xr:uid="{00000000-0005-0000-0000-000043480000}"/>
    <cellStyle name="60% - Accent3 41" xfId="1694" xr:uid="{00000000-0005-0000-0000-000044480000}"/>
    <cellStyle name="60% - Accent3 42" xfId="1695" xr:uid="{00000000-0005-0000-0000-000045480000}"/>
    <cellStyle name="60% - Accent3 43" xfId="1696" xr:uid="{00000000-0005-0000-0000-000046480000}"/>
    <cellStyle name="60% - Accent3 44" xfId="1697" xr:uid="{00000000-0005-0000-0000-000047480000}"/>
    <cellStyle name="60% - Accent3 45" xfId="1698" xr:uid="{00000000-0005-0000-0000-000048480000}"/>
    <cellStyle name="60% - Accent3 46" xfId="1699" xr:uid="{00000000-0005-0000-0000-000049480000}"/>
    <cellStyle name="60% - Accent3 47" xfId="1700" xr:uid="{00000000-0005-0000-0000-00004A480000}"/>
    <cellStyle name="60% - Accent3 48" xfId="1701" xr:uid="{00000000-0005-0000-0000-00004B480000}"/>
    <cellStyle name="60% - Accent3 49" xfId="1702" xr:uid="{00000000-0005-0000-0000-00004C480000}"/>
    <cellStyle name="60% - Accent3 5" xfId="1703" xr:uid="{00000000-0005-0000-0000-00004D480000}"/>
    <cellStyle name="60% - Accent3 50" xfId="1704" xr:uid="{00000000-0005-0000-0000-00004E480000}"/>
    <cellStyle name="60% - Accent3 51" xfId="1705" xr:uid="{00000000-0005-0000-0000-00004F480000}"/>
    <cellStyle name="60% - Accent3 52" xfId="1706" xr:uid="{00000000-0005-0000-0000-000050480000}"/>
    <cellStyle name="60% - Accent3 53" xfId="1707" xr:uid="{00000000-0005-0000-0000-000051480000}"/>
    <cellStyle name="60% - Accent3 54" xfId="1708" xr:uid="{00000000-0005-0000-0000-000052480000}"/>
    <cellStyle name="60% - Accent3 55" xfId="1709" xr:uid="{00000000-0005-0000-0000-000053480000}"/>
    <cellStyle name="60% - Accent3 56" xfId="1710" xr:uid="{00000000-0005-0000-0000-000054480000}"/>
    <cellStyle name="60% - Accent3 57" xfId="1711" xr:uid="{00000000-0005-0000-0000-000055480000}"/>
    <cellStyle name="60% - Accent3 58" xfId="1712" xr:uid="{00000000-0005-0000-0000-000056480000}"/>
    <cellStyle name="60% - Accent3 59" xfId="1713" xr:uid="{00000000-0005-0000-0000-000057480000}"/>
    <cellStyle name="60% - Accent3 6" xfId="1714" xr:uid="{00000000-0005-0000-0000-000058480000}"/>
    <cellStyle name="60% - Accent3 60" xfId="1715" xr:uid="{00000000-0005-0000-0000-000059480000}"/>
    <cellStyle name="60% - Accent3 61" xfId="1716" xr:uid="{00000000-0005-0000-0000-00005A480000}"/>
    <cellStyle name="60% - Accent3 62" xfId="1717" xr:uid="{00000000-0005-0000-0000-00005B480000}"/>
    <cellStyle name="60% - Accent3 63" xfId="1718" xr:uid="{00000000-0005-0000-0000-00005C480000}"/>
    <cellStyle name="60% - Accent3 64" xfId="1719" xr:uid="{00000000-0005-0000-0000-00005D480000}"/>
    <cellStyle name="60% - Accent3 65" xfId="1720" xr:uid="{00000000-0005-0000-0000-00005E480000}"/>
    <cellStyle name="60% - Accent3 66" xfId="1721" xr:uid="{00000000-0005-0000-0000-00005F480000}"/>
    <cellStyle name="60% - Accent3 67" xfId="1722" xr:uid="{00000000-0005-0000-0000-000060480000}"/>
    <cellStyle name="60% - Accent3 68" xfId="1723" xr:uid="{00000000-0005-0000-0000-000061480000}"/>
    <cellStyle name="60% - Accent3 69" xfId="1724" xr:uid="{00000000-0005-0000-0000-000062480000}"/>
    <cellStyle name="60% - Accent3 7" xfId="1725" xr:uid="{00000000-0005-0000-0000-000063480000}"/>
    <cellStyle name="60% - Accent3 70" xfId="1726" xr:uid="{00000000-0005-0000-0000-000064480000}"/>
    <cellStyle name="60% - Accent3 71" xfId="1727" xr:uid="{00000000-0005-0000-0000-000065480000}"/>
    <cellStyle name="60% - Accent3 72" xfId="1728" xr:uid="{00000000-0005-0000-0000-000066480000}"/>
    <cellStyle name="60% - Accent3 8" xfId="1729" xr:uid="{00000000-0005-0000-0000-000067480000}"/>
    <cellStyle name="60% - Accent3 9" xfId="1730" xr:uid="{00000000-0005-0000-0000-000068480000}"/>
    <cellStyle name="60% - Accent4 10" xfId="1731" xr:uid="{00000000-0005-0000-0000-000069480000}"/>
    <cellStyle name="60% - Accent4 11" xfId="1732" xr:uid="{00000000-0005-0000-0000-00006A480000}"/>
    <cellStyle name="60% - Accent4 12" xfId="1733" xr:uid="{00000000-0005-0000-0000-00006B480000}"/>
    <cellStyle name="60% - Accent4 13" xfId="1734" xr:uid="{00000000-0005-0000-0000-00006C480000}"/>
    <cellStyle name="60% - Accent4 14" xfId="1735" xr:uid="{00000000-0005-0000-0000-00006D480000}"/>
    <cellStyle name="60% - Accent4 15" xfId="1736" xr:uid="{00000000-0005-0000-0000-00006E480000}"/>
    <cellStyle name="60% - Accent4 16" xfId="1737" xr:uid="{00000000-0005-0000-0000-00006F480000}"/>
    <cellStyle name="60% - Accent4 17" xfId="1738" xr:uid="{00000000-0005-0000-0000-000070480000}"/>
    <cellStyle name="60% - Accent4 18" xfId="1739" xr:uid="{00000000-0005-0000-0000-000071480000}"/>
    <cellStyle name="60% - Accent4 19" xfId="1740" xr:uid="{00000000-0005-0000-0000-000072480000}"/>
    <cellStyle name="60% - Accent4 2" xfId="1741" xr:uid="{00000000-0005-0000-0000-000073480000}"/>
    <cellStyle name="60% - Accent4 20" xfId="1742" xr:uid="{00000000-0005-0000-0000-000074480000}"/>
    <cellStyle name="60% - Accent4 21" xfId="1743" xr:uid="{00000000-0005-0000-0000-000075480000}"/>
    <cellStyle name="60% - Accent4 22" xfId="1744" xr:uid="{00000000-0005-0000-0000-000076480000}"/>
    <cellStyle name="60% - Accent4 23" xfId="1745" xr:uid="{00000000-0005-0000-0000-000077480000}"/>
    <cellStyle name="60% - Accent4 24" xfId="1746" xr:uid="{00000000-0005-0000-0000-000078480000}"/>
    <cellStyle name="60% - Accent4 25" xfId="1747" xr:uid="{00000000-0005-0000-0000-000079480000}"/>
    <cellStyle name="60% - Accent4 26" xfId="1748" xr:uid="{00000000-0005-0000-0000-00007A480000}"/>
    <cellStyle name="60% - Accent4 27" xfId="1749" xr:uid="{00000000-0005-0000-0000-00007B480000}"/>
    <cellStyle name="60% - Accent4 28" xfId="1750" xr:uid="{00000000-0005-0000-0000-00007C480000}"/>
    <cellStyle name="60% - Accent4 29" xfId="1751" xr:uid="{00000000-0005-0000-0000-00007D480000}"/>
    <cellStyle name="60% - Accent4 3" xfId="1752" xr:uid="{00000000-0005-0000-0000-00007E480000}"/>
    <cellStyle name="60% - Accent4 30" xfId="1753" xr:uid="{00000000-0005-0000-0000-00007F480000}"/>
    <cellStyle name="60% - Accent4 31" xfId="1754" xr:uid="{00000000-0005-0000-0000-000080480000}"/>
    <cellStyle name="60% - Accent4 32" xfId="1755" xr:uid="{00000000-0005-0000-0000-000081480000}"/>
    <cellStyle name="60% - Accent4 33" xfId="1756" xr:uid="{00000000-0005-0000-0000-000082480000}"/>
    <cellStyle name="60% - Accent4 34" xfId="1757" xr:uid="{00000000-0005-0000-0000-000083480000}"/>
    <cellStyle name="60% - Accent4 35" xfId="1758" xr:uid="{00000000-0005-0000-0000-000084480000}"/>
    <cellStyle name="60% - Accent4 36" xfId="1759" xr:uid="{00000000-0005-0000-0000-000085480000}"/>
    <cellStyle name="60% - Accent4 37" xfId="1760" xr:uid="{00000000-0005-0000-0000-000086480000}"/>
    <cellStyle name="60% - Accent4 38" xfId="1761" xr:uid="{00000000-0005-0000-0000-000087480000}"/>
    <cellStyle name="60% - Accent4 39" xfId="1762" xr:uid="{00000000-0005-0000-0000-000088480000}"/>
    <cellStyle name="60% - Accent4 4" xfId="1763" xr:uid="{00000000-0005-0000-0000-000089480000}"/>
    <cellStyle name="60% - Accent4 40" xfId="1764" xr:uid="{00000000-0005-0000-0000-00008A480000}"/>
    <cellStyle name="60% - Accent4 41" xfId="1765" xr:uid="{00000000-0005-0000-0000-00008B480000}"/>
    <cellStyle name="60% - Accent4 42" xfId="1766" xr:uid="{00000000-0005-0000-0000-00008C480000}"/>
    <cellStyle name="60% - Accent4 43" xfId="1767" xr:uid="{00000000-0005-0000-0000-00008D480000}"/>
    <cellStyle name="60% - Accent4 44" xfId="1768" xr:uid="{00000000-0005-0000-0000-00008E480000}"/>
    <cellStyle name="60% - Accent4 45" xfId="1769" xr:uid="{00000000-0005-0000-0000-00008F480000}"/>
    <cellStyle name="60% - Accent4 46" xfId="1770" xr:uid="{00000000-0005-0000-0000-000090480000}"/>
    <cellStyle name="60% - Accent4 47" xfId="1771" xr:uid="{00000000-0005-0000-0000-000091480000}"/>
    <cellStyle name="60% - Accent4 48" xfId="1772" xr:uid="{00000000-0005-0000-0000-000092480000}"/>
    <cellStyle name="60% - Accent4 49" xfId="1773" xr:uid="{00000000-0005-0000-0000-000093480000}"/>
    <cellStyle name="60% - Accent4 5" xfId="1774" xr:uid="{00000000-0005-0000-0000-000094480000}"/>
    <cellStyle name="60% - Accent4 50" xfId="1775" xr:uid="{00000000-0005-0000-0000-000095480000}"/>
    <cellStyle name="60% - Accent4 51" xfId="1776" xr:uid="{00000000-0005-0000-0000-000096480000}"/>
    <cellStyle name="60% - Accent4 52" xfId="1777" xr:uid="{00000000-0005-0000-0000-000097480000}"/>
    <cellStyle name="60% - Accent4 53" xfId="1778" xr:uid="{00000000-0005-0000-0000-000098480000}"/>
    <cellStyle name="60% - Accent4 54" xfId="1779" xr:uid="{00000000-0005-0000-0000-000099480000}"/>
    <cellStyle name="60% - Accent4 55" xfId="1780" xr:uid="{00000000-0005-0000-0000-00009A480000}"/>
    <cellStyle name="60% - Accent4 56" xfId="1781" xr:uid="{00000000-0005-0000-0000-00009B480000}"/>
    <cellStyle name="60% - Accent4 57" xfId="1782" xr:uid="{00000000-0005-0000-0000-00009C480000}"/>
    <cellStyle name="60% - Accent4 58" xfId="1783" xr:uid="{00000000-0005-0000-0000-00009D480000}"/>
    <cellStyle name="60% - Accent4 59" xfId="1784" xr:uid="{00000000-0005-0000-0000-00009E480000}"/>
    <cellStyle name="60% - Accent4 6" xfId="1785" xr:uid="{00000000-0005-0000-0000-00009F480000}"/>
    <cellStyle name="60% - Accent4 60" xfId="1786" xr:uid="{00000000-0005-0000-0000-0000A0480000}"/>
    <cellStyle name="60% - Accent4 61" xfId="1787" xr:uid="{00000000-0005-0000-0000-0000A1480000}"/>
    <cellStyle name="60% - Accent4 62" xfId="1788" xr:uid="{00000000-0005-0000-0000-0000A2480000}"/>
    <cellStyle name="60% - Accent4 63" xfId="1789" xr:uid="{00000000-0005-0000-0000-0000A3480000}"/>
    <cellStyle name="60% - Accent4 64" xfId="1790" xr:uid="{00000000-0005-0000-0000-0000A4480000}"/>
    <cellStyle name="60% - Accent4 65" xfId="1791" xr:uid="{00000000-0005-0000-0000-0000A5480000}"/>
    <cellStyle name="60% - Accent4 66" xfId="1792" xr:uid="{00000000-0005-0000-0000-0000A6480000}"/>
    <cellStyle name="60% - Accent4 67" xfId="1793" xr:uid="{00000000-0005-0000-0000-0000A7480000}"/>
    <cellStyle name="60% - Accent4 68" xfId="1794" xr:uid="{00000000-0005-0000-0000-0000A8480000}"/>
    <cellStyle name="60% - Accent4 69" xfId="1795" xr:uid="{00000000-0005-0000-0000-0000A9480000}"/>
    <cellStyle name="60% - Accent4 7" xfId="1796" xr:uid="{00000000-0005-0000-0000-0000AA480000}"/>
    <cellStyle name="60% - Accent4 70" xfId="1797" xr:uid="{00000000-0005-0000-0000-0000AB480000}"/>
    <cellStyle name="60% - Accent4 71" xfId="1798" xr:uid="{00000000-0005-0000-0000-0000AC480000}"/>
    <cellStyle name="60% - Accent4 72" xfId="1799" xr:uid="{00000000-0005-0000-0000-0000AD480000}"/>
    <cellStyle name="60% - Accent4 8" xfId="1800" xr:uid="{00000000-0005-0000-0000-0000AE480000}"/>
    <cellStyle name="60% - Accent4 9" xfId="1801" xr:uid="{00000000-0005-0000-0000-0000AF480000}"/>
    <cellStyle name="60% - Accent5 10" xfId="1802" xr:uid="{00000000-0005-0000-0000-0000B0480000}"/>
    <cellStyle name="60% - Accent5 11" xfId="1803" xr:uid="{00000000-0005-0000-0000-0000B1480000}"/>
    <cellStyle name="60% - Accent5 12" xfId="1804" xr:uid="{00000000-0005-0000-0000-0000B2480000}"/>
    <cellStyle name="60% - Accent5 13" xfId="1805" xr:uid="{00000000-0005-0000-0000-0000B3480000}"/>
    <cellStyle name="60% - Accent5 14" xfId="1806" xr:uid="{00000000-0005-0000-0000-0000B4480000}"/>
    <cellStyle name="60% - Accent5 15" xfId="1807" xr:uid="{00000000-0005-0000-0000-0000B5480000}"/>
    <cellStyle name="60% - Accent5 16" xfId="1808" xr:uid="{00000000-0005-0000-0000-0000B6480000}"/>
    <cellStyle name="60% - Accent5 17" xfId="1809" xr:uid="{00000000-0005-0000-0000-0000B7480000}"/>
    <cellStyle name="60% - Accent5 18" xfId="1810" xr:uid="{00000000-0005-0000-0000-0000B8480000}"/>
    <cellStyle name="60% - Accent5 19" xfId="1811" xr:uid="{00000000-0005-0000-0000-0000B9480000}"/>
    <cellStyle name="60% - Accent5 2" xfId="1812" xr:uid="{00000000-0005-0000-0000-0000BA480000}"/>
    <cellStyle name="60% - Accent5 20" xfId="1813" xr:uid="{00000000-0005-0000-0000-0000BB480000}"/>
    <cellStyle name="60% - Accent5 21" xfId="1814" xr:uid="{00000000-0005-0000-0000-0000BC480000}"/>
    <cellStyle name="60% - Accent5 22" xfId="1815" xr:uid="{00000000-0005-0000-0000-0000BD480000}"/>
    <cellStyle name="60% - Accent5 23" xfId="1816" xr:uid="{00000000-0005-0000-0000-0000BE480000}"/>
    <cellStyle name="60% - Accent5 24" xfId="1817" xr:uid="{00000000-0005-0000-0000-0000BF480000}"/>
    <cellStyle name="60% - Accent5 25" xfId="1818" xr:uid="{00000000-0005-0000-0000-0000C0480000}"/>
    <cellStyle name="60% - Accent5 26" xfId="1819" xr:uid="{00000000-0005-0000-0000-0000C1480000}"/>
    <cellStyle name="60% - Accent5 27" xfId="1820" xr:uid="{00000000-0005-0000-0000-0000C2480000}"/>
    <cellStyle name="60% - Accent5 28" xfId="1821" xr:uid="{00000000-0005-0000-0000-0000C3480000}"/>
    <cellStyle name="60% - Accent5 29" xfId="1822" xr:uid="{00000000-0005-0000-0000-0000C4480000}"/>
    <cellStyle name="60% - Accent5 3" xfId="1823" xr:uid="{00000000-0005-0000-0000-0000C5480000}"/>
    <cellStyle name="60% - Accent5 30" xfId="1824" xr:uid="{00000000-0005-0000-0000-0000C6480000}"/>
    <cellStyle name="60% - Accent5 31" xfId="1825" xr:uid="{00000000-0005-0000-0000-0000C7480000}"/>
    <cellStyle name="60% - Accent5 32" xfId="1826" xr:uid="{00000000-0005-0000-0000-0000C8480000}"/>
    <cellStyle name="60% - Accent5 33" xfId="1827" xr:uid="{00000000-0005-0000-0000-0000C9480000}"/>
    <cellStyle name="60% - Accent5 34" xfId="1828" xr:uid="{00000000-0005-0000-0000-0000CA480000}"/>
    <cellStyle name="60% - Accent5 35" xfId="1829" xr:uid="{00000000-0005-0000-0000-0000CB480000}"/>
    <cellStyle name="60% - Accent5 36" xfId="1830" xr:uid="{00000000-0005-0000-0000-0000CC480000}"/>
    <cellStyle name="60% - Accent5 37" xfId="1831" xr:uid="{00000000-0005-0000-0000-0000CD480000}"/>
    <cellStyle name="60% - Accent5 38" xfId="1832" xr:uid="{00000000-0005-0000-0000-0000CE480000}"/>
    <cellStyle name="60% - Accent5 39" xfId="1833" xr:uid="{00000000-0005-0000-0000-0000CF480000}"/>
    <cellStyle name="60% - Accent5 4" xfId="1834" xr:uid="{00000000-0005-0000-0000-0000D0480000}"/>
    <cellStyle name="60% - Accent5 40" xfId="1835" xr:uid="{00000000-0005-0000-0000-0000D1480000}"/>
    <cellStyle name="60% - Accent5 41" xfId="1836" xr:uid="{00000000-0005-0000-0000-0000D2480000}"/>
    <cellStyle name="60% - Accent5 42" xfId="1837" xr:uid="{00000000-0005-0000-0000-0000D3480000}"/>
    <cellStyle name="60% - Accent5 43" xfId="1838" xr:uid="{00000000-0005-0000-0000-0000D4480000}"/>
    <cellStyle name="60% - Accent5 44" xfId="1839" xr:uid="{00000000-0005-0000-0000-0000D5480000}"/>
    <cellStyle name="60% - Accent5 45" xfId="1840" xr:uid="{00000000-0005-0000-0000-0000D6480000}"/>
    <cellStyle name="60% - Accent5 46" xfId="1841" xr:uid="{00000000-0005-0000-0000-0000D7480000}"/>
    <cellStyle name="60% - Accent5 47" xfId="1842" xr:uid="{00000000-0005-0000-0000-0000D8480000}"/>
    <cellStyle name="60% - Accent5 48" xfId="1843" xr:uid="{00000000-0005-0000-0000-0000D9480000}"/>
    <cellStyle name="60% - Accent5 49" xfId="1844" xr:uid="{00000000-0005-0000-0000-0000DA480000}"/>
    <cellStyle name="60% - Accent5 5" xfId="1845" xr:uid="{00000000-0005-0000-0000-0000DB480000}"/>
    <cellStyle name="60% - Accent5 50" xfId="1846" xr:uid="{00000000-0005-0000-0000-0000DC480000}"/>
    <cellStyle name="60% - Accent5 51" xfId="1847" xr:uid="{00000000-0005-0000-0000-0000DD480000}"/>
    <cellStyle name="60% - Accent5 52" xfId="1848" xr:uid="{00000000-0005-0000-0000-0000DE480000}"/>
    <cellStyle name="60% - Accent5 53" xfId="1849" xr:uid="{00000000-0005-0000-0000-0000DF480000}"/>
    <cellStyle name="60% - Accent5 54" xfId="1850" xr:uid="{00000000-0005-0000-0000-0000E0480000}"/>
    <cellStyle name="60% - Accent5 55" xfId="1851" xr:uid="{00000000-0005-0000-0000-0000E1480000}"/>
    <cellStyle name="60% - Accent5 56" xfId="1852" xr:uid="{00000000-0005-0000-0000-0000E2480000}"/>
    <cellStyle name="60% - Accent5 57" xfId="1853" xr:uid="{00000000-0005-0000-0000-0000E3480000}"/>
    <cellStyle name="60% - Accent5 58" xfId="1854" xr:uid="{00000000-0005-0000-0000-0000E4480000}"/>
    <cellStyle name="60% - Accent5 59" xfId="1855" xr:uid="{00000000-0005-0000-0000-0000E5480000}"/>
    <cellStyle name="60% - Accent5 6" xfId="1856" xr:uid="{00000000-0005-0000-0000-0000E6480000}"/>
    <cellStyle name="60% - Accent5 60" xfId="1857" xr:uid="{00000000-0005-0000-0000-0000E7480000}"/>
    <cellStyle name="60% - Accent5 61" xfId="1858" xr:uid="{00000000-0005-0000-0000-0000E8480000}"/>
    <cellStyle name="60% - Accent5 62" xfId="1859" xr:uid="{00000000-0005-0000-0000-0000E9480000}"/>
    <cellStyle name="60% - Accent5 63" xfId="1860" xr:uid="{00000000-0005-0000-0000-0000EA480000}"/>
    <cellStyle name="60% - Accent5 64" xfId="1861" xr:uid="{00000000-0005-0000-0000-0000EB480000}"/>
    <cellStyle name="60% - Accent5 65" xfId="1862" xr:uid="{00000000-0005-0000-0000-0000EC480000}"/>
    <cellStyle name="60% - Accent5 66" xfId="1863" xr:uid="{00000000-0005-0000-0000-0000ED480000}"/>
    <cellStyle name="60% - Accent5 67" xfId="1864" xr:uid="{00000000-0005-0000-0000-0000EE480000}"/>
    <cellStyle name="60% - Accent5 68" xfId="1865" xr:uid="{00000000-0005-0000-0000-0000EF480000}"/>
    <cellStyle name="60% - Accent5 69" xfId="1866" xr:uid="{00000000-0005-0000-0000-0000F0480000}"/>
    <cellStyle name="60% - Accent5 7" xfId="1867" xr:uid="{00000000-0005-0000-0000-0000F1480000}"/>
    <cellStyle name="60% - Accent5 70" xfId="1868" xr:uid="{00000000-0005-0000-0000-0000F2480000}"/>
    <cellStyle name="60% - Accent5 71" xfId="1869" xr:uid="{00000000-0005-0000-0000-0000F3480000}"/>
    <cellStyle name="60% - Accent5 72" xfId="1870" xr:uid="{00000000-0005-0000-0000-0000F4480000}"/>
    <cellStyle name="60% - Accent5 8" xfId="1871" xr:uid="{00000000-0005-0000-0000-0000F5480000}"/>
    <cellStyle name="60% - Accent5 9" xfId="1872" xr:uid="{00000000-0005-0000-0000-0000F6480000}"/>
    <cellStyle name="60% - Accent6 10" xfId="1873" xr:uid="{00000000-0005-0000-0000-0000F7480000}"/>
    <cellStyle name="60% - Accent6 11" xfId="1874" xr:uid="{00000000-0005-0000-0000-0000F8480000}"/>
    <cellStyle name="60% - Accent6 12" xfId="1875" xr:uid="{00000000-0005-0000-0000-0000F9480000}"/>
    <cellStyle name="60% - Accent6 13" xfId="1876" xr:uid="{00000000-0005-0000-0000-0000FA480000}"/>
    <cellStyle name="60% - Accent6 14" xfId="1877" xr:uid="{00000000-0005-0000-0000-0000FB480000}"/>
    <cellStyle name="60% - Accent6 15" xfId="1878" xr:uid="{00000000-0005-0000-0000-0000FC480000}"/>
    <cellStyle name="60% - Accent6 16" xfId="1879" xr:uid="{00000000-0005-0000-0000-0000FD480000}"/>
    <cellStyle name="60% - Accent6 17" xfId="1880" xr:uid="{00000000-0005-0000-0000-0000FE480000}"/>
    <cellStyle name="60% - Accent6 18" xfId="1881" xr:uid="{00000000-0005-0000-0000-0000FF480000}"/>
    <cellStyle name="60% - Accent6 19" xfId="1882" xr:uid="{00000000-0005-0000-0000-000000490000}"/>
    <cellStyle name="60% - Accent6 2" xfId="1883" xr:uid="{00000000-0005-0000-0000-000001490000}"/>
    <cellStyle name="60% - Accent6 20" xfId="1884" xr:uid="{00000000-0005-0000-0000-000002490000}"/>
    <cellStyle name="60% - Accent6 21" xfId="1885" xr:uid="{00000000-0005-0000-0000-000003490000}"/>
    <cellStyle name="60% - Accent6 22" xfId="1886" xr:uid="{00000000-0005-0000-0000-000004490000}"/>
    <cellStyle name="60% - Accent6 23" xfId="1887" xr:uid="{00000000-0005-0000-0000-000005490000}"/>
    <cellStyle name="60% - Accent6 24" xfId="1888" xr:uid="{00000000-0005-0000-0000-000006490000}"/>
    <cellStyle name="60% - Accent6 25" xfId="1889" xr:uid="{00000000-0005-0000-0000-000007490000}"/>
    <cellStyle name="60% - Accent6 26" xfId="1890" xr:uid="{00000000-0005-0000-0000-000008490000}"/>
    <cellStyle name="60% - Accent6 27" xfId="1891" xr:uid="{00000000-0005-0000-0000-000009490000}"/>
    <cellStyle name="60% - Accent6 28" xfId="1892" xr:uid="{00000000-0005-0000-0000-00000A490000}"/>
    <cellStyle name="60% - Accent6 29" xfId="1893" xr:uid="{00000000-0005-0000-0000-00000B490000}"/>
    <cellStyle name="60% - Accent6 3" xfId="1894" xr:uid="{00000000-0005-0000-0000-00000C490000}"/>
    <cellStyle name="60% - Accent6 30" xfId="1895" xr:uid="{00000000-0005-0000-0000-00000D490000}"/>
    <cellStyle name="60% - Accent6 31" xfId="1896" xr:uid="{00000000-0005-0000-0000-00000E490000}"/>
    <cellStyle name="60% - Accent6 32" xfId="1897" xr:uid="{00000000-0005-0000-0000-00000F490000}"/>
    <cellStyle name="60% - Accent6 33" xfId="1898" xr:uid="{00000000-0005-0000-0000-000010490000}"/>
    <cellStyle name="60% - Accent6 34" xfId="1899" xr:uid="{00000000-0005-0000-0000-000011490000}"/>
    <cellStyle name="60% - Accent6 35" xfId="1900" xr:uid="{00000000-0005-0000-0000-000012490000}"/>
    <cellStyle name="60% - Accent6 36" xfId="1901" xr:uid="{00000000-0005-0000-0000-000013490000}"/>
    <cellStyle name="60% - Accent6 37" xfId="1902" xr:uid="{00000000-0005-0000-0000-000014490000}"/>
    <cellStyle name="60% - Accent6 38" xfId="1903" xr:uid="{00000000-0005-0000-0000-000015490000}"/>
    <cellStyle name="60% - Accent6 39" xfId="1904" xr:uid="{00000000-0005-0000-0000-000016490000}"/>
    <cellStyle name="60% - Accent6 4" xfId="1905" xr:uid="{00000000-0005-0000-0000-000017490000}"/>
    <cellStyle name="60% - Accent6 40" xfId="1906" xr:uid="{00000000-0005-0000-0000-000018490000}"/>
    <cellStyle name="60% - Accent6 41" xfId="1907" xr:uid="{00000000-0005-0000-0000-000019490000}"/>
    <cellStyle name="60% - Accent6 42" xfId="1908" xr:uid="{00000000-0005-0000-0000-00001A490000}"/>
    <cellStyle name="60% - Accent6 43" xfId="1909" xr:uid="{00000000-0005-0000-0000-00001B490000}"/>
    <cellStyle name="60% - Accent6 44" xfId="1910" xr:uid="{00000000-0005-0000-0000-00001C490000}"/>
    <cellStyle name="60% - Accent6 45" xfId="1911" xr:uid="{00000000-0005-0000-0000-00001D490000}"/>
    <cellStyle name="60% - Accent6 46" xfId="1912" xr:uid="{00000000-0005-0000-0000-00001E490000}"/>
    <cellStyle name="60% - Accent6 47" xfId="1913" xr:uid="{00000000-0005-0000-0000-00001F490000}"/>
    <cellStyle name="60% - Accent6 48" xfId="1914" xr:uid="{00000000-0005-0000-0000-000020490000}"/>
    <cellStyle name="60% - Accent6 49" xfId="1915" xr:uid="{00000000-0005-0000-0000-000021490000}"/>
    <cellStyle name="60% - Accent6 5" xfId="1916" xr:uid="{00000000-0005-0000-0000-000022490000}"/>
    <cellStyle name="60% - Accent6 50" xfId="1917" xr:uid="{00000000-0005-0000-0000-000023490000}"/>
    <cellStyle name="60% - Accent6 51" xfId="1918" xr:uid="{00000000-0005-0000-0000-000024490000}"/>
    <cellStyle name="60% - Accent6 52" xfId="1919" xr:uid="{00000000-0005-0000-0000-000025490000}"/>
    <cellStyle name="60% - Accent6 53" xfId="1920" xr:uid="{00000000-0005-0000-0000-000026490000}"/>
    <cellStyle name="60% - Accent6 54" xfId="1921" xr:uid="{00000000-0005-0000-0000-000027490000}"/>
    <cellStyle name="60% - Accent6 55" xfId="1922" xr:uid="{00000000-0005-0000-0000-000028490000}"/>
    <cellStyle name="60% - Accent6 56" xfId="1923" xr:uid="{00000000-0005-0000-0000-000029490000}"/>
    <cellStyle name="60% - Accent6 57" xfId="1924" xr:uid="{00000000-0005-0000-0000-00002A490000}"/>
    <cellStyle name="60% - Accent6 58" xfId="1925" xr:uid="{00000000-0005-0000-0000-00002B490000}"/>
    <cellStyle name="60% - Accent6 59" xfId="1926" xr:uid="{00000000-0005-0000-0000-00002C490000}"/>
    <cellStyle name="60% - Accent6 6" xfId="1927" xr:uid="{00000000-0005-0000-0000-00002D490000}"/>
    <cellStyle name="60% - Accent6 60" xfId="1928" xr:uid="{00000000-0005-0000-0000-00002E490000}"/>
    <cellStyle name="60% - Accent6 61" xfId="1929" xr:uid="{00000000-0005-0000-0000-00002F490000}"/>
    <cellStyle name="60% - Accent6 62" xfId="1930" xr:uid="{00000000-0005-0000-0000-000030490000}"/>
    <cellStyle name="60% - Accent6 63" xfId="1931" xr:uid="{00000000-0005-0000-0000-000031490000}"/>
    <cellStyle name="60% - Accent6 64" xfId="1932" xr:uid="{00000000-0005-0000-0000-000032490000}"/>
    <cellStyle name="60% - Accent6 65" xfId="1933" xr:uid="{00000000-0005-0000-0000-000033490000}"/>
    <cellStyle name="60% - Accent6 66" xfId="1934" xr:uid="{00000000-0005-0000-0000-000034490000}"/>
    <cellStyle name="60% - Accent6 67" xfId="1935" xr:uid="{00000000-0005-0000-0000-000035490000}"/>
    <cellStyle name="60% - Accent6 68" xfId="1936" xr:uid="{00000000-0005-0000-0000-000036490000}"/>
    <cellStyle name="60% - Accent6 69" xfId="1937" xr:uid="{00000000-0005-0000-0000-000037490000}"/>
    <cellStyle name="60% - Accent6 7" xfId="1938" xr:uid="{00000000-0005-0000-0000-000038490000}"/>
    <cellStyle name="60% - Accent6 70" xfId="1939" xr:uid="{00000000-0005-0000-0000-000039490000}"/>
    <cellStyle name="60% - Accent6 71" xfId="1940" xr:uid="{00000000-0005-0000-0000-00003A490000}"/>
    <cellStyle name="60% - Accent6 72" xfId="1941" xr:uid="{00000000-0005-0000-0000-00003B490000}"/>
    <cellStyle name="60% - Accent6 8" xfId="1942" xr:uid="{00000000-0005-0000-0000-00003C490000}"/>
    <cellStyle name="60% - Accent6 9" xfId="1943" xr:uid="{00000000-0005-0000-0000-00003D490000}"/>
    <cellStyle name="Accent1 - 20%" xfId="24004" xr:uid="{00000000-0005-0000-0000-00003E490000}"/>
    <cellStyle name="Accent1 - 40%" xfId="24005" xr:uid="{00000000-0005-0000-0000-00003F490000}"/>
    <cellStyle name="Accent1 - 60%" xfId="24006" xr:uid="{00000000-0005-0000-0000-000040490000}"/>
    <cellStyle name="Accent1 10" xfId="1944" xr:uid="{00000000-0005-0000-0000-000041490000}"/>
    <cellStyle name="Accent1 11" xfId="1945" xr:uid="{00000000-0005-0000-0000-000042490000}"/>
    <cellStyle name="Accent1 12" xfId="1946" xr:uid="{00000000-0005-0000-0000-000043490000}"/>
    <cellStyle name="Accent1 13" xfId="1947" xr:uid="{00000000-0005-0000-0000-000044490000}"/>
    <cellStyle name="Accent1 14" xfId="1948" xr:uid="{00000000-0005-0000-0000-000045490000}"/>
    <cellStyle name="Accent1 15" xfId="1949" xr:uid="{00000000-0005-0000-0000-000046490000}"/>
    <cellStyle name="Accent1 16" xfId="1950" xr:uid="{00000000-0005-0000-0000-000047490000}"/>
    <cellStyle name="Accent1 17" xfId="1951" xr:uid="{00000000-0005-0000-0000-000048490000}"/>
    <cellStyle name="Accent1 18" xfId="1952" xr:uid="{00000000-0005-0000-0000-000049490000}"/>
    <cellStyle name="Accent1 19" xfId="1953" xr:uid="{00000000-0005-0000-0000-00004A490000}"/>
    <cellStyle name="Accent1 2" xfId="1954" xr:uid="{00000000-0005-0000-0000-00004B490000}"/>
    <cellStyle name="Accent1 2 2" xfId="24009" xr:uid="{00000000-0005-0000-0000-00004C490000}"/>
    <cellStyle name="Accent1 2 3" xfId="24008" xr:uid="{00000000-0005-0000-0000-00004D490000}"/>
    <cellStyle name="Accent1 20" xfId="1955" xr:uid="{00000000-0005-0000-0000-00004E490000}"/>
    <cellStyle name="Accent1 21" xfId="1956" xr:uid="{00000000-0005-0000-0000-00004F490000}"/>
    <cellStyle name="Accent1 22" xfId="1957" xr:uid="{00000000-0005-0000-0000-000050490000}"/>
    <cellStyle name="Accent1 23" xfId="1958" xr:uid="{00000000-0005-0000-0000-000051490000}"/>
    <cellStyle name="Accent1 24" xfId="1959" xr:uid="{00000000-0005-0000-0000-000052490000}"/>
    <cellStyle name="Accent1 25" xfId="1960" xr:uid="{00000000-0005-0000-0000-000053490000}"/>
    <cellStyle name="Accent1 26" xfId="1961" xr:uid="{00000000-0005-0000-0000-000054490000}"/>
    <cellStyle name="Accent1 27" xfId="1962" xr:uid="{00000000-0005-0000-0000-000055490000}"/>
    <cellStyle name="Accent1 28" xfId="1963" xr:uid="{00000000-0005-0000-0000-000056490000}"/>
    <cellStyle name="Accent1 29" xfId="1964" xr:uid="{00000000-0005-0000-0000-000057490000}"/>
    <cellStyle name="Accent1 3" xfId="1965" xr:uid="{00000000-0005-0000-0000-000058490000}"/>
    <cellStyle name="Accent1 3 2" xfId="24010" xr:uid="{00000000-0005-0000-0000-000059490000}"/>
    <cellStyle name="Accent1 30" xfId="1966" xr:uid="{00000000-0005-0000-0000-00005A490000}"/>
    <cellStyle name="Accent1 31" xfId="1967" xr:uid="{00000000-0005-0000-0000-00005B490000}"/>
    <cellStyle name="Accent1 32" xfId="1968" xr:uid="{00000000-0005-0000-0000-00005C490000}"/>
    <cellStyle name="Accent1 33" xfId="1969" xr:uid="{00000000-0005-0000-0000-00005D490000}"/>
    <cellStyle name="Accent1 34" xfId="1970" xr:uid="{00000000-0005-0000-0000-00005E490000}"/>
    <cellStyle name="Accent1 35" xfId="1971" xr:uid="{00000000-0005-0000-0000-00005F490000}"/>
    <cellStyle name="Accent1 36" xfId="1972" xr:uid="{00000000-0005-0000-0000-000060490000}"/>
    <cellStyle name="Accent1 37" xfId="1973" xr:uid="{00000000-0005-0000-0000-000061490000}"/>
    <cellStyle name="Accent1 38" xfId="1974" xr:uid="{00000000-0005-0000-0000-000062490000}"/>
    <cellStyle name="Accent1 39" xfId="1975" xr:uid="{00000000-0005-0000-0000-000063490000}"/>
    <cellStyle name="Accent1 4" xfId="1976" xr:uid="{00000000-0005-0000-0000-000064490000}"/>
    <cellStyle name="Accent1 4 2" xfId="24011" xr:uid="{00000000-0005-0000-0000-000065490000}"/>
    <cellStyle name="Accent1 40" xfId="1977" xr:uid="{00000000-0005-0000-0000-000066490000}"/>
    <cellStyle name="Accent1 41" xfId="1978" xr:uid="{00000000-0005-0000-0000-000067490000}"/>
    <cellStyle name="Accent1 42" xfId="1979" xr:uid="{00000000-0005-0000-0000-000068490000}"/>
    <cellStyle name="Accent1 43" xfId="1980" xr:uid="{00000000-0005-0000-0000-000069490000}"/>
    <cellStyle name="Accent1 44" xfId="1981" xr:uid="{00000000-0005-0000-0000-00006A490000}"/>
    <cellStyle name="Accent1 45" xfId="1982" xr:uid="{00000000-0005-0000-0000-00006B490000}"/>
    <cellStyle name="Accent1 46" xfId="1983" xr:uid="{00000000-0005-0000-0000-00006C490000}"/>
    <cellStyle name="Accent1 47" xfId="1984" xr:uid="{00000000-0005-0000-0000-00006D490000}"/>
    <cellStyle name="Accent1 48" xfId="1985" xr:uid="{00000000-0005-0000-0000-00006E490000}"/>
    <cellStyle name="Accent1 49" xfId="1986" xr:uid="{00000000-0005-0000-0000-00006F490000}"/>
    <cellStyle name="Accent1 5" xfId="1987" xr:uid="{00000000-0005-0000-0000-000070490000}"/>
    <cellStyle name="Accent1 50" xfId="1988" xr:uid="{00000000-0005-0000-0000-000071490000}"/>
    <cellStyle name="Accent1 51" xfId="1989" xr:uid="{00000000-0005-0000-0000-000072490000}"/>
    <cellStyle name="Accent1 52" xfId="1990" xr:uid="{00000000-0005-0000-0000-000073490000}"/>
    <cellStyle name="Accent1 53" xfId="1991" xr:uid="{00000000-0005-0000-0000-000074490000}"/>
    <cellStyle name="Accent1 54" xfId="1992" xr:uid="{00000000-0005-0000-0000-000075490000}"/>
    <cellStyle name="Accent1 55" xfId="1993" xr:uid="{00000000-0005-0000-0000-000076490000}"/>
    <cellStyle name="Accent1 56" xfId="1994" xr:uid="{00000000-0005-0000-0000-000077490000}"/>
    <cellStyle name="Accent1 57" xfId="1995" xr:uid="{00000000-0005-0000-0000-000078490000}"/>
    <cellStyle name="Accent1 58" xfId="1996" xr:uid="{00000000-0005-0000-0000-000079490000}"/>
    <cellStyle name="Accent1 59" xfId="1997" xr:uid="{00000000-0005-0000-0000-00007A490000}"/>
    <cellStyle name="Accent1 6" xfId="1998" xr:uid="{00000000-0005-0000-0000-00007B490000}"/>
    <cellStyle name="Accent1 60" xfId="1999" xr:uid="{00000000-0005-0000-0000-00007C490000}"/>
    <cellStyle name="Accent1 61" xfId="2000" xr:uid="{00000000-0005-0000-0000-00007D490000}"/>
    <cellStyle name="Accent1 62" xfId="2001" xr:uid="{00000000-0005-0000-0000-00007E490000}"/>
    <cellStyle name="Accent1 63" xfId="2002" xr:uid="{00000000-0005-0000-0000-00007F490000}"/>
    <cellStyle name="Accent1 64" xfId="2003" xr:uid="{00000000-0005-0000-0000-000080490000}"/>
    <cellStyle name="Accent1 65" xfId="2004" xr:uid="{00000000-0005-0000-0000-000081490000}"/>
    <cellStyle name="Accent1 66" xfId="2005" xr:uid="{00000000-0005-0000-0000-000082490000}"/>
    <cellStyle name="Accent1 67" xfId="2006" xr:uid="{00000000-0005-0000-0000-000083490000}"/>
    <cellStyle name="Accent1 68" xfId="2007" xr:uid="{00000000-0005-0000-0000-000084490000}"/>
    <cellStyle name="Accent1 69" xfId="2008" xr:uid="{00000000-0005-0000-0000-000085490000}"/>
    <cellStyle name="Accent1 7" xfId="2009" xr:uid="{00000000-0005-0000-0000-000086490000}"/>
    <cellStyle name="Accent1 70" xfId="2010" xr:uid="{00000000-0005-0000-0000-000087490000}"/>
    <cellStyle name="Accent1 71" xfId="2011" xr:uid="{00000000-0005-0000-0000-000088490000}"/>
    <cellStyle name="Accent1 72" xfId="2012" xr:uid="{00000000-0005-0000-0000-000089490000}"/>
    <cellStyle name="Accent1 8" xfId="2013" xr:uid="{00000000-0005-0000-0000-00008A490000}"/>
    <cellStyle name="Accent1 9" xfId="2014" xr:uid="{00000000-0005-0000-0000-00008B490000}"/>
    <cellStyle name="Accent2 - 20%" xfId="24013" xr:uid="{00000000-0005-0000-0000-00008C490000}"/>
    <cellStyle name="Accent2 - 40%" xfId="24014" xr:uid="{00000000-0005-0000-0000-00008D490000}"/>
    <cellStyle name="Accent2 - 60%" xfId="24015" xr:uid="{00000000-0005-0000-0000-00008E490000}"/>
    <cellStyle name="Accent2 10" xfId="2015" xr:uid="{00000000-0005-0000-0000-00008F490000}"/>
    <cellStyle name="Accent2 11" xfId="2016" xr:uid="{00000000-0005-0000-0000-000090490000}"/>
    <cellStyle name="Accent2 12" xfId="2017" xr:uid="{00000000-0005-0000-0000-000091490000}"/>
    <cellStyle name="Accent2 13" xfId="2018" xr:uid="{00000000-0005-0000-0000-000092490000}"/>
    <cellStyle name="Accent2 14" xfId="2019" xr:uid="{00000000-0005-0000-0000-000093490000}"/>
    <cellStyle name="Accent2 15" xfId="2020" xr:uid="{00000000-0005-0000-0000-000094490000}"/>
    <cellStyle name="Accent2 16" xfId="2021" xr:uid="{00000000-0005-0000-0000-000095490000}"/>
    <cellStyle name="Accent2 17" xfId="2022" xr:uid="{00000000-0005-0000-0000-000096490000}"/>
    <cellStyle name="Accent2 18" xfId="2023" xr:uid="{00000000-0005-0000-0000-000097490000}"/>
    <cellStyle name="Accent2 19" xfId="2024" xr:uid="{00000000-0005-0000-0000-000098490000}"/>
    <cellStyle name="Accent2 2" xfId="2025" xr:uid="{00000000-0005-0000-0000-000099490000}"/>
    <cellStyle name="Accent2 2 2" xfId="24017" xr:uid="{00000000-0005-0000-0000-00009A490000}"/>
    <cellStyle name="Accent2 2 3" xfId="24016" xr:uid="{00000000-0005-0000-0000-00009B490000}"/>
    <cellStyle name="Accent2 20" xfId="2026" xr:uid="{00000000-0005-0000-0000-00009C490000}"/>
    <cellStyle name="Accent2 21" xfId="2027" xr:uid="{00000000-0005-0000-0000-00009D490000}"/>
    <cellStyle name="Accent2 22" xfId="2028" xr:uid="{00000000-0005-0000-0000-00009E490000}"/>
    <cellStyle name="Accent2 23" xfId="2029" xr:uid="{00000000-0005-0000-0000-00009F490000}"/>
    <cellStyle name="Accent2 24" xfId="2030" xr:uid="{00000000-0005-0000-0000-0000A0490000}"/>
    <cellStyle name="Accent2 25" xfId="2031" xr:uid="{00000000-0005-0000-0000-0000A1490000}"/>
    <cellStyle name="Accent2 26" xfId="2032" xr:uid="{00000000-0005-0000-0000-0000A2490000}"/>
    <cellStyle name="Accent2 27" xfId="2033" xr:uid="{00000000-0005-0000-0000-0000A3490000}"/>
    <cellStyle name="Accent2 28" xfId="2034" xr:uid="{00000000-0005-0000-0000-0000A4490000}"/>
    <cellStyle name="Accent2 29" xfId="2035" xr:uid="{00000000-0005-0000-0000-0000A5490000}"/>
    <cellStyle name="Accent2 3" xfId="2036" xr:uid="{00000000-0005-0000-0000-0000A6490000}"/>
    <cellStyle name="Accent2 3 2" xfId="24018" xr:uid="{00000000-0005-0000-0000-0000A7490000}"/>
    <cellStyle name="Accent2 30" xfId="2037" xr:uid="{00000000-0005-0000-0000-0000A8490000}"/>
    <cellStyle name="Accent2 31" xfId="2038" xr:uid="{00000000-0005-0000-0000-0000A9490000}"/>
    <cellStyle name="Accent2 32" xfId="2039" xr:uid="{00000000-0005-0000-0000-0000AA490000}"/>
    <cellStyle name="Accent2 33" xfId="2040" xr:uid="{00000000-0005-0000-0000-0000AB490000}"/>
    <cellStyle name="Accent2 34" xfId="2041" xr:uid="{00000000-0005-0000-0000-0000AC490000}"/>
    <cellStyle name="Accent2 35" xfId="2042" xr:uid="{00000000-0005-0000-0000-0000AD490000}"/>
    <cellStyle name="Accent2 36" xfId="2043" xr:uid="{00000000-0005-0000-0000-0000AE490000}"/>
    <cellStyle name="Accent2 37" xfId="2044" xr:uid="{00000000-0005-0000-0000-0000AF490000}"/>
    <cellStyle name="Accent2 38" xfId="2045" xr:uid="{00000000-0005-0000-0000-0000B0490000}"/>
    <cellStyle name="Accent2 39" xfId="2046" xr:uid="{00000000-0005-0000-0000-0000B1490000}"/>
    <cellStyle name="Accent2 4" xfId="2047" xr:uid="{00000000-0005-0000-0000-0000B2490000}"/>
    <cellStyle name="Accent2 4 2" xfId="24019" xr:uid="{00000000-0005-0000-0000-0000B3490000}"/>
    <cellStyle name="Accent2 40" xfId="2048" xr:uid="{00000000-0005-0000-0000-0000B4490000}"/>
    <cellStyle name="Accent2 41" xfId="2049" xr:uid="{00000000-0005-0000-0000-0000B5490000}"/>
    <cellStyle name="Accent2 42" xfId="2050" xr:uid="{00000000-0005-0000-0000-0000B6490000}"/>
    <cellStyle name="Accent2 43" xfId="2051" xr:uid="{00000000-0005-0000-0000-0000B7490000}"/>
    <cellStyle name="Accent2 44" xfId="2052" xr:uid="{00000000-0005-0000-0000-0000B8490000}"/>
    <cellStyle name="Accent2 45" xfId="2053" xr:uid="{00000000-0005-0000-0000-0000B9490000}"/>
    <cellStyle name="Accent2 46" xfId="2054" xr:uid="{00000000-0005-0000-0000-0000BA490000}"/>
    <cellStyle name="Accent2 47" xfId="2055" xr:uid="{00000000-0005-0000-0000-0000BB490000}"/>
    <cellStyle name="Accent2 48" xfId="2056" xr:uid="{00000000-0005-0000-0000-0000BC490000}"/>
    <cellStyle name="Accent2 49" xfId="2057" xr:uid="{00000000-0005-0000-0000-0000BD490000}"/>
    <cellStyle name="Accent2 5" xfId="2058" xr:uid="{00000000-0005-0000-0000-0000BE490000}"/>
    <cellStyle name="Accent2 50" xfId="2059" xr:uid="{00000000-0005-0000-0000-0000BF490000}"/>
    <cellStyle name="Accent2 51" xfId="2060" xr:uid="{00000000-0005-0000-0000-0000C0490000}"/>
    <cellStyle name="Accent2 52" xfId="2061" xr:uid="{00000000-0005-0000-0000-0000C1490000}"/>
    <cellStyle name="Accent2 53" xfId="2062" xr:uid="{00000000-0005-0000-0000-0000C2490000}"/>
    <cellStyle name="Accent2 54" xfId="2063" xr:uid="{00000000-0005-0000-0000-0000C3490000}"/>
    <cellStyle name="Accent2 55" xfId="2064" xr:uid="{00000000-0005-0000-0000-0000C4490000}"/>
    <cellStyle name="Accent2 56" xfId="2065" xr:uid="{00000000-0005-0000-0000-0000C5490000}"/>
    <cellStyle name="Accent2 57" xfId="2066" xr:uid="{00000000-0005-0000-0000-0000C6490000}"/>
    <cellStyle name="Accent2 58" xfId="2067" xr:uid="{00000000-0005-0000-0000-0000C7490000}"/>
    <cellStyle name="Accent2 59" xfId="2068" xr:uid="{00000000-0005-0000-0000-0000C8490000}"/>
    <cellStyle name="Accent2 6" xfId="2069" xr:uid="{00000000-0005-0000-0000-0000C9490000}"/>
    <cellStyle name="Accent2 60" xfId="2070" xr:uid="{00000000-0005-0000-0000-0000CA490000}"/>
    <cellStyle name="Accent2 61" xfId="2071" xr:uid="{00000000-0005-0000-0000-0000CB490000}"/>
    <cellStyle name="Accent2 62" xfId="2072" xr:uid="{00000000-0005-0000-0000-0000CC490000}"/>
    <cellStyle name="Accent2 63" xfId="2073" xr:uid="{00000000-0005-0000-0000-0000CD490000}"/>
    <cellStyle name="Accent2 64" xfId="2074" xr:uid="{00000000-0005-0000-0000-0000CE490000}"/>
    <cellStyle name="Accent2 65" xfId="2075" xr:uid="{00000000-0005-0000-0000-0000CF490000}"/>
    <cellStyle name="Accent2 66" xfId="2076" xr:uid="{00000000-0005-0000-0000-0000D0490000}"/>
    <cellStyle name="Accent2 67" xfId="2077" xr:uid="{00000000-0005-0000-0000-0000D1490000}"/>
    <cellStyle name="Accent2 68" xfId="2078" xr:uid="{00000000-0005-0000-0000-0000D2490000}"/>
    <cellStyle name="Accent2 69" xfId="2079" xr:uid="{00000000-0005-0000-0000-0000D3490000}"/>
    <cellStyle name="Accent2 7" xfId="2080" xr:uid="{00000000-0005-0000-0000-0000D4490000}"/>
    <cellStyle name="Accent2 70" xfId="2081" xr:uid="{00000000-0005-0000-0000-0000D5490000}"/>
    <cellStyle name="Accent2 71" xfId="2082" xr:uid="{00000000-0005-0000-0000-0000D6490000}"/>
    <cellStyle name="Accent2 72" xfId="2083" xr:uid="{00000000-0005-0000-0000-0000D7490000}"/>
    <cellStyle name="Accent2 8" xfId="2084" xr:uid="{00000000-0005-0000-0000-0000D8490000}"/>
    <cellStyle name="Accent2 9" xfId="2085" xr:uid="{00000000-0005-0000-0000-0000D9490000}"/>
    <cellStyle name="Accent3 - 20%" xfId="24021" xr:uid="{00000000-0005-0000-0000-0000DA490000}"/>
    <cellStyle name="Accent3 - 40%" xfId="24022" xr:uid="{00000000-0005-0000-0000-0000DB490000}"/>
    <cellStyle name="Accent3 - 60%" xfId="24023" xr:uid="{00000000-0005-0000-0000-0000DC490000}"/>
    <cellStyle name="Accent3 10" xfId="2086" xr:uid="{00000000-0005-0000-0000-0000DD490000}"/>
    <cellStyle name="Accent3 11" xfId="2087" xr:uid="{00000000-0005-0000-0000-0000DE490000}"/>
    <cellStyle name="Accent3 12" xfId="2088" xr:uid="{00000000-0005-0000-0000-0000DF490000}"/>
    <cellStyle name="Accent3 13" xfId="2089" xr:uid="{00000000-0005-0000-0000-0000E0490000}"/>
    <cellStyle name="Accent3 14" xfId="2090" xr:uid="{00000000-0005-0000-0000-0000E1490000}"/>
    <cellStyle name="Accent3 15" xfId="2091" xr:uid="{00000000-0005-0000-0000-0000E2490000}"/>
    <cellStyle name="Accent3 16" xfId="2092" xr:uid="{00000000-0005-0000-0000-0000E3490000}"/>
    <cellStyle name="Accent3 17" xfId="2093" xr:uid="{00000000-0005-0000-0000-0000E4490000}"/>
    <cellStyle name="Accent3 18" xfId="2094" xr:uid="{00000000-0005-0000-0000-0000E5490000}"/>
    <cellStyle name="Accent3 19" xfId="2095" xr:uid="{00000000-0005-0000-0000-0000E6490000}"/>
    <cellStyle name="Accent3 2" xfId="2096" xr:uid="{00000000-0005-0000-0000-0000E7490000}"/>
    <cellStyle name="Accent3 2 2" xfId="24025" xr:uid="{00000000-0005-0000-0000-0000E8490000}"/>
    <cellStyle name="Accent3 2 3" xfId="24024" xr:uid="{00000000-0005-0000-0000-0000E9490000}"/>
    <cellStyle name="Accent3 20" xfId="2097" xr:uid="{00000000-0005-0000-0000-0000EA490000}"/>
    <cellStyle name="Accent3 21" xfId="2098" xr:uid="{00000000-0005-0000-0000-0000EB490000}"/>
    <cellStyle name="Accent3 22" xfId="2099" xr:uid="{00000000-0005-0000-0000-0000EC490000}"/>
    <cellStyle name="Accent3 23" xfId="2100" xr:uid="{00000000-0005-0000-0000-0000ED490000}"/>
    <cellStyle name="Accent3 24" xfId="2101" xr:uid="{00000000-0005-0000-0000-0000EE490000}"/>
    <cellStyle name="Accent3 25" xfId="2102" xr:uid="{00000000-0005-0000-0000-0000EF490000}"/>
    <cellStyle name="Accent3 26" xfId="2103" xr:uid="{00000000-0005-0000-0000-0000F0490000}"/>
    <cellStyle name="Accent3 27" xfId="2104" xr:uid="{00000000-0005-0000-0000-0000F1490000}"/>
    <cellStyle name="Accent3 28" xfId="2105" xr:uid="{00000000-0005-0000-0000-0000F2490000}"/>
    <cellStyle name="Accent3 29" xfId="2106" xr:uid="{00000000-0005-0000-0000-0000F3490000}"/>
    <cellStyle name="Accent3 3" xfId="2107" xr:uid="{00000000-0005-0000-0000-0000F4490000}"/>
    <cellStyle name="Accent3 3 2" xfId="24026" xr:uid="{00000000-0005-0000-0000-0000F5490000}"/>
    <cellStyle name="Accent3 30" xfId="2108" xr:uid="{00000000-0005-0000-0000-0000F6490000}"/>
    <cellStyle name="Accent3 31" xfId="2109" xr:uid="{00000000-0005-0000-0000-0000F7490000}"/>
    <cellStyle name="Accent3 32" xfId="2110" xr:uid="{00000000-0005-0000-0000-0000F8490000}"/>
    <cellStyle name="Accent3 33" xfId="2111" xr:uid="{00000000-0005-0000-0000-0000F9490000}"/>
    <cellStyle name="Accent3 34" xfId="2112" xr:uid="{00000000-0005-0000-0000-0000FA490000}"/>
    <cellStyle name="Accent3 35" xfId="2113" xr:uid="{00000000-0005-0000-0000-0000FB490000}"/>
    <cellStyle name="Accent3 36" xfId="2114" xr:uid="{00000000-0005-0000-0000-0000FC490000}"/>
    <cellStyle name="Accent3 37" xfId="2115" xr:uid="{00000000-0005-0000-0000-0000FD490000}"/>
    <cellStyle name="Accent3 38" xfId="2116" xr:uid="{00000000-0005-0000-0000-0000FE490000}"/>
    <cellStyle name="Accent3 39" xfId="2117" xr:uid="{00000000-0005-0000-0000-0000FF490000}"/>
    <cellStyle name="Accent3 4" xfId="2118" xr:uid="{00000000-0005-0000-0000-0000004A0000}"/>
    <cellStyle name="Accent3 4 2" xfId="24027" xr:uid="{00000000-0005-0000-0000-0000014A0000}"/>
    <cellStyle name="Accent3 40" xfId="2119" xr:uid="{00000000-0005-0000-0000-0000024A0000}"/>
    <cellStyle name="Accent3 41" xfId="2120" xr:uid="{00000000-0005-0000-0000-0000034A0000}"/>
    <cellStyle name="Accent3 42" xfId="2121" xr:uid="{00000000-0005-0000-0000-0000044A0000}"/>
    <cellStyle name="Accent3 43" xfId="2122" xr:uid="{00000000-0005-0000-0000-0000054A0000}"/>
    <cellStyle name="Accent3 44" xfId="2123" xr:uid="{00000000-0005-0000-0000-0000064A0000}"/>
    <cellStyle name="Accent3 45" xfId="2124" xr:uid="{00000000-0005-0000-0000-0000074A0000}"/>
    <cellStyle name="Accent3 46" xfId="2125" xr:uid="{00000000-0005-0000-0000-0000084A0000}"/>
    <cellStyle name="Accent3 47" xfId="2126" xr:uid="{00000000-0005-0000-0000-0000094A0000}"/>
    <cellStyle name="Accent3 48" xfId="2127" xr:uid="{00000000-0005-0000-0000-00000A4A0000}"/>
    <cellStyle name="Accent3 49" xfId="2128" xr:uid="{00000000-0005-0000-0000-00000B4A0000}"/>
    <cellStyle name="Accent3 5" xfId="2129" xr:uid="{00000000-0005-0000-0000-00000C4A0000}"/>
    <cellStyle name="Accent3 50" xfId="2130" xr:uid="{00000000-0005-0000-0000-00000D4A0000}"/>
    <cellStyle name="Accent3 51" xfId="2131" xr:uid="{00000000-0005-0000-0000-00000E4A0000}"/>
    <cellStyle name="Accent3 52" xfId="2132" xr:uid="{00000000-0005-0000-0000-00000F4A0000}"/>
    <cellStyle name="Accent3 53" xfId="2133" xr:uid="{00000000-0005-0000-0000-0000104A0000}"/>
    <cellStyle name="Accent3 54" xfId="2134" xr:uid="{00000000-0005-0000-0000-0000114A0000}"/>
    <cellStyle name="Accent3 55" xfId="2135" xr:uid="{00000000-0005-0000-0000-0000124A0000}"/>
    <cellStyle name="Accent3 56" xfId="2136" xr:uid="{00000000-0005-0000-0000-0000134A0000}"/>
    <cellStyle name="Accent3 57" xfId="2137" xr:uid="{00000000-0005-0000-0000-0000144A0000}"/>
    <cellStyle name="Accent3 58" xfId="2138" xr:uid="{00000000-0005-0000-0000-0000154A0000}"/>
    <cellStyle name="Accent3 59" xfId="2139" xr:uid="{00000000-0005-0000-0000-0000164A0000}"/>
    <cellStyle name="Accent3 6" xfId="2140" xr:uid="{00000000-0005-0000-0000-0000174A0000}"/>
    <cellStyle name="Accent3 60" xfId="2141" xr:uid="{00000000-0005-0000-0000-0000184A0000}"/>
    <cellStyle name="Accent3 61" xfId="2142" xr:uid="{00000000-0005-0000-0000-0000194A0000}"/>
    <cellStyle name="Accent3 62" xfId="2143" xr:uid="{00000000-0005-0000-0000-00001A4A0000}"/>
    <cellStyle name="Accent3 63" xfId="2144" xr:uid="{00000000-0005-0000-0000-00001B4A0000}"/>
    <cellStyle name="Accent3 64" xfId="2145" xr:uid="{00000000-0005-0000-0000-00001C4A0000}"/>
    <cellStyle name="Accent3 65" xfId="2146" xr:uid="{00000000-0005-0000-0000-00001D4A0000}"/>
    <cellStyle name="Accent3 66" xfId="2147" xr:uid="{00000000-0005-0000-0000-00001E4A0000}"/>
    <cellStyle name="Accent3 67" xfId="2148" xr:uid="{00000000-0005-0000-0000-00001F4A0000}"/>
    <cellStyle name="Accent3 68" xfId="2149" xr:uid="{00000000-0005-0000-0000-0000204A0000}"/>
    <cellStyle name="Accent3 69" xfId="2150" xr:uid="{00000000-0005-0000-0000-0000214A0000}"/>
    <cellStyle name="Accent3 7" xfId="2151" xr:uid="{00000000-0005-0000-0000-0000224A0000}"/>
    <cellStyle name="Accent3 70" xfId="2152" xr:uid="{00000000-0005-0000-0000-0000234A0000}"/>
    <cellStyle name="Accent3 71" xfId="2153" xr:uid="{00000000-0005-0000-0000-0000244A0000}"/>
    <cellStyle name="Accent3 72" xfId="2154" xr:uid="{00000000-0005-0000-0000-0000254A0000}"/>
    <cellStyle name="Accent3 8" xfId="2155" xr:uid="{00000000-0005-0000-0000-0000264A0000}"/>
    <cellStyle name="Accent3 9" xfId="2156" xr:uid="{00000000-0005-0000-0000-0000274A0000}"/>
    <cellStyle name="Accent4 - 20%" xfId="24028" xr:uid="{00000000-0005-0000-0000-0000284A0000}"/>
    <cellStyle name="Accent4 - 40%" xfId="24029" xr:uid="{00000000-0005-0000-0000-0000294A0000}"/>
    <cellStyle name="Accent4 - 60%" xfId="24030" xr:uid="{00000000-0005-0000-0000-00002A4A0000}"/>
    <cellStyle name="Accent4 10" xfId="2157" xr:uid="{00000000-0005-0000-0000-00002B4A0000}"/>
    <cellStyle name="Accent4 11" xfId="2158" xr:uid="{00000000-0005-0000-0000-00002C4A0000}"/>
    <cellStyle name="Accent4 12" xfId="2159" xr:uid="{00000000-0005-0000-0000-00002D4A0000}"/>
    <cellStyle name="Accent4 13" xfId="2160" xr:uid="{00000000-0005-0000-0000-00002E4A0000}"/>
    <cellStyle name="Accent4 14" xfId="2161" xr:uid="{00000000-0005-0000-0000-00002F4A0000}"/>
    <cellStyle name="Accent4 15" xfId="2162" xr:uid="{00000000-0005-0000-0000-0000304A0000}"/>
    <cellStyle name="Accent4 16" xfId="2163" xr:uid="{00000000-0005-0000-0000-0000314A0000}"/>
    <cellStyle name="Accent4 17" xfId="2164" xr:uid="{00000000-0005-0000-0000-0000324A0000}"/>
    <cellStyle name="Accent4 18" xfId="2165" xr:uid="{00000000-0005-0000-0000-0000334A0000}"/>
    <cellStyle name="Accent4 19" xfId="2166" xr:uid="{00000000-0005-0000-0000-0000344A0000}"/>
    <cellStyle name="Accent4 2" xfId="2167" xr:uid="{00000000-0005-0000-0000-0000354A0000}"/>
    <cellStyle name="Accent4 2 2" xfId="24034" xr:uid="{00000000-0005-0000-0000-0000364A0000}"/>
    <cellStyle name="Accent4 2 3" xfId="24033" xr:uid="{00000000-0005-0000-0000-0000374A0000}"/>
    <cellStyle name="Accent4 20" xfId="2168" xr:uid="{00000000-0005-0000-0000-0000384A0000}"/>
    <cellStyle name="Accent4 21" xfId="2169" xr:uid="{00000000-0005-0000-0000-0000394A0000}"/>
    <cellStyle name="Accent4 22" xfId="2170" xr:uid="{00000000-0005-0000-0000-00003A4A0000}"/>
    <cellStyle name="Accent4 23" xfId="2171" xr:uid="{00000000-0005-0000-0000-00003B4A0000}"/>
    <cellStyle name="Accent4 24" xfId="2172" xr:uid="{00000000-0005-0000-0000-00003C4A0000}"/>
    <cellStyle name="Accent4 25" xfId="2173" xr:uid="{00000000-0005-0000-0000-00003D4A0000}"/>
    <cellStyle name="Accent4 26" xfId="2174" xr:uid="{00000000-0005-0000-0000-00003E4A0000}"/>
    <cellStyle name="Accent4 27" xfId="2175" xr:uid="{00000000-0005-0000-0000-00003F4A0000}"/>
    <cellStyle name="Accent4 28" xfId="2176" xr:uid="{00000000-0005-0000-0000-0000404A0000}"/>
    <cellStyle name="Accent4 29" xfId="2177" xr:uid="{00000000-0005-0000-0000-0000414A0000}"/>
    <cellStyle name="Accent4 3" xfId="2178" xr:uid="{00000000-0005-0000-0000-0000424A0000}"/>
    <cellStyle name="Accent4 3 2" xfId="24035" xr:uid="{00000000-0005-0000-0000-0000434A0000}"/>
    <cellStyle name="Accent4 30" xfId="2179" xr:uid="{00000000-0005-0000-0000-0000444A0000}"/>
    <cellStyle name="Accent4 31" xfId="2180" xr:uid="{00000000-0005-0000-0000-0000454A0000}"/>
    <cellStyle name="Accent4 32" xfId="2181" xr:uid="{00000000-0005-0000-0000-0000464A0000}"/>
    <cellStyle name="Accent4 33" xfId="2182" xr:uid="{00000000-0005-0000-0000-0000474A0000}"/>
    <cellStyle name="Accent4 34" xfId="2183" xr:uid="{00000000-0005-0000-0000-0000484A0000}"/>
    <cellStyle name="Accent4 35" xfId="2184" xr:uid="{00000000-0005-0000-0000-0000494A0000}"/>
    <cellStyle name="Accent4 36" xfId="2185" xr:uid="{00000000-0005-0000-0000-00004A4A0000}"/>
    <cellStyle name="Accent4 37" xfId="2186" xr:uid="{00000000-0005-0000-0000-00004B4A0000}"/>
    <cellStyle name="Accent4 38" xfId="2187" xr:uid="{00000000-0005-0000-0000-00004C4A0000}"/>
    <cellStyle name="Accent4 39" xfId="2188" xr:uid="{00000000-0005-0000-0000-00004D4A0000}"/>
    <cellStyle name="Accent4 4" xfId="2189" xr:uid="{00000000-0005-0000-0000-00004E4A0000}"/>
    <cellStyle name="Accent4 4 2" xfId="24036" xr:uid="{00000000-0005-0000-0000-00004F4A0000}"/>
    <cellStyle name="Accent4 40" xfId="2190" xr:uid="{00000000-0005-0000-0000-0000504A0000}"/>
    <cellStyle name="Accent4 41" xfId="2191" xr:uid="{00000000-0005-0000-0000-0000514A0000}"/>
    <cellStyle name="Accent4 42" xfId="2192" xr:uid="{00000000-0005-0000-0000-0000524A0000}"/>
    <cellStyle name="Accent4 43" xfId="2193" xr:uid="{00000000-0005-0000-0000-0000534A0000}"/>
    <cellStyle name="Accent4 44" xfId="2194" xr:uid="{00000000-0005-0000-0000-0000544A0000}"/>
    <cellStyle name="Accent4 45" xfId="2195" xr:uid="{00000000-0005-0000-0000-0000554A0000}"/>
    <cellStyle name="Accent4 46" xfId="2196" xr:uid="{00000000-0005-0000-0000-0000564A0000}"/>
    <cellStyle name="Accent4 47" xfId="2197" xr:uid="{00000000-0005-0000-0000-0000574A0000}"/>
    <cellStyle name="Accent4 48" xfId="2198" xr:uid="{00000000-0005-0000-0000-0000584A0000}"/>
    <cellStyle name="Accent4 49" xfId="2199" xr:uid="{00000000-0005-0000-0000-0000594A0000}"/>
    <cellStyle name="Accent4 5" xfId="2200" xr:uid="{00000000-0005-0000-0000-00005A4A0000}"/>
    <cellStyle name="Accent4 50" xfId="2201" xr:uid="{00000000-0005-0000-0000-00005B4A0000}"/>
    <cellStyle name="Accent4 51" xfId="2202" xr:uid="{00000000-0005-0000-0000-00005C4A0000}"/>
    <cellStyle name="Accent4 52" xfId="2203" xr:uid="{00000000-0005-0000-0000-00005D4A0000}"/>
    <cellStyle name="Accent4 53" xfId="2204" xr:uid="{00000000-0005-0000-0000-00005E4A0000}"/>
    <cellStyle name="Accent4 54" xfId="2205" xr:uid="{00000000-0005-0000-0000-00005F4A0000}"/>
    <cellStyle name="Accent4 55" xfId="2206" xr:uid="{00000000-0005-0000-0000-0000604A0000}"/>
    <cellStyle name="Accent4 56" xfId="2207" xr:uid="{00000000-0005-0000-0000-0000614A0000}"/>
    <cellStyle name="Accent4 57" xfId="2208" xr:uid="{00000000-0005-0000-0000-0000624A0000}"/>
    <cellStyle name="Accent4 58" xfId="2209" xr:uid="{00000000-0005-0000-0000-0000634A0000}"/>
    <cellStyle name="Accent4 59" xfId="2210" xr:uid="{00000000-0005-0000-0000-0000644A0000}"/>
    <cellStyle name="Accent4 6" xfId="2211" xr:uid="{00000000-0005-0000-0000-0000654A0000}"/>
    <cellStyle name="Accent4 60" xfId="2212" xr:uid="{00000000-0005-0000-0000-0000664A0000}"/>
    <cellStyle name="Accent4 61" xfId="2213" xr:uid="{00000000-0005-0000-0000-0000674A0000}"/>
    <cellStyle name="Accent4 62" xfId="2214" xr:uid="{00000000-0005-0000-0000-0000684A0000}"/>
    <cellStyle name="Accent4 63" xfId="2215" xr:uid="{00000000-0005-0000-0000-0000694A0000}"/>
    <cellStyle name="Accent4 64" xfId="2216" xr:uid="{00000000-0005-0000-0000-00006A4A0000}"/>
    <cellStyle name="Accent4 65" xfId="2217" xr:uid="{00000000-0005-0000-0000-00006B4A0000}"/>
    <cellStyle name="Accent4 66" xfId="2218" xr:uid="{00000000-0005-0000-0000-00006C4A0000}"/>
    <cellStyle name="Accent4 67" xfId="2219" xr:uid="{00000000-0005-0000-0000-00006D4A0000}"/>
    <cellStyle name="Accent4 68" xfId="2220" xr:uid="{00000000-0005-0000-0000-00006E4A0000}"/>
    <cellStyle name="Accent4 69" xfId="2221" xr:uid="{00000000-0005-0000-0000-00006F4A0000}"/>
    <cellStyle name="Accent4 7" xfId="2222" xr:uid="{00000000-0005-0000-0000-0000704A0000}"/>
    <cellStyle name="Accent4 70" xfId="2223" xr:uid="{00000000-0005-0000-0000-0000714A0000}"/>
    <cellStyle name="Accent4 71" xfId="2224" xr:uid="{00000000-0005-0000-0000-0000724A0000}"/>
    <cellStyle name="Accent4 72" xfId="2225" xr:uid="{00000000-0005-0000-0000-0000734A0000}"/>
    <cellStyle name="Accent4 8" xfId="2226" xr:uid="{00000000-0005-0000-0000-0000744A0000}"/>
    <cellStyle name="Accent4 9" xfId="2227" xr:uid="{00000000-0005-0000-0000-0000754A0000}"/>
    <cellStyle name="Accent5 - 20%" xfId="24037" xr:uid="{00000000-0005-0000-0000-0000764A0000}"/>
    <cellStyle name="Accent5 - 40%" xfId="24038" xr:uid="{00000000-0005-0000-0000-0000774A0000}"/>
    <cellStyle name="Accent5 - 60%" xfId="24039" xr:uid="{00000000-0005-0000-0000-0000784A0000}"/>
    <cellStyle name="Accent5 10" xfId="2228" xr:uid="{00000000-0005-0000-0000-0000794A0000}"/>
    <cellStyle name="Accent5 11" xfId="2229" xr:uid="{00000000-0005-0000-0000-00007A4A0000}"/>
    <cellStyle name="Accent5 12" xfId="2230" xr:uid="{00000000-0005-0000-0000-00007B4A0000}"/>
    <cellStyle name="Accent5 13" xfId="2231" xr:uid="{00000000-0005-0000-0000-00007C4A0000}"/>
    <cellStyle name="Accent5 14" xfId="2232" xr:uid="{00000000-0005-0000-0000-00007D4A0000}"/>
    <cellStyle name="Accent5 15" xfId="2233" xr:uid="{00000000-0005-0000-0000-00007E4A0000}"/>
    <cellStyle name="Accent5 16" xfId="2234" xr:uid="{00000000-0005-0000-0000-00007F4A0000}"/>
    <cellStyle name="Accent5 17" xfId="2235" xr:uid="{00000000-0005-0000-0000-0000804A0000}"/>
    <cellStyle name="Accent5 18" xfId="2236" xr:uid="{00000000-0005-0000-0000-0000814A0000}"/>
    <cellStyle name="Accent5 19" xfId="2237" xr:uid="{00000000-0005-0000-0000-0000824A0000}"/>
    <cellStyle name="Accent5 2" xfId="2238" xr:uid="{00000000-0005-0000-0000-0000834A0000}"/>
    <cellStyle name="Accent5 2 2" xfId="24041" xr:uid="{00000000-0005-0000-0000-0000844A0000}"/>
    <cellStyle name="Accent5 2 3" xfId="24040" xr:uid="{00000000-0005-0000-0000-0000854A0000}"/>
    <cellStyle name="Accent5 20" xfId="2239" xr:uid="{00000000-0005-0000-0000-0000864A0000}"/>
    <cellStyle name="Accent5 21" xfId="2240" xr:uid="{00000000-0005-0000-0000-0000874A0000}"/>
    <cellStyle name="Accent5 22" xfId="2241" xr:uid="{00000000-0005-0000-0000-0000884A0000}"/>
    <cellStyle name="Accent5 23" xfId="2242" xr:uid="{00000000-0005-0000-0000-0000894A0000}"/>
    <cellStyle name="Accent5 24" xfId="2243" xr:uid="{00000000-0005-0000-0000-00008A4A0000}"/>
    <cellStyle name="Accent5 25" xfId="2244" xr:uid="{00000000-0005-0000-0000-00008B4A0000}"/>
    <cellStyle name="Accent5 26" xfId="2245" xr:uid="{00000000-0005-0000-0000-00008C4A0000}"/>
    <cellStyle name="Accent5 27" xfId="2246" xr:uid="{00000000-0005-0000-0000-00008D4A0000}"/>
    <cellStyle name="Accent5 28" xfId="2247" xr:uid="{00000000-0005-0000-0000-00008E4A0000}"/>
    <cellStyle name="Accent5 29" xfId="2248" xr:uid="{00000000-0005-0000-0000-00008F4A0000}"/>
    <cellStyle name="Accent5 3" xfId="2249" xr:uid="{00000000-0005-0000-0000-0000904A0000}"/>
    <cellStyle name="Accent5 3 2" xfId="24042" xr:uid="{00000000-0005-0000-0000-0000914A0000}"/>
    <cellStyle name="Accent5 30" xfId="2250" xr:uid="{00000000-0005-0000-0000-0000924A0000}"/>
    <cellStyle name="Accent5 31" xfId="2251" xr:uid="{00000000-0005-0000-0000-0000934A0000}"/>
    <cellStyle name="Accent5 32" xfId="2252" xr:uid="{00000000-0005-0000-0000-0000944A0000}"/>
    <cellStyle name="Accent5 33" xfId="2253" xr:uid="{00000000-0005-0000-0000-0000954A0000}"/>
    <cellStyle name="Accent5 34" xfId="2254" xr:uid="{00000000-0005-0000-0000-0000964A0000}"/>
    <cellStyle name="Accent5 35" xfId="2255" xr:uid="{00000000-0005-0000-0000-0000974A0000}"/>
    <cellStyle name="Accent5 36" xfId="2256" xr:uid="{00000000-0005-0000-0000-0000984A0000}"/>
    <cellStyle name="Accent5 37" xfId="2257" xr:uid="{00000000-0005-0000-0000-0000994A0000}"/>
    <cellStyle name="Accent5 38" xfId="2258" xr:uid="{00000000-0005-0000-0000-00009A4A0000}"/>
    <cellStyle name="Accent5 39" xfId="2259" xr:uid="{00000000-0005-0000-0000-00009B4A0000}"/>
    <cellStyle name="Accent5 4" xfId="2260" xr:uid="{00000000-0005-0000-0000-00009C4A0000}"/>
    <cellStyle name="Accent5 4 2" xfId="24043" xr:uid="{00000000-0005-0000-0000-00009D4A0000}"/>
    <cellStyle name="Accent5 40" xfId="2261" xr:uid="{00000000-0005-0000-0000-00009E4A0000}"/>
    <cellStyle name="Accent5 41" xfId="2262" xr:uid="{00000000-0005-0000-0000-00009F4A0000}"/>
    <cellStyle name="Accent5 42" xfId="2263" xr:uid="{00000000-0005-0000-0000-0000A04A0000}"/>
    <cellStyle name="Accent5 43" xfId="2264" xr:uid="{00000000-0005-0000-0000-0000A14A0000}"/>
    <cellStyle name="Accent5 44" xfId="2265" xr:uid="{00000000-0005-0000-0000-0000A24A0000}"/>
    <cellStyle name="Accent5 45" xfId="2266" xr:uid="{00000000-0005-0000-0000-0000A34A0000}"/>
    <cellStyle name="Accent5 46" xfId="2267" xr:uid="{00000000-0005-0000-0000-0000A44A0000}"/>
    <cellStyle name="Accent5 47" xfId="2268" xr:uid="{00000000-0005-0000-0000-0000A54A0000}"/>
    <cellStyle name="Accent5 48" xfId="2269" xr:uid="{00000000-0005-0000-0000-0000A64A0000}"/>
    <cellStyle name="Accent5 49" xfId="2270" xr:uid="{00000000-0005-0000-0000-0000A74A0000}"/>
    <cellStyle name="Accent5 5" xfId="2271" xr:uid="{00000000-0005-0000-0000-0000A84A0000}"/>
    <cellStyle name="Accent5 50" xfId="2272" xr:uid="{00000000-0005-0000-0000-0000A94A0000}"/>
    <cellStyle name="Accent5 51" xfId="2273" xr:uid="{00000000-0005-0000-0000-0000AA4A0000}"/>
    <cellStyle name="Accent5 52" xfId="2274" xr:uid="{00000000-0005-0000-0000-0000AB4A0000}"/>
    <cellStyle name="Accent5 53" xfId="2275" xr:uid="{00000000-0005-0000-0000-0000AC4A0000}"/>
    <cellStyle name="Accent5 54" xfId="2276" xr:uid="{00000000-0005-0000-0000-0000AD4A0000}"/>
    <cellStyle name="Accent5 55" xfId="2277" xr:uid="{00000000-0005-0000-0000-0000AE4A0000}"/>
    <cellStyle name="Accent5 56" xfId="2278" xr:uid="{00000000-0005-0000-0000-0000AF4A0000}"/>
    <cellStyle name="Accent5 57" xfId="2279" xr:uid="{00000000-0005-0000-0000-0000B04A0000}"/>
    <cellStyle name="Accent5 58" xfId="2280" xr:uid="{00000000-0005-0000-0000-0000B14A0000}"/>
    <cellStyle name="Accent5 59" xfId="2281" xr:uid="{00000000-0005-0000-0000-0000B24A0000}"/>
    <cellStyle name="Accent5 6" xfId="2282" xr:uid="{00000000-0005-0000-0000-0000B34A0000}"/>
    <cellStyle name="Accent5 60" xfId="2283" xr:uid="{00000000-0005-0000-0000-0000B44A0000}"/>
    <cellStyle name="Accent5 61" xfId="2284" xr:uid="{00000000-0005-0000-0000-0000B54A0000}"/>
    <cellStyle name="Accent5 62" xfId="2285" xr:uid="{00000000-0005-0000-0000-0000B64A0000}"/>
    <cellStyle name="Accent5 63" xfId="2286" xr:uid="{00000000-0005-0000-0000-0000B74A0000}"/>
    <cellStyle name="Accent5 64" xfId="2287" xr:uid="{00000000-0005-0000-0000-0000B84A0000}"/>
    <cellStyle name="Accent5 65" xfId="2288" xr:uid="{00000000-0005-0000-0000-0000B94A0000}"/>
    <cellStyle name="Accent5 66" xfId="2289" xr:uid="{00000000-0005-0000-0000-0000BA4A0000}"/>
    <cellStyle name="Accent5 67" xfId="2290" xr:uid="{00000000-0005-0000-0000-0000BB4A0000}"/>
    <cellStyle name="Accent5 68" xfId="2291" xr:uid="{00000000-0005-0000-0000-0000BC4A0000}"/>
    <cellStyle name="Accent5 69" xfId="2292" xr:uid="{00000000-0005-0000-0000-0000BD4A0000}"/>
    <cellStyle name="Accent5 7" xfId="2293" xr:uid="{00000000-0005-0000-0000-0000BE4A0000}"/>
    <cellStyle name="Accent5 70" xfId="2294" xr:uid="{00000000-0005-0000-0000-0000BF4A0000}"/>
    <cellStyle name="Accent5 71" xfId="2295" xr:uid="{00000000-0005-0000-0000-0000C04A0000}"/>
    <cellStyle name="Accent5 72" xfId="2296" xr:uid="{00000000-0005-0000-0000-0000C14A0000}"/>
    <cellStyle name="Accent5 8" xfId="2297" xr:uid="{00000000-0005-0000-0000-0000C24A0000}"/>
    <cellStyle name="Accent5 9" xfId="2298" xr:uid="{00000000-0005-0000-0000-0000C34A0000}"/>
    <cellStyle name="Accent6 - 20%" xfId="24044" xr:uid="{00000000-0005-0000-0000-0000C44A0000}"/>
    <cellStyle name="Accent6 - 40%" xfId="24045" xr:uid="{00000000-0005-0000-0000-0000C54A0000}"/>
    <cellStyle name="Accent6 - 60%" xfId="24046" xr:uid="{00000000-0005-0000-0000-0000C64A0000}"/>
    <cellStyle name="Accent6 10" xfId="2299" xr:uid="{00000000-0005-0000-0000-0000C74A0000}"/>
    <cellStyle name="Accent6 11" xfId="2300" xr:uid="{00000000-0005-0000-0000-0000C84A0000}"/>
    <cellStyle name="Accent6 12" xfId="2301" xr:uid="{00000000-0005-0000-0000-0000C94A0000}"/>
    <cellStyle name="Accent6 13" xfId="2302" xr:uid="{00000000-0005-0000-0000-0000CA4A0000}"/>
    <cellStyle name="Accent6 14" xfId="2303" xr:uid="{00000000-0005-0000-0000-0000CB4A0000}"/>
    <cellStyle name="Accent6 15" xfId="2304" xr:uid="{00000000-0005-0000-0000-0000CC4A0000}"/>
    <cellStyle name="Accent6 16" xfId="2305" xr:uid="{00000000-0005-0000-0000-0000CD4A0000}"/>
    <cellStyle name="Accent6 17" xfId="2306" xr:uid="{00000000-0005-0000-0000-0000CE4A0000}"/>
    <cellStyle name="Accent6 18" xfId="2307" xr:uid="{00000000-0005-0000-0000-0000CF4A0000}"/>
    <cellStyle name="Accent6 19" xfId="2308" xr:uid="{00000000-0005-0000-0000-0000D04A0000}"/>
    <cellStyle name="Accent6 2" xfId="2309" xr:uid="{00000000-0005-0000-0000-0000D14A0000}"/>
    <cellStyle name="Accent6 2 2" xfId="24048" xr:uid="{00000000-0005-0000-0000-0000D24A0000}"/>
    <cellStyle name="Accent6 2 3" xfId="24047" xr:uid="{00000000-0005-0000-0000-0000D34A0000}"/>
    <cellStyle name="Accent6 20" xfId="2310" xr:uid="{00000000-0005-0000-0000-0000D44A0000}"/>
    <cellStyle name="Accent6 21" xfId="2311" xr:uid="{00000000-0005-0000-0000-0000D54A0000}"/>
    <cellStyle name="Accent6 22" xfId="2312" xr:uid="{00000000-0005-0000-0000-0000D64A0000}"/>
    <cellStyle name="Accent6 23" xfId="2313" xr:uid="{00000000-0005-0000-0000-0000D74A0000}"/>
    <cellStyle name="Accent6 24" xfId="2314" xr:uid="{00000000-0005-0000-0000-0000D84A0000}"/>
    <cellStyle name="Accent6 25" xfId="2315" xr:uid="{00000000-0005-0000-0000-0000D94A0000}"/>
    <cellStyle name="Accent6 26" xfId="2316" xr:uid="{00000000-0005-0000-0000-0000DA4A0000}"/>
    <cellStyle name="Accent6 27" xfId="2317" xr:uid="{00000000-0005-0000-0000-0000DB4A0000}"/>
    <cellStyle name="Accent6 28" xfId="2318" xr:uid="{00000000-0005-0000-0000-0000DC4A0000}"/>
    <cellStyle name="Accent6 29" xfId="2319" xr:uid="{00000000-0005-0000-0000-0000DD4A0000}"/>
    <cellStyle name="Accent6 3" xfId="2320" xr:uid="{00000000-0005-0000-0000-0000DE4A0000}"/>
    <cellStyle name="Accent6 3 2" xfId="24049" xr:uid="{00000000-0005-0000-0000-0000DF4A0000}"/>
    <cellStyle name="Accent6 30" xfId="2321" xr:uid="{00000000-0005-0000-0000-0000E04A0000}"/>
    <cellStyle name="Accent6 31" xfId="2322" xr:uid="{00000000-0005-0000-0000-0000E14A0000}"/>
    <cellStyle name="Accent6 32" xfId="2323" xr:uid="{00000000-0005-0000-0000-0000E24A0000}"/>
    <cellStyle name="Accent6 33" xfId="2324" xr:uid="{00000000-0005-0000-0000-0000E34A0000}"/>
    <cellStyle name="Accent6 34" xfId="2325" xr:uid="{00000000-0005-0000-0000-0000E44A0000}"/>
    <cellStyle name="Accent6 35" xfId="2326" xr:uid="{00000000-0005-0000-0000-0000E54A0000}"/>
    <cellStyle name="Accent6 36" xfId="2327" xr:uid="{00000000-0005-0000-0000-0000E64A0000}"/>
    <cellStyle name="Accent6 37" xfId="2328" xr:uid="{00000000-0005-0000-0000-0000E74A0000}"/>
    <cellStyle name="Accent6 38" xfId="2329" xr:uid="{00000000-0005-0000-0000-0000E84A0000}"/>
    <cellStyle name="Accent6 39" xfId="2330" xr:uid="{00000000-0005-0000-0000-0000E94A0000}"/>
    <cellStyle name="Accent6 4" xfId="2331" xr:uid="{00000000-0005-0000-0000-0000EA4A0000}"/>
    <cellStyle name="Accent6 4 2" xfId="24050" xr:uid="{00000000-0005-0000-0000-0000EB4A0000}"/>
    <cellStyle name="Accent6 40" xfId="2332" xr:uid="{00000000-0005-0000-0000-0000EC4A0000}"/>
    <cellStyle name="Accent6 41" xfId="2333" xr:uid="{00000000-0005-0000-0000-0000ED4A0000}"/>
    <cellStyle name="Accent6 42" xfId="2334" xr:uid="{00000000-0005-0000-0000-0000EE4A0000}"/>
    <cellStyle name="Accent6 43" xfId="2335" xr:uid="{00000000-0005-0000-0000-0000EF4A0000}"/>
    <cellStyle name="Accent6 44" xfId="2336" xr:uid="{00000000-0005-0000-0000-0000F04A0000}"/>
    <cellStyle name="Accent6 45" xfId="2337" xr:uid="{00000000-0005-0000-0000-0000F14A0000}"/>
    <cellStyle name="Accent6 46" xfId="2338" xr:uid="{00000000-0005-0000-0000-0000F24A0000}"/>
    <cellStyle name="Accent6 47" xfId="2339" xr:uid="{00000000-0005-0000-0000-0000F34A0000}"/>
    <cellStyle name="Accent6 48" xfId="2340" xr:uid="{00000000-0005-0000-0000-0000F44A0000}"/>
    <cellStyle name="Accent6 49" xfId="2341" xr:uid="{00000000-0005-0000-0000-0000F54A0000}"/>
    <cellStyle name="Accent6 5" xfId="2342" xr:uid="{00000000-0005-0000-0000-0000F64A0000}"/>
    <cellStyle name="Accent6 50" xfId="2343" xr:uid="{00000000-0005-0000-0000-0000F74A0000}"/>
    <cellStyle name="Accent6 51" xfId="2344" xr:uid="{00000000-0005-0000-0000-0000F84A0000}"/>
    <cellStyle name="Accent6 52" xfId="2345" xr:uid="{00000000-0005-0000-0000-0000F94A0000}"/>
    <cellStyle name="Accent6 53" xfId="2346" xr:uid="{00000000-0005-0000-0000-0000FA4A0000}"/>
    <cellStyle name="Accent6 54" xfId="2347" xr:uid="{00000000-0005-0000-0000-0000FB4A0000}"/>
    <cellStyle name="Accent6 55" xfId="2348" xr:uid="{00000000-0005-0000-0000-0000FC4A0000}"/>
    <cellStyle name="Accent6 56" xfId="2349" xr:uid="{00000000-0005-0000-0000-0000FD4A0000}"/>
    <cellStyle name="Accent6 57" xfId="2350" xr:uid="{00000000-0005-0000-0000-0000FE4A0000}"/>
    <cellStyle name="Accent6 58" xfId="2351" xr:uid="{00000000-0005-0000-0000-0000FF4A0000}"/>
    <cellStyle name="Accent6 59" xfId="2352" xr:uid="{00000000-0005-0000-0000-0000004B0000}"/>
    <cellStyle name="Accent6 6" xfId="2353" xr:uid="{00000000-0005-0000-0000-0000014B0000}"/>
    <cellStyle name="Accent6 60" xfId="2354" xr:uid="{00000000-0005-0000-0000-0000024B0000}"/>
    <cellStyle name="Accent6 61" xfId="2355" xr:uid="{00000000-0005-0000-0000-0000034B0000}"/>
    <cellStyle name="Accent6 62" xfId="2356" xr:uid="{00000000-0005-0000-0000-0000044B0000}"/>
    <cellStyle name="Accent6 63" xfId="2357" xr:uid="{00000000-0005-0000-0000-0000054B0000}"/>
    <cellStyle name="Accent6 64" xfId="2358" xr:uid="{00000000-0005-0000-0000-0000064B0000}"/>
    <cellStyle name="Accent6 65" xfId="2359" xr:uid="{00000000-0005-0000-0000-0000074B0000}"/>
    <cellStyle name="Accent6 66" xfId="2360" xr:uid="{00000000-0005-0000-0000-0000084B0000}"/>
    <cellStyle name="Accent6 67" xfId="2361" xr:uid="{00000000-0005-0000-0000-0000094B0000}"/>
    <cellStyle name="Accent6 68" xfId="2362" xr:uid="{00000000-0005-0000-0000-00000A4B0000}"/>
    <cellStyle name="Accent6 69" xfId="2363" xr:uid="{00000000-0005-0000-0000-00000B4B0000}"/>
    <cellStyle name="Accent6 7" xfId="2364" xr:uid="{00000000-0005-0000-0000-00000C4B0000}"/>
    <cellStyle name="Accent6 70" xfId="2365" xr:uid="{00000000-0005-0000-0000-00000D4B0000}"/>
    <cellStyle name="Accent6 71" xfId="2366" xr:uid="{00000000-0005-0000-0000-00000E4B0000}"/>
    <cellStyle name="Accent6 72" xfId="2367" xr:uid="{00000000-0005-0000-0000-00000F4B0000}"/>
    <cellStyle name="Accent6 8" xfId="2368" xr:uid="{00000000-0005-0000-0000-0000104B0000}"/>
    <cellStyle name="Accent6 9" xfId="2369" xr:uid="{00000000-0005-0000-0000-0000114B0000}"/>
    <cellStyle name="Bad 10" xfId="2370" xr:uid="{00000000-0005-0000-0000-0000124B0000}"/>
    <cellStyle name="Bad 11" xfId="2371" xr:uid="{00000000-0005-0000-0000-0000134B0000}"/>
    <cellStyle name="Bad 12" xfId="2372" xr:uid="{00000000-0005-0000-0000-0000144B0000}"/>
    <cellStyle name="Bad 13" xfId="2373" xr:uid="{00000000-0005-0000-0000-0000154B0000}"/>
    <cellStyle name="Bad 14" xfId="2374" xr:uid="{00000000-0005-0000-0000-0000164B0000}"/>
    <cellStyle name="Bad 15" xfId="2375" xr:uid="{00000000-0005-0000-0000-0000174B0000}"/>
    <cellStyle name="Bad 16" xfId="2376" xr:uid="{00000000-0005-0000-0000-0000184B0000}"/>
    <cellStyle name="Bad 17" xfId="2377" xr:uid="{00000000-0005-0000-0000-0000194B0000}"/>
    <cellStyle name="Bad 18" xfId="2378" xr:uid="{00000000-0005-0000-0000-00001A4B0000}"/>
    <cellStyle name="Bad 19" xfId="2379" xr:uid="{00000000-0005-0000-0000-00001B4B0000}"/>
    <cellStyle name="Bad 2" xfId="2380" xr:uid="{00000000-0005-0000-0000-00001C4B0000}"/>
    <cellStyle name="Bad 2 2" xfId="24052" xr:uid="{00000000-0005-0000-0000-00001D4B0000}"/>
    <cellStyle name="Bad 2 3" xfId="24051" xr:uid="{00000000-0005-0000-0000-00001E4B0000}"/>
    <cellStyle name="Bad 20" xfId="2381" xr:uid="{00000000-0005-0000-0000-00001F4B0000}"/>
    <cellStyle name="Bad 21" xfId="2382" xr:uid="{00000000-0005-0000-0000-0000204B0000}"/>
    <cellStyle name="Bad 22" xfId="2383" xr:uid="{00000000-0005-0000-0000-0000214B0000}"/>
    <cellStyle name="Bad 23" xfId="2384" xr:uid="{00000000-0005-0000-0000-0000224B0000}"/>
    <cellStyle name="Bad 24" xfId="2385" xr:uid="{00000000-0005-0000-0000-0000234B0000}"/>
    <cellStyle name="Bad 25" xfId="2386" xr:uid="{00000000-0005-0000-0000-0000244B0000}"/>
    <cellStyle name="Bad 26" xfId="2387" xr:uid="{00000000-0005-0000-0000-0000254B0000}"/>
    <cellStyle name="Bad 27" xfId="2388" xr:uid="{00000000-0005-0000-0000-0000264B0000}"/>
    <cellStyle name="Bad 28" xfId="2389" xr:uid="{00000000-0005-0000-0000-0000274B0000}"/>
    <cellStyle name="Bad 29" xfId="2390" xr:uid="{00000000-0005-0000-0000-0000284B0000}"/>
    <cellStyle name="Bad 3" xfId="2391" xr:uid="{00000000-0005-0000-0000-0000294B0000}"/>
    <cellStyle name="Bad 3 2" xfId="24053" xr:uid="{00000000-0005-0000-0000-00002A4B0000}"/>
    <cellStyle name="Bad 30" xfId="2392" xr:uid="{00000000-0005-0000-0000-00002B4B0000}"/>
    <cellStyle name="Bad 31" xfId="2393" xr:uid="{00000000-0005-0000-0000-00002C4B0000}"/>
    <cellStyle name="Bad 32" xfId="2394" xr:uid="{00000000-0005-0000-0000-00002D4B0000}"/>
    <cellStyle name="Bad 33" xfId="2395" xr:uid="{00000000-0005-0000-0000-00002E4B0000}"/>
    <cellStyle name="Bad 34" xfId="2396" xr:uid="{00000000-0005-0000-0000-00002F4B0000}"/>
    <cellStyle name="Bad 35" xfId="2397" xr:uid="{00000000-0005-0000-0000-0000304B0000}"/>
    <cellStyle name="Bad 36" xfId="2398" xr:uid="{00000000-0005-0000-0000-0000314B0000}"/>
    <cellStyle name="Bad 37" xfId="2399" xr:uid="{00000000-0005-0000-0000-0000324B0000}"/>
    <cellStyle name="Bad 38" xfId="2400" xr:uid="{00000000-0005-0000-0000-0000334B0000}"/>
    <cellStyle name="Bad 39" xfId="2401" xr:uid="{00000000-0005-0000-0000-0000344B0000}"/>
    <cellStyle name="Bad 4" xfId="2402" xr:uid="{00000000-0005-0000-0000-0000354B0000}"/>
    <cellStyle name="Bad 4 2" xfId="24054" xr:uid="{00000000-0005-0000-0000-0000364B0000}"/>
    <cellStyle name="Bad 40" xfId="2403" xr:uid="{00000000-0005-0000-0000-0000374B0000}"/>
    <cellStyle name="Bad 41" xfId="2404" xr:uid="{00000000-0005-0000-0000-0000384B0000}"/>
    <cellStyle name="Bad 42" xfId="2405" xr:uid="{00000000-0005-0000-0000-0000394B0000}"/>
    <cellStyle name="Bad 43" xfId="2406" xr:uid="{00000000-0005-0000-0000-00003A4B0000}"/>
    <cellStyle name="Bad 44" xfId="2407" xr:uid="{00000000-0005-0000-0000-00003B4B0000}"/>
    <cellStyle name="Bad 45" xfId="2408" xr:uid="{00000000-0005-0000-0000-00003C4B0000}"/>
    <cellStyle name="Bad 46" xfId="2409" xr:uid="{00000000-0005-0000-0000-00003D4B0000}"/>
    <cellStyle name="Bad 47" xfId="2410" xr:uid="{00000000-0005-0000-0000-00003E4B0000}"/>
    <cellStyle name="Bad 48" xfId="2411" xr:uid="{00000000-0005-0000-0000-00003F4B0000}"/>
    <cellStyle name="Bad 49" xfId="2412" xr:uid="{00000000-0005-0000-0000-0000404B0000}"/>
    <cellStyle name="Bad 5" xfId="2413" xr:uid="{00000000-0005-0000-0000-0000414B0000}"/>
    <cellStyle name="Bad 50" xfId="2414" xr:uid="{00000000-0005-0000-0000-0000424B0000}"/>
    <cellStyle name="Bad 51" xfId="2415" xr:uid="{00000000-0005-0000-0000-0000434B0000}"/>
    <cellStyle name="Bad 52" xfId="2416" xr:uid="{00000000-0005-0000-0000-0000444B0000}"/>
    <cellStyle name="Bad 53" xfId="2417" xr:uid="{00000000-0005-0000-0000-0000454B0000}"/>
    <cellStyle name="Bad 54" xfId="2418" xr:uid="{00000000-0005-0000-0000-0000464B0000}"/>
    <cellStyle name="Bad 55" xfId="2419" xr:uid="{00000000-0005-0000-0000-0000474B0000}"/>
    <cellStyle name="Bad 56" xfId="2420" xr:uid="{00000000-0005-0000-0000-0000484B0000}"/>
    <cellStyle name="Bad 57" xfId="2421" xr:uid="{00000000-0005-0000-0000-0000494B0000}"/>
    <cellStyle name="Bad 58" xfId="2422" xr:uid="{00000000-0005-0000-0000-00004A4B0000}"/>
    <cellStyle name="Bad 59" xfId="2423" xr:uid="{00000000-0005-0000-0000-00004B4B0000}"/>
    <cellStyle name="Bad 6" xfId="2424" xr:uid="{00000000-0005-0000-0000-00004C4B0000}"/>
    <cellStyle name="Bad 60" xfId="2425" xr:uid="{00000000-0005-0000-0000-00004D4B0000}"/>
    <cellStyle name="Bad 61" xfId="2426" xr:uid="{00000000-0005-0000-0000-00004E4B0000}"/>
    <cellStyle name="Bad 62" xfId="2427" xr:uid="{00000000-0005-0000-0000-00004F4B0000}"/>
    <cellStyle name="Bad 63" xfId="2428" xr:uid="{00000000-0005-0000-0000-0000504B0000}"/>
    <cellStyle name="Bad 64" xfId="2429" xr:uid="{00000000-0005-0000-0000-0000514B0000}"/>
    <cellStyle name="Bad 65" xfId="2430" xr:uid="{00000000-0005-0000-0000-0000524B0000}"/>
    <cellStyle name="Bad 66" xfId="2431" xr:uid="{00000000-0005-0000-0000-0000534B0000}"/>
    <cellStyle name="Bad 67" xfId="2432" xr:uid="{00000000-0005-0000-0000-0000544B0000}"/>
    <cellStyle name="Bad 68" xfId="2433" xr:uid="{00000000-0005-0000-0000-0000554B0000}"/>
    <cellStyle name="Bad 69" xfId="2434" xr:uid="{00000000-0005-0000-0000-0000564B0000}"/>
    <cellStyle name="Bad 7" xfId="2435" xr:uid="{00000000-0005-0000-0000-0000574B0000}"/>
    <cellStyle name="Bad 70" xfId="2436" xr:uid="{00000000-0005-0000-0000-0000584B0000}"/>
    <cellStyle name="Bad 71" xfId="2437" xr:uid="{00000000-0005-0000-0000-0000594B0000}"/>
    <cellStyle name="Bad 72" xfId="2438" xr:uid="{00000000-0005-0000-0000-00005A4B0000}"/>
    <cellStyle name="Bad 8" xfId="2439" xr:uid="{00000000-0005-0000-0000-00005B4B0000}"/>
    <cellStyle name="Bad 9" xfId="2440" xr:uid="{00000000-0005-0000-0000-00005C4B0000}"/>
    <cellStyle name="BlackStrike" xfId="540" xr:uid="{00000000-0005-0000-0000-00005D4B0000}"/>
    <cellStyle name="BlackText" xfId="541" xr:uid="{00000000-0005-0000-0000-00005E4B0000}"/>
    <cellStyle name="Blue" xfId="542" xr:uid="{00000000-0005-0000-0000-00005F4B0000}"/>
    <cellStyle name="BoldText" xfId="543" xr:uid="{00000000-0005-0000-0000-0000604B0000}"/>
    <cellStyle name="Border Heavy" xfId="544" xr:uid="{00000000-0005-0000-0000-0000614B0000}"/>
    <cellStyle name="Border Heavy 2" xfId="24285" xr:uid="{00000000-0005-0000-0000-0000624B0000}"/>
    <cellStyle name="Border Thin" xfId="545" xr:uid="{00000000-0005-0000-0000-0000634B0000}"/>
    <cellStyle name="Border Thin 2" xfId="24055" xr:uid="{00000000-0005-0000-0000-0000644B0000}"/>
    <cellStyle name="Calculation 10" xfId="2441" xr:uid="{00000000-0005-0000-0000-0000654B0000}"/>
    <cellStyle name="Calculation 11" xfId="2442" xr:uid="{00000000-0005-0000-0000-0000664B0000}"/>
    <cellStyle name="Calculation 12" xfId="2443" xr:uid="{00000000-0005-0000-0000-0000674B0000}"/>
    <cellStyle name="Calculation 13" xfId="2444" xr:uid="{00000000-0005-0000-0000-0000684B0000}"/>
    <cellStyle name="Calculation 14" xfId="2445" xr:uid="{00000000-0005-0000-0000-0000694B0000}"/>
    <cellStyle name="Calculation 15" xfId="2446" xr:uid="{00000000-0005-0000-0000-00006A4B0000}"/>
    <cellStyle name="Calculation 16" xfId="2447" xr:uid="{00000000-0005-0000-0000-00006B4B0000}"/>
    <cellStyle name="Calculation 17" xfId="2448" xr:uid="{00000000-0005-0000-0000-00006C4B0000}"/>
    <cellStyle name="Calculation 18" xfId="2449" xr:uid="{00000000-0005-0000-0000-00006D4B0000}"/>
    <cellStyle name="Calculation 19" xfId="2450" xr:uid="{00000000-0005-0000-0000-00006E4B0000}"/>
    <cellStyle name="Calculation 2" xfId="2451" xr:uid="{00000000-0005-0000-0000-00006F4B0000}"/>
    <cellStyle name="Calculation 2 2" xfId="24057" xr:uid="{00000000-0005-0000-0000-0000704B0000}"/>
    <cellStyle name="Calculation 2 2 2" xfId="24699" xr:uid="{00000000-0005-0000-0000-0000714B0000}"/>
    <cellStyle name="Calculation 2 2 2 2" xfId="25298" xr:uid="{00000000-0005-0000-0000-0000724B0000}"/>
    <cellStyle name="Calculation 2 2 2 3" xfId="25658" xr:uid="{00000000-0005-0000-0000-0000734B0000}"/>
    <cellStyle name="Calculation 2 2 3" xfId="25022" xr:uid="{00000000-0005-0000-0000-0000744B0000}"/>
    <cellStyle name="Calculation 2 2 3 2" xfId="25431" xr:uid="{00000000-0005-0000-0000-0000754B0000}"/>
    <cellStyle name="Calculation 2 2 3 3" xfId="25669" xr:uid="{00000000-0005-0000-0000-0000764B0000}"/>
    <cellStyle name="Calculation 2 2 4" xfId="25556" xr:uid="{00000000-0005-0000-0000-0000774B0000}"/>
    <cellStyle name="Calculation 2 3" xfId="24056" xr:uid="{00000000-0005-0000-0000-0000784B0000}"/>
    <cellStyle name="Calculation 2 3 2" xfId="25555" xr:uid="{00000000-0005-0000-0000-0000794B0000}"/>
    <cellStyle name="Calculation 2 4" xfId="24698" xr:uid="{00000000-0005-0000-0000-00007A4B0000}"/>
    <cellStyle name="Calculation 2 4 2" xfId="25361" xr:uid="{00000000-0005-0000-0000-00007B4B0000}"/>
    <cellStyle name="Calculation 2 4 3" xfId="25657" xr:uid="{00000000-0005-0000-0000-00007C4B0000}"/>
    <cellStyle name="Calculation 2 5" xfId="25021" xr:uid="{00000000-0005-0000-0000-00007D4B0000}"/>
    <cellStyle name="Calculation 2 5 2" xfId="25330" xr:uid="{00000000-0005-0000-0000-00007E4B0000}"/>
    <cellStyle name="Calculation 2 5 3" xfId="25668" xr:uid="{00000000-0005-0000-0000-00007F4B0000}"/>
    <cellStyle name="Calculation 20" xfId="2452" xr:uid="{00000000-0005-0000-0000-0000804B0000}"/>
    <cellStyle name="Calculation 21" xfId="2453" xr:uid="{00000000-0005-0000-0000-0000814B0000}"/>
    <cellStyle name="Calculation 22" xfId="2454" xr:uid="{00000000-0005-0000-0000-0000824B0000}"/>
    <cellStyle name="Calculation 23" xfId="2455" xr:uid="{00000000-0005-0000-0000-0000834B0000}"/>
    <cellStyle name="Calculation 24" xfId="2456" xr:uid="{00000000-0005-0000-0000-0000844B0000}"/>
    <cellStyle name="Calculation 25" xfId="2457" xr:uid="{00000000-0005-0000-0000-0000854B0000}"/>
    <cellStyle name="Calculation 26" xfId="2458" xr:uid="{00000000-0005-0000-0000-0000864B0000}"/>
    <cellStyle name="Calculation 27" xfId="2459" xr:uid="{00000000-0005-0000-0000-0000874B0000}"/>
    <cellStyle name="Calculation 28" xfId="2460" xr:uid="{00000000-0005-0000-0000-0000884B0000}"/>
    <cellStyle name="Calculation 29" xfId="2461" xr:uid="{00000000-0005-0000-0000-0000894B0000}"/>
    <cellStyle name="Calculation 3" xfId="2462" xr:uid="{00000000-0005-0000-0000-00008A4B0000}"/>
    <cellStyle name="Calculation 3 2" xfId="24058" xr:uid="{00000000-0005-0000-0000-00008B4B0000}"/>
    <cellStyle name="Calculation 3 2 2" xfId="25557" xr:uid="{00000000-0005-0000-0000-00008C4B0000}"/>
    <cellStyle name="Calculation 3 3" xfId="24700" xr:uid="{00000000-0005-0000-0000-00008D4B0000}"/>
    <cellStyle name="Calculation 3 3 2" xfId="25287" xr:uid="{00000000-0005-0000-0000-00008E4B0000}"/>
    <cellStyle name="Calculation 3 3 3" xfId="25659" xr:uid="{00000000-0005-0000-0000-00008F4B0000}"/>
    <cellStyle name="Calculation 3 4" xfId="25023" xr:uid="{00000000-0005-0000-0000-0000904B0000}"/>
    <cellStyle name="Calculation 3 4 2" xfId="25347" xr:uid="{00000000-0005-0000-0000-0000914B0000}"/>
    <cellStyle name="Calculation 3 4 3" xfId="25670" xr:uid="{00000000-0005-0000-0000-0000924B0000}"/>
    <cellStyle name="Calculation 30" xfId="2463" xr:uid="{00000000-0005-0000-0000-0000934B0000}"/>
    <cellStyle name="Calculation 31" xfId="2464" xr:uid="{00000000-0005-0000-0000-0000944B0000}"/>
    <cellStyle name="Calculation 32" xfId="2465" xr:uid="{00000000-0005-0000-0000-0000954B0000}"/>
    <cellStyle name="Calculation 33" xfId="2466" xr:uid="{00000000-0005-0000-0000-0000964B0000}"/>
    <cellStyle name="Calculation 34" xfId="2467" xr:uid="{00000000-0005-0000-0000-0000974B0000}"/>
    <cellStyle name="Calculation 35" xfId="2468" xr:uid="{00000000-0005-0000-0000-0000984B0000}"/>
    <cellStyle name="Calculation 36" xfId="2469" xr:uid="{00000000-0005-0000-0000-0000994B0000}"/>
    <cellStyle name="Calculation 37" xfId="2470" xr:uid="{00000000-0005-0000-0000-00009A4B0000}"/>
    <cellStyle name="Calculation 38" xfId="2471" xr:uid="{00000000-0005-0000-0000-00009B4B0000}"/>
    <cellStyle name="Calculation 39" xfId="2472" xr:uid="{00000000-0005-0000-0000-00009C4B0000}"/>
    <cellStyle name="Calculation 4" xfId="2473" xr:uid="{00000000-0005-0000-0000-00009D4B0000}"/>
    <cellStyle name="Calculation 4 2" xfId="24059" xr:uid="{00000000-0005-0000-0000-00009E4B0000}"/>
    <cellStyle name="Calculation 4 2 2" xfId="25558" xr:uid="{00000000-0005-0000-0000-00009F4B0000}"/>
    <cellStyle name="Calculation 4 3" xfId="24701" xr:uid="{00000000-0005-0000-0000-0000A04B0000}"/>
    <cellStyle name="Calculation 4 3 2" xfId="25369" xr:uid="{00000000-0005-0000-0000-0000A14B0000}"/>
    <cellStyle name="Calculation 4 3 3" xfId="25660" xr:uid="{00000000-0005-0000-0000-0000A24B0000}"/>
    <cellStyle name="Calculation 4 4" xfId="25024" xr:uid="{00000000-0005-0000-0000-0000A34B0000}"/>
    <cellStyle name="Calculation 4 4 2" xfId="25448" xr:uid="{00000000-0005-0000-0000-0000A44B0000}"/>
    <cellStyle name="Calculation 4 4 3" xfId="25671" xr:uid="{00000000-0005-0000-0000-0000A54B0000}"/>
    <cellStyle name="Calculation 40" xfId="2474" xr:uid="{00000000-0005-0000-0000-0000A64B0000}"/>
    <cellStyle name="Calculation 41" xfId="2475" xr:uid="{00000000-0005-0000-0000-0000A74B0000}"/>
    <cellStyle name="Calculation 42" xfId="2476" xr:uid="{00000000-0005-0000-0000-0000A84B0000}"/>
    <cellStyle name="Calculation 43" xfId="2477" xr:uid="{00000000-0005-0000-0000-0000A94B0000}"/>
    <cellStyle name="Calculation 44" xfId="2478" xr:uid="{00000000-0005-0000-0000-0000AA4B0000}"/>
    <cellStyle name="Calculation 45" xfId="2479" xr:uid="{00000000-0005-0000-0000-0000AB4B0000}"/>
    <cellStyle name="Calculation 46" xfId="2480" xr:uid="{00000000-0005-0000-0000-0000AC4B0000}"/>
    <cellStyle name="Calculation 47" xfId="2481" xr:uid="{00000000-0005-0000-0000-0000AD4B0000}"/>
    <cellStyle name="Calculation 48" xfId="2482" xr:uid="{00000000-0005-0000-0000-0000AE4B0000}"/>
    <cellStyle name="Calculation 49" xfId="2483" xr:uid="{00000000-0005-0000-0000-0000AF4B0000}"/>
    <cellStyle name="Calculation 5" xfId="2484" xr:uid="{00000000-0005-0000-0000-0000B04B0000}"/>
    <cellStyle name="Calculation 50" xfId="2485" xr:uid="{00000000-0005-0000-0000-0000B14B0000}"/>
    <cellStyle name="Calculation 51" xfId="2486" xr:uid="{00000000-0005-0000-0000-0000B24B0000}"/>
    <cellStyle name="Calculation 52" xfId="2487" xr:uid="{00000000-0005-0000-0000-0000B34B0000}"/>
    <cellStyle name="Calculation 53" xfId="2488" xr:uid="{00000000-0005-0000-0000-0000B44B0000}"/>
    <cellStyle name="Calculation 54" xfId="2489" xr:uid="{00000000-0005-0000-0000-0000B54B0000}"/>
    <cellStyle name="Calculation 55" xfId="2490" xr:uid="{00000000-0005-0000-0000-0000B64B0000}"/>
    <cellStyle name="Calculation 56" xfId="2491" xr:uid="{00000000-0005-0000-0000-0000B74B0000}"/>
    <cellStyle name="Calculation 57" xfId="2492" xr:uid="{00000000-0005-0000-0000-0000B84B0000}"/>
    <cellStyle name="Calculation 58" xfId="2493" xr:uid="{00000000-0005-0000-0000-0000B94B0000}"/>
    <cellStyle name="Calculation 59" xfId="2494" xr:uid="{00000000-0005-0000-0000-0000BA4B0000}"/>
    <cellStyle name="Calculation 6" xfId="2495" xr:uid="{00000000-0005-0000-0000-0000BB4B0000}"/>
    <cellStyle name="Calculation 60" xfId="2496" xr:uid="{00000000-0005-0000-0000-0000BC4B0000}"/>
    <cellStyle name="Calculation 61" xfId="2497" xr:uid="{00000000-0005-0000-0000-0000BD4B0000}"/>
    <cellStyle name="Calculation 62" xfId="2498" xr:uid="{00000000-0005-0000-0000-0000BE4B0000}"/>
    <cellStyle name="Calculation 63" xfId="2499" xr:uid="{00000000-0005-0000-0000-0000BF4B0000}"/>
    <cellStyle name="Calculation 64" xfId="2500" xr:uid="{00000000-0005-0000-0000-0000C04B0000}"/>
    <cellStyle name="Calculation 65" xfId="2501" xr:uid="{00000000-0005-0000-0000-0000C14B0000}"/>
    <cellStyle name="Calculation 66" xfId="2502" xr:uid="{00000000-0005-0000-0000-0000C24B0000}"/>
    <cellStyle name="Calculation 67" xfId="2503" xr:uid="{00000000-0005-0000-0000-0000C34B0000}"/>
    <cellStyle name="Calculation 68" xfId="2504" xr:uid="{00000000-0005-0000-0000-0000C44B0000}"/>
    <cellStyle name="Calculation 69" xfId="2505" xr:uid="{00000000-0005-0000-0000-0000C54B0000}"/>
    <cellStyle name="Calculation 7" xfId="2506" xr:uid="{00000000-0005-0000-0000-0000C64B0000}"/>
    <cellStyle name="Calculation 70" xfId="2507" xr:uid="{00000000-0005-0000-0000-0000C74B0000}"/>
    <cellStyle name="Calculation 71" xfId="2508" xr:uid="{00000000-0005-0000-0000-0000C84B0000}"/>
    <cellStyle name="Calculation 72" xfId="2509" xr:uid="{00000000-0005-0000-0000-0000C94B0000}"/>
    <cellStyle name="Calculation 8" xfId="2510" xr:uid="{00000000-0005-0000-0000-0000CA4B0000}"/>
    <cellStyle name="Calculation 9" xfId="2511" xr:uid="{00000000-0005-0000-0000-0000CB4B0000}"/>
    <cellStyle name="Check Cell 10" xfId="2512" xr:uid="{00000000-0005-0000-0000-0000CC4B0000}"/>
    <cellStyle name="Check Cell 11" xfId="2513" xr:uid="{00000000-0005-0000-0000-0000CD4B0000}"/>
    <cellStyle name="Check Cell 12" xfId="2514" xr:uid="{00000000-0005-0000-0000-0000CE4B0000}"/>
    <cellStyle name="Check Cell 13" xfId="2515" xr:uid="{00000000-0005-0000-0000-0000CF4B0000}"/>
    <cellStyle name="Check Cell 14" xfId="2516" xr:uid="{00000000-0005-0000-0000-0000D04B0000}"/>
    <cellStyle name="Check Cell 15" xfId="2517" xr:uid="{00000000-0005-0000-0000-0000D14B0000}"/>
    <cellStyle name="Check Cell 16" xfId="2518" xr:uid="{00000000-0005-0000-0000-0000D24B0000}"/>
    <cellStyle name="Check Cell 17" xfId="2519" xr:uid="{00000000-0005-0000-0000-0000D34B0000}"/>
    <cellStyle name="Check Cell 18" xfId="2520" xr:uid="{00000000-0005-0000-0000-0000D44B0000}"/>
    <cellStyle name="Check Cell 19" xfId="2521" xr:uid="{00000000-0005-0000-0000-0000D54B0000}"/>
    <cellStyle name="Check Cell 2" xfId="2522" xr:uid="{00000000-0005-0000-0000-0000D64B0000}"/>
    <cellStyle name="Check Cell 2 2" xfId="24061" xr:uid="{00000000-0005-0000-0000-0000D74B0000}"/>
    <cellStyle name="Check Cell 2 3" xfId="24060" xr:uid="{00000000-0005-0000-0000-0000D84B0000}"/>
    <cellStyle name="Check Cell 20" xfId="2523" xr:uid="{00000000-0005-0000-0000-0000D94B0000}"/>
    <cellStyle name="Check Cell 21" xfId="2524" xr:uid="{00000000-0005-0000-0000-0000DA4B0000}"/>
    <cellStyle name="Check Cell 22" xfId="2525" xr:uid="{00000000-0005-0000-0000-0000DB4B0000}"/>
    <cellStyle name="Check Cell 23" xfId="2526" xr:uid="{00000000-0005-0000-0000-0000DC4B0000}"/>
    <cellStyle name="Check Cell 24" xfId="2527" xr:uid="{00000000-0005-0000-0000-0000DD4B0000}"/>
    <cellStyle name="Check Cell 25" xfId="2528" xr:uid="{00000000-0005-0000-0000-0000DE4B0000}"/>
    <cellStyle name="Check Cell 26" xfId="2529" xr:uid="{00000000-0005-0000-0000-0000DF4B0000}"/>
    <cellStyle name="Check Cell 27" xfId="2530" xr:uid="{00000000-0005-0000-0000-0000E04B0000}"/>
    <cellStyle name="Check Cell 28" xfId="2531" xr:uid="{00000000-0005-0000-0000-0000E14B0000}"/>
    <cellStyle name="Check Cell 29" xfId="2532" xr:uid="{00000000-0005-0000-0000-0000E24B0000}"/>
    <cellStyle name="Check Cell 3" xfId="2533" xr:uid="{00000000-0005-0000-0000-0000E34B0000}"/>
    <cellStyle name="Check Cell 3 2" xfId="24062" xr:uid="{00000000-0005-0000-0000-0000E44B0000}"/>
    <cellStyle name="Check Cell 30" xfId="2534" xr:uid="{00000000-0005-0000-0000-0000E54B0000}"/>
    <cellStyle name="Check Cell 31" xfId="2535" xr:uid="{00000000-0005-0000-0000-0000E64B0000}"/>
    <cellStyle name="Check Cell 32" xfId="2536" xr:uid="{00000000-0005-0000-0000-0000E74B0000}"/>
    <cellStyle name="Check Cell 33" xfId="2537" xr:uid="{00000000-0005-0000-0000-0000E84B0000}"/>
    <cellStyle name="Check Cell 34" xfId="2538" xr:uid="{00000000-0005-0000-0000-0000E94B0000}"/>
    <cellStyle name="Check Cell 35" xfId="2539" xr:uid="{00000000-0005-0000-0000-0000EA4B0000}"/>
    <cellStyle name="Check Cell 36" xfId="2540" xr:uid="{00000000-0005-0000-0000-0000EB4B0000}"/>
    <cellStyle name="Check Cell 37" xfId="2541" xr:uid="{00000000-0005-0000-0000-0000EC4B0000}"/>
    <cellStyle name="Check Cell 38" xfId="2542" xr:uid="{00000000-0005-0000-0000-0000ED4B0000}"/>
    <cellStyle name="Check Cell 39" xfId="2543" xr:uid="{00000000-0005-0000-0000-0000EE4B0000}"/>
    <cellStyle name="Check Cell 4" xfId="2544" xr:uid="{00000000-0005-0000-0000-0000EF4B0000}"/>
    <cellStyle name="Check Cell 4 2" xfId="24063" xr:uid="{00000000-0005-0000-0000-0000F04B0000}"/>
    <cellStyle name="Check Cell 40" xfId="2545" xr:uid="{00000000-0005-0000-0000-0000F14B0000}"/>
    <cellStyle name="Check Cell 41" xfId="2546" xr:uid="{00000000-0005-0000-0000-0000F24B0000}"/>
    <cellStyle name="Check Cell 42" xfId="2547" xr:uid="{00000000-0005-0000-0000-0000F34B0000}"/>
    <cellStyle name="Check Cell 43" xfId="2548" xr:uid="{00000000-0005-0000-0000-0000F44B0000}"/>
    <cellStyle name="Check Cell 44" xfId="2549" xr:uid="{00000000-0005-0000-0000-0000F54B0000}"/>
    <cellStyle name="Check Cell 45" xfId="2550" xr:uid="{00000000-0005-0000-0000-0000F64B0000}"/>
    <cellStyle name="Check Cell 46" xfId="2551" xr:uid="{00000000-0005-0000-0000-0000F74B0000}"/>
    <cellStyle name="Check Cell 47" xfId="2552" xr:uid="{00000000-0005-0000-0000-0000F84B0000}"/>
    <cellStyle name="Check Cell 48" xfId="2553" xr:uid="{00000000-0005-0000-0000-0000F94B0000}"/>
    <cellStyle name="Check Cell 49" xfId="2554" xr:uid="{00000000-0005-0000-0000-0000FA4B0000}"/>
    <cellStyle name="Check Cell 5" xfId="2555" xr:uid="{00000000-0005-0000-0000-0000FB4B0000}"/>
    <cellStyle name="Check Cell 50" xfId="2556" xr:uid="{00000000-0005-0000-0000-0000FC4B0000}"/>
    <cellStyle name="Check Cell 51" xfId="2557" xr:uid="{00000000-0005-0000-0000-0000FD4B0000}"/>
    <cellStyle name="Check Cell 52" xfId="2558" xr:uid="{00000000-0005-0000-0000-0000FE4B0000}"/>
    <cellStyle name="Check Cell 53" xfId="2559" xr:uid="{00000000-0005-0000-0000-0000FF4B0000}"/>
    <cellStyle name="Check Cell 54" xfId="2560" xr:uid="{00000000-0005-0000-0000-0000004C0000}"/>
    <cellStyle name="Check Cell 55" xfId="2561" xr:uid="{00000000-0005-0000-0000-0000014C0000}"/>
    <cellStyle name="Check Cell 56" xfId="2562" xr:uid="{00000000-0005-0000-0000-0000024C0000}"/>
    <cellStyle name="Check Cell 57" xfId="2563" xr:uid="{00000000-0005-0000-0000-0000034C0000}"/>
    <cellStyle name="Check Cell 58" xfId="2564" xr:uid="{00000000-0005-0000-0000-0000044C0000}"/>
    <cellStyle name="Check Cell 59" xfId="2565" xr:uid="{00000000-0005-0000-0000-0000054C0000}"/>
    <cellStyle name="Check Cell 6" xfId="2566" xr:uid="{00000000-0005-0000-0000-0000064C0000}"/>
    <cellStyle name="Check Cell 60" xfId="2567" xr:uid="{00000000-0005-0000-0000-0000074C0000}"/>
    <cellStyle name="Check Cell 61" xfId="2568" xr:uid="{00000000-0005-0000-0000-0000084C0000}"/>
    <cellStyle name="Check Cell 62" xfId="2569" xr:uid="{00000000-0005-0000-0000-0000094C0000}"/>
    <cellStyle name="Check Cell 63" xfId="2570" xr:uid="{00000000-0005-0000-0000-00000A4C0000}"/>
    <cellStyle name="Check Cell 64" xfId="2571" xr:uid="{00000000-0005-0000-0000-00000B4C0000}"/>
    <cellStyle name="Check Cell 65" xfId="2572" xr:uid="{00000000-0005-0000-0000-00000C4C0000}"/>
    <cellStyle name="Check Cell 66" xfId="2573" xr:uid="{00000000-0005-0000-0000-00000D4C0000}"/>
    <cellStyle name="Check Cell 67" xfId="2574" xr:uid="{00000000-0005-0000-0000-00000E4C0000}"/>
    <cellStyle name="Check Cell 68" xfId="2575" xr:uid="{00000000-0005-0000-0000-00000F4C0000}"/>
    <cellStyle name="Check Cell 69" xfId="2576" xr:uid="{00000000-0005-0000-0000-0000104C0000}"/>
    <cellStyle name="Check Cell 7" xfId="2577" xr:uid="{00000000-0005-0000-0000-0000114C0000}"/>
    <cellStyle name="Check Cell 70" xfId="2578" xr:uid="{00000000-0005-0000-0000-0000124C0000}"/>
    <cellStyle name="Check Cell 71" xfId="2579" xr:uid="{00000000-0005-0000-0000-0000134C0000}"/>
    <cellStyle name="Check Cell 72" xfId="2580" xr:uid="{00000000-0005-0000-0000-0000144C0000}"/>
    <cellStyle name="Check Cell 8" xfId="2581" xr:uid="{00000000-0005-0000-0000-0000154C0000}"/>
    <cellStyle name="Check Cell 9" xfId="2582" xr:uid="{00000000-0005-0000-0000-0000164C0000}"/>
    <cellStyle name="Co. Names" xfId="546" xr:uid="{00000000-0005-0000-0000-0000174C0000}"/>
    <cellStyle name="Co. Names 2" xfId="24064" xr:uid="{00000000-0005-0000-0000-0000184C0000}"/>
    <cellStyle name="Column total in dollars" xfId="11" xr:uid="{00000000-0005-0000-0000-0000194C0000}"/>
    <cellStyle name="ColumnAttributeAbovePrompt" xfId="2583" xr:uid="{00000000-0005-0000-0000-00001A4C0000}"/>
    <cellStyle name="ColumnAttributePrompt" xfId="2584" xr:uid="{00000000-0005-0000-0000-00001B4C0000}"/>
    <cellStyle name="ColumnAttributeValue" xfId="2585" xr:uid="{00000000-0005-0000-0000-00001C4C0000}"/>
    <cellStyle name="ColumnHeadingPrompt" xfId="2586" xr:uid="{00000000-0005-0000-0000-00001D4C0000}"/>
    <cellStyle name="ColumnHeadingValue" xfId="2587" xr:uid="{00000000-0005-0000-0000-00001E4C0000}"/>
    <cellStyle name="Comma" xfId="25744" builtinId="3"/>
    <cellStyle name="Comma  - Style1" xfId="12" xr:uid="{00000000-0005-0000-0000-0000204C0000}"/>
    <cellStyle name="Comma  - Style2" xfId="13" xr:uid="{00000000-0005-0000-0000-0000214C0000}"/>
    <cellStyle name="Comma  - Style3" xfId="14" xr:uid="{00000000-0005-0000-0000-0000224C0000}"/>
    <cellStyle name="Comma  - Style4" xfId="15" xr:uid="{00000000-0005-0000-0000-0000234C0000}"/>
    <cellStyle name="Comma  - Style5" xfId="16" xr:uid="{00000000-0005-0000-0000-0000244C0000}"/>
    <cellStyle name="Comma  - Style6" xfId="17" xr:uid="{00000000-0005-0000-0000-0000254C0000}"/>
    <cellStyle name="Comma  - Style7" xfId="18" xr:uid="{00000000-0005-0000-0000-0000264C0000}"/>
    <cellStyle name="Comma  - Style8" xfId="19" xr:uid="{00000000-0005-0000-0000-0000274C0000}"/>
    <cellStyle name="Comma (0)" xfId="20" xr:uid="{00000000-0005-0000-0000-0000284C0000}"/>
    <cellStyle name="Comma [0] 2" xfId="176" xr:uid="{00000000-0005-0000-0000-0000294C0000}"/>
    <cellStyle name="Comma [0] 3" xfId="177" xr:uid="{00000000-0005-0000-0000-00002A4C0000}"/>
    <cellStyle name="Comma [0] 3 2" xfId="363" xr:uid="{00000000-0005-0000-0000-00002B4C0000}"/>
    <cellStyle name="Comma [0] 3 2 2" xfId="445" xr:uid="{00000000-0005-0000-0000-00002C4C0000}"/>
    <cellStyle name="Comma [0] 3 2 2 2" xfId="531" xr:uid="{00000000-0005-0000-0000-00002D4C0000}"/>
    <cellStyle name="Comma [0] 3 2 2 2 2" xfId="13894" xr:uid="{00000000-0005-0000-0000-00002E4C0000}"/>
    <cellStyle name="Comma [0] 3 2 2 3" xfId="13817" xr:uid="{00000000-0005-0000-0000-00002F4C0000}"/>
    <cellStyle name="Comma [0] 3 2 3" xfId="494" xr:uid="{00000000-0005-0000-0000-0000304C0000}"/>
    <cellStyle name="Comma [0] 3 2 3 2" xfId="13857" xr:uid="{00000000-0005-0000-0000-0000314C0000}"/>
    <cellStyle name="Comma [0] 3 2 4" xfId="13773" xr:uid="{00000000-0005-0000-0000-0000324C0000}"/>
    <cellStyle name="Comma [0] 3 3" xfId="425" xr:uid="{00000000-0005-0000-0000-0000334C0000}"/>
    <cellStyle name="Comma [0] 3 3 2" xfId="516" xr:uid="{00000000-0005-0000-0000-0000344C0000}"/>
    <cellStyle name="Comma [0] 3 3 2 2" xfId="13879" xr:uid="{00000000-0005-0000-0000-0000354C0000}"/>
    <cellStyle name="Comma [0] 3 3 3" xfId="13802" xr:uid="{00000000-0005-0000-0000-0000364C0000}"/>
    <cellStyle name="Comma [0] 3 4" xfId="479" xr:uid="{00000000-0005-0000-0000-0000374C0000}"/>
    <cellStyle name="Comma [0] 3 4 2" xfId="13842" xr:uid="{00000000-0005-0000-0000-0000384C0000}"/>
    <cellStyle name="Comma [0] 3 5" xfId="13687" xr:uid="{00000000-0005-0000-0000-0000394C0000}"/>
    <cellStyle name="Comma [1]" xfId="547" xr:uid="{00000000-0005-0000-0000-00003A4C0000}"/>
    <cellStyle name="Comma [1] 2" xfId="24066" xr:uid="{00000000-0005-0000-0000-00003B4C0000}"/>
    <cellStyle name="Comma [2]" xfId="548" xr:uid="{00000000-0005-0000-0000-00003C4C0000}"/>
    <cellStyle name="Comma [3]" xfId="549" xr:uid="{00000000-0005-0000-0000-00003D4C0000}"/>
    <cellStyle name="Comma 10" xfId="172" xr:uid="{00000000-0005-0000-0000-00003E4C0000}"/>
    <cellStyle name="Comma 10 10" xfId="25746" xr:uid="{00000000-0005-0000-0000-00003F4C0000}"/>
    <cellStyle name="Comma 10 2" xfId="281" xr:uid="{00000000-0005-0000-0000-0000404C0000}"/>
    <cellStyle name="Comma 10 3" xfId="633" xr:uid="{00000000-0005-0000-0000-0000414C0000}"/>
    <cellStyle name="Comma 10 3 2" xfId="13905" xr:uid="{00000000-0005-0000-0000-0000424C0000}"/>
    <cellStyle name="Comma 11" xfId="178" xr:uid="{00000000-0005-0000-0000-0000434C0000}"/>
    <cellStyle name="Comma 11 2" xfId="634" xr:uid="{00000000-0005-0000-0000-0000444C0000}"/>
    <cellStyle name="Comma 11 3" xfId="23929" xr:uid="{00000000-0005-0000-0000-0000454C0000}"/>
    <cellStyle name="Comma 12" xfId="179" xr:uid="{00000000-0005-0000-0000-0000464C0000}"/>
    <cellStyle name="Comma 13" xfId="180" xr:uid="{00000000-0005-0000-0000-0000474C0000}"/>
    <cellStyle name="Comma 14" xfId="175" xr:uid="{00000000-0005-0000-0000-0000484C0000}"/>
    <cellStyle name="Comma 15" xfId="181" xr:uid="{00000000-0005-0000-0000-0000494C0000}"/>
    <cellStyle name="Comma 16" xfId="173" xr:uid="{00000000-0005-0000-0000-00004A4C0000}"/>
    <cellStyle name="Comma 17" xfId="182" xr:uid="{00000000-0005-0000-0000-00004B4C0000}"/>
    <cellStyle name="Comma 18" xfId="174" xr:uid="{00000000-0005-0000-0000-00004C4C0000}"/>
    <cellStyle name="Comma 19" xfId="283" xr:uid="{00000000-0005-0000-0000-00004D4C0000}"/>
    <cellStyle name="Comma 2" xfId="5" xr:uid="{00000000-0005-0000-0000-00004E4C0000}"/>
    <cellStyle name="Comma 2 10" xfId="25768" xr:uid="{00000000-0005-0000-0000-00004F4C0000}"/>
    <cellStyle name="Comma 2 2" xfId="21" xr:uid="{00000000-0005-0000-0000-0000504C0000}"/>
    <cellStyle name="Comma 2 2 2" xfId="398" xr:uid="{00000000-0005-0000-0000-0000514C0000}"/>
    <cellStyle name="Comma 2 2 2 2" xfId="637" xr:uid="{00000000-0005-0000-0000-0000524C0000}"/>
    <cellStyle name="Comma 2 2 2 3" xfId="636" xr:uid="{00000000-0005-0000-0000-0000534C0000}"/>
    <cellStyle name="Comma 2 2 2 4" xfId="25782" xr:uid="{00000000-0005-0000-0000-0000544C0000}"/>
    <cellStyle name="Comma 2 2 3" xfId="374" xr:uid="{00000000-0005-0000-0000-0000554C0000}"/>
    <cellStyle name="Comma 2 2 3 2" xfId="638" xr:uid="{00000000-0005-0000-0000-0000564C0000}"/>
    <cellStyle name="Comma 2 2 4" xfId="23898" xr:uid="{00000000-0005-0000-0000-0000574C0000}"/>
    <cellStyle name="Comma 2 2 5" xfId="25769" xr:uid="{00000000-0005-0000-0000-0000584C0000}"/>
    <cellStyle name="Comma 2 3" xfId="183" xr:uid="{00000000-0005-0000-0000-0000594C0000}"/>
    <cellStyle name="Comma 2 3 2" xfId="364" xr:uid="{00000000-0005-0000-0000-00005A4C0000}"/>
    <cellStyle name="Comma 2 3 2 2" xfId="446" xr:uid="{00000000-0005-0000-0000-00005B4C0000}"/>
    <cellStyle name="Comma 2 3 2 2 2" xfId="532" xr:uid="{00000000-0005-0000-0000-00005C4C0000}"/>
    <cellStyle name="Comma 2 3 2 2 2 2" xfId="13895" xr:uid="{00000000-0005-0000-0000-00005D4C0000}"/>
    <cellStyle name="Comma 2 3 2 2 3" xfId="13818" xr:uid="{00000000-0005-0000-0000-00005E4C0000}"/>
    <cellStyle name="Comma 2 3 2 3" xfId="495" xr:uid="{00000000-0005-0000-0000-00005F4C0000}"/>
    <cellStyle name="Comma 2 3 2 3 2" xfId="13858" xr:uid="{00000000-0005-0000-0000-0000604C0000}"/>
    <cellStyle name="Comma 2 3 2 4" xfId="13774" xr:uid="{00000000-0005-0000-0000-0000614C0000}"/>
    <cellStyle name="Comma 2 3 3" xfId="426" xr:uid="{00000000-0005-0000-0000-0000624C0000}"/>
    <cellStyle name="Comma 2 3 3 2" xfId="517" xr:uid="{00000000-0005-0000-0000-0000634C0000}"/>
    <cellStyle name="Comma 2 3 3 2 2" xfId="13880" xr:uid="{00000000-0005-0000-0000-0000644C0000}"/>
    <cellStyle name="Comma 2 3 3 3" xfId="13803" xr:uid="{00000000-0005-0000-0000-0000654C0000}"/>
    <cellStyle name="Comma 2 3 4" xfId="480" xr:uid="{00000000-0005-0000-0000-0000664C0000}"/>
    <cellStyle name="Comma 2 3 4 2" xfId="13843" xr:uid="{00000000-0005-0000-0000-0000674C0000}"/>
    <cellStyle name="Comma 2 3 5" xfId="639" xr:uid="{00000000-0005-0000-0000-0000684C0000}"/>
    <cellStyle name="Comma 2 3 5 2" xfId="13907" xr:uid="{00000000-0005-0000-0000-0000694C0000}"/>
    <cellStyle name="Comma 2 3 6" xfId="13688" xr:uid="{00000000-0005-0000-0000-00006A4C0000}"/>
    <cellStyle name="Comma 2 3 7" xfId="24067" xr:uid="{00000000-0005-0000-0000-00006B4C0000}"/>
    <cellStyle name="Comma 2 4" xfId="351" xr:uid="{00000000-0005-0000-0000-00006C4C0000}"/>
    <cellStyle name="Comma 2 4 2" xfId="25783" xr:uid="{00000000-0005-0000-0000-00006D4C0000}"/>
    <cellStyle name="Comma 2 4 3" xfId="25770" xr:uid="{00000000-0005-0000-0000-00006E4C0000}"/>
    <cellStyle name="Comma 2 5" xfId="373" xr:uid="{00000000-0005-0000-0000-00006F4C0000}"/>
    <cellStyle name="Comma 2 5 2" xfId="25784" xr:uid="{00000000-0005-0000-0000-0000704C0000}"/>
    <cellStyle name="Comma 2 5 3" xfId="25771" xr:uid="{00000000-0005-0000-0000-0000714C0000}"/>
    <cellStyle name="Comma 2 6" xfId="635" xr:uid="{00000000-0005-0000-0000-0000724C0000}"/>
    <cellStyle name="Comma 2 6 2" xfId="13906" xr:uid="{00000000-0005-0000-0000-0000734C0000}"/>
    <cellStyle name="Comma 2 6 3" xfId="25781" xr:uid="{00000000-0005-0000-0000-0000744C0000}"/>
    <cellStyle name="Comma 2 7" xfId="2588" xr:uid="{00000000-0005-0000-0000-0000754C0000}"/>
    <cellStyle name="Comma 2 8" xfId="13603" xr:uid="{00000000-0005-0000-0000-0000764C0000}"/>
    <cellStyle name="Comma 2 9" xfId="12600" xr:uid="{00000000-0005-0000-0000-0000774C0000}"/>
    <cellStyle name="Comma 20" xfId="282" xr:uid="{00000000-0005-0000-0000-0000784C0000}"/>
    <cellStyle name="Comma 21" xfId="290" xr:uid="{00000000-0005-0000-0000-0000794C0000}"/>
    <cellStyle name="Comma 21 2" xfId="369" xr:uid="{00000000-0005-0000-0000-00007A4C0000}"/>
    <cellStyle name="Comma 22" xfId="288" xr:uid="{00000000-0005-0000-0000-00007B4C0000}"/>
    <cellStyle name="Comma 23" xfId="291" xr:uid="{00000000-0005-0000-0000-00007C4C0000}"/>
    <cellStyle name="Comma 24" xfId="289" xr:uid="{00000000-0005-0000-0000-00007D4C0000}"/>
    <cellStyle name="Comma 25" xfId="301" xr:uid="{00000000-0005-0000-0000-00007E4C0000}"/>
    <cellStyle name="Comma 26" xfId="300" xr:uid="{00000000-0005-0000-0000-00007F4C0000}"/>
    <cellStyle name="Comma 27" xfId="312" xr:uid="{00000000-0005-0000-0000-0000804C0000}"/>
    <cellStyle name="Comma 28" xfId="311" xr:uid="{00000000-0005-0000-0000-0000814C0000}"/>
    <cellStyle name="Comma 29" xfId="313" xr:uid="{00000000-0005-0000-0000-0000824C0000}"/>
    <cellStyle name="Comma 3" xfId="10" xr:uid="{00000000-0005-0000-0000-0000834C0000}"/>
    <cellStyle name="Comma 3 10" xfId="23905" xr:uid="{00000000-0005-0000-0000-0000844C0000}"/>
    <cellStyle name="Comma 3 11" xfId="25779" xr:uid="{00000000-0005-0000-0000-0000854C0000}"/>
    <cellStyle name="Comma 3 2" xfId="22" xr:uid="{00000000-0005-0000-0000-0000864C0000}"/>
    <cellStyle name="Comma 3 3" xfId="184" xr:uid="{00000000-0005-0000-0000-0000874C0000}"/>
    <cellStyle name="Comma 3 4" xfId="353" xr:uid="{00000000-0005-0000-0000-0000884C0000}"/>
    <cellStyle name="Comma 3 5" xfId="397" xr:uid="{00000000-0005-0000-0000-0000894C0000}"/>
    <cellStyle name="Comma 3 6" xfId="375" xr:uid="{00000000-0005-0000-0000-00008A4C0000}"/>
    <cellStyle name="Comma 3 7" xfId="2589" xr:uid="{00000000-0005-0000-0000-00008B4C0000}"/>
    <cellStyle name="Comma 3 8" xfId="13605" xr:uid="{00000000-0005-0000-0000-00008C4C0000}"/>
    <cellStyle name="Comma 3 9" xfId="13599" xr:uid="{00000000-0005-0000-0000-00008D4C0000}"/>
    <cellStyle name="Comma 30" xfId="310" xr:uid="{00000000-0005-0000-0000-00008E4C0000}"/>
    <cellStyle name="Comma 31" xfId="314" xr:uid="{00000000-0005-0000-0000-00008F4C0000}"/>
    <cellStyle name="Comma 32" xfId="308" xr:uid="{00000000-0005-0000-0000-0000904C0000}"/>
    <cellStyle name="Comma 33" xfId="315" xr:uid="{00000000-0005-0000-0000-0000914C0000}"/>
    <cellStyle name="Comma 34" xfId="306" xr:uid="{00000000-0005-0000-0000-0000924C0000}"/>
    <cellStyle name="Comma 35" xfId="337" xr:uid="{00000000-0005-0000-0000-0000934C0000}"/>
    <cellStyle name="Comma 36" xfId="334" xr:uid="{00000000-0005-0000-0000-0000944C0000}"/>
    <cellStyle name="Comma 37" xfId="338" xr:uid="{00000000-0005-0000-0000-0000954C0000}"/>
    <cellStyle name="Comma 38" xfId="336" xr:uid="{00000000-0005-0000-0000-0000964C0000}"/>
    <cellStyle name="Comma 39" xfId="394" xr:uid="{00000000-0005-0000-0000-0000974C0000}"/>
    <cellStyle name="Comma 4" xfId="8" xr:uid="{00000000-0005-0000-0000-0000984C0000}"/>
    <cellStyle name="Comma 4 2" xfId="185" xr:uid="{00000000-0005-0000-0000-0000994C0000}"/>
    <cellStyle name="Comma 4 2 2" xfId="365" xr:uid="{00000000-0005-0000-0000-00009A4C0000}"/>
    <cellStyle name="Comma 4 2 2 2" xfId="447" xr:uid="{00000000-0005-0000-0000-00009B4C0000}"/>
    <cellStyle name="Comma 4 2 2 2 2" xfId="533" xr:uid="{00000000-0005-0000-0000-00009C4C0000}"/>
    <cellStyle name="Comma 4 2 2 2 2 2" xfId="13896" xr:uid="{00000000-0005-0000-0000-00009D4C0000}"/>
    <cellStyle name="Comma 4 2 2 2 3" xfId="13819" xr:uid="{00000000-0005-0000-0000-00009E4C0000}"/>
    <cellStyle name="Comma 4 2 2 3" xfId="496" xr:uid="{00000000-0005-0000-0000-00009F4C0000}"/>
    <cellStyle name="Comma 4 2 2 3 2" xfId="13859" xr:uid="{00000000-0005-0000-0000-0000A04C0000}"/>
    <cellStyle name="Comma 4 2 2 4" xfId="13775" xr:uid="{00000000-0005-0000-0000-0000A14C0000}"/>
    <cellStyle name="Comma 4 2 3" xfId="427" xr:uid="{00000000-0005-0000-0000-0000A24C0000}"/>
    <cellStyle name="Comma 4 2 3 2" xfId="518" xr:uid="{00000000-0005-0000-0000-0000A34C0000}"/>
    <cellStyle name="Comma 4 2 3 2 2" xfId="13881" xr:uid="{00000000-0005-0000-0000-0000A44C0000}"/>
    <cellStyle name="Comma 4 2 3 3" xfId="13804" xr:uid="{00000000-0005-0000-0000-0000A54C0000}"/>
    <cellStyle name="Comma 4 2 4" xfId="481" xr:uid="{00000000-0005-0000-0000-0000A64C0000}"/>
    <cellStyle name="Comma 4 2 4 2" xfId="13844" xr:uid="{00000000-0005-0000-0000-0000A74C0000}"/>
    <cellStyle name="Comma 4 2 5" xfId="641" xr:uid="{00000000-0005-0000-0000-0000A84C0000}"/>
    <cellStyle name="Comma 4 2 6" xfId="13689" xr:uid="{00000000-0005-0000-0000-0000A94C0000}"/>
    <cellStyle name="Comma 4 2 7" xfId="24068" xr:uid="{00000000-0005-0000-0000-0000AA4C0000}"/>
    <cellStyle name="Comma 4 3" xfId="352" xr:uid="{00000000-0005-0000-0000-0000AB4C0000}"/>
    <cellStyle name="Comma 4 4" xfId="640" xr:uid="{00000000-0005-0000-0000-0000AC4C0000}"/>
    <cellStyle name="Comma 4 5" xfId="3619" xr:uid="{00000000-0005-0000-0000-0000AD4C0000}"/>
    <cellStyle name="Comma 4 6" xfId="25792" xr:uid="{00000000-0005-0000-0000-0000AE4C0000}"/>
    <cellStyle name="Comma 40" xfId="371" xr:uid="{00000000-0005-0000-0000-0000AF4C0000}"/>
    <cellStyle name="Comma 40 2" xfId="501" xr:uid="{00000000-0005-0000-0000-0000B04C0000}"/>
    <cellStyle name="Comma 40 2 2" xfId="13864" xr:uid="{00000000-0005-0000-0000-0000B14C0000}"/>
    <cellStyle name="Comma 40 3" xfId="13780" xr:uid="{00000000-0005-0000-0000-0000B24C0000}"/>
    <cellStyle name="Comma 41" xfId="391" xr:uid="{00000000-0005-0000-0000-0000B34C0000}"/>
    <cellStyle name="Comma 41 2" xfId="505" xr:uid="{00000000-0005-0000-0000-0000B44C0000}"/>
    <cellStyle name="Comma 41 2 2" xfId="13868" xr:uid="{00000000-0005-0000-0000-0000B54C0000}"/>
    <cellStyle name="Comma 41 3" xfId="13786" xr:uid="{00000000-0005-0000-0000-0000B64C0000}"/>
    <cellStyle name="Comma 42" xfId="388" xr:uid="{00000000-0005-0000-0000-0000B74C0000}"/>
    <cellStyle name="Comma 42 2" xfId="504" xr:uid="{00000000-0005-0000-0000-0000B84C0000}"/>
    <cellStyle name="Comma 42 2 2" xfId="13867" xr:uid="{00000000-0005-0000-0000-0000B94C0000}"/>
    <cellStyle name="Comma 42 3" xfId="13784" xr:uid="{00000000-0005-0000-0000-0000BA4C0000}"/>
    <cellStyle name="Comma 43" xfId="452" xr:uid="{00000000-0005-0000-0000-0000BB4C0000}"/>
    <cellStyle name="Comma 43 2" xfId="538" xr:uid="{00000000-0005-0000-0000-0000BC4C0000}"/>
    <cellStyle name="Comma 43 2 2" xfId="13901" xr:uid="{00000000-0005-0000-0000-0000BD4C0000}"/>
    <cellStyle name="Comma 43 3" xfId="13824" xr:uid="{00000000-0005-0000-0000-0000BE4C0000}"/>
    <cellStyle name="Comma 44" xfId="13600" xr:uid="{00000000-0005-0000-0000-0000BF4C0000}"/>
    <cellStyle name="Comma 45" xfId="23886" xr:uid="{00000000-0005-0000-0000-0000C04C0000}"/>
    <cellStyle name="Comma 46" xfId="23891" xr:uid="{00000000-0005-0000-0000-0000C14C0000}"/>
    <cellStyle name="Comma 47" xfId="23895" xr:uid="{00000000-0005-0000-0000-0000C24C0000}"/>
    <cellStyle name="Comma 48" xfId="23899" xr:uid="{00000000-0005-0000-0000-0000C34C0000}"/>
    <cellStyle name="Comma 49" xfId="2" xr:uid="{00000000-0005-0000-0000-0000C44C0000}"/>
    <cellStyle name="Comma 5" xfId="23" xr:uid="{00000000-0005-0000-0000-0000C54C0000}"/>
    <cellStyle name="Comma 5 2" xfId="24069" xr:uid="{00000000-0005-0000-0000-0000C64C0000}"/>
    <cellStyle name="Comma 50" xfId="25277" xr:uid="{00000000-0005-0000-0000-0000C74C0000}"/>
    <cellStyle name="Comma 51" xfId="25294" xr:uid="{00000000-0005-0000-0000-0000C84C0000}"/>
    <cellStyle name="Comma 52" xfId="25456" xr:uid="{00000000-0005-0000-0000-0000C94C0000}"/>
    <cellStyle name="Comma 53" xfId="25749" xr:uid="{00000000-0005-0000-0000-0000CA4C0000}"/>
    <cellStyle name="Comma 54" xfId="25755" xr:uid="{00000000-0005-0000-0000-0000CB4C0000}"/>
    <cellStyle name="Comma 55" xfId="25756" xr:uid="{00000000-0005-0000-0000-0000CC4C0000}"/>
    <cellStyle name="Comma 56" xfId="25761" xr:uid="{00000000-0005-0000-0000-0000CD4C0000}"/>
    <cellStyle name="Comma 57" xfId="25762" xr:uid="{00000000-0005-0000-0000-0000CE4C0000}"/>
    <cellStyle name="Comma 6" xfId="24" xr:uid="{00000000-0005-0000-0000-0000CF4C0000}"/>
    <cellStyle name="Comma 6 2" xfId="399" xr:uid="{00000000-0005-0000-0000-0000D04C0000}"/>
    <cellStyle name="Comma 6 2 2" xfId="24319" xr:uid="{00000000-0005-0000-0000-0000D14C0000}"/>
    <cellStyle name="Comma 6 2 3" xfId="24783" xr:uid="{00000000-0005-0000-0000-0000D24C0000}"/>
    <cellStyle name="Comma 6 2 4" xfId="25150" xr:uid="{00000000-0005-0000-0000-0000D34C0000}"/>
    <cellStyle name="Comma 6 3" xfId="376" xr:uid="{00000000-0005-0000-0000-0000D44C0000}"/>
    <cellStyle name="Comma 6 4" xfId="23931" xr:uid="{00000000-0005-0000-0000-0000D54C0000}"/>
    <cellStyle name="Comma 6 5" xfId="24558" xr:uid="{00000000-0005-0000-0000-0000D64C0000}"/>
    <cellStyle name="Comma 6 6" xfId="24948" xr:uid="{00000000-0005-0000-0000-0000D74C0000}"/>
    <cellStyle name="Comma 7" xfId="186" xr:uid="{00000000-0005-0000-0000-0000D84C0000}"/>
    <cellStyle name="Comma 7 2" xfId="642" xr:uid="{00000000-0005-0000-0000-0000D94C0000}"/>
    <cellStyle name="Comma 7 2 2" xfId="24406" xr:uid="{00000000-0005-0000-0000-0000DA4C0000}"/>
    <cellStyle name="Comma 7 2 3" xfId="24858" xr:uid="{00000000-0005-0000-0000-0000DB4C0000}"/>
    <cellStyle name="Comma 7 2 4" xfId="25223" xr:uid="{00000000-0005-0000-0000-0000DC4C0000}"/>
    <cellStyle name="Comma 7 3" xfId="24070" xr:uid="{00000000-0005-0000-0000-0000DD4C0000}"/>
    <cellStyle name="Comma 7 4" xfId="24703" xr:uid="{00000000-0005-0000-0000-0000DE4C0000}"/>
    <cellStyle name="Comma 7 5" xfId="25025" xr:uid="{00000000-0005-0000-0000-0000DF4C0000}"/>
    <cellStyle name="Comma 8" xfId="187" xr:uid="{00000000-0005-0000-0000-0000E04C0000}"/>
    <cellStyle name="Comma 8 2" xfId="643" xr:uid="{00000000-0005-0000-0000-0000E14C0000}"/>
    <cellStyle name="Comma 8 2 2" xfId="13908" xr:uid="{00000000-0005-0000-0000-0000E24C0000}"/>
    <cellStyle name="Comma 8 2 3" xfId="24481" xr:uid="{00000000-0005-0000-0000-0000E34C0000}"/>
    <cellStyle name="Comma 8 2 4" xfId="24913" xr:uid="{00000000-0005-0000-0000-0000E44C0000}"/>
    <cellStyle name="Comma 8 2 5" xfId="25273" xr:uid="{00000000-0005-0000-0000-0000E54C0000}"/>
    <cellStyle name="Comma 8 3" xfId="24295" xr:uid="{00000000-0005-0000-0000-0000E64C0000}"/>
    <cellStyle name="Comma 8 4" xfId="24776" xr:uid="{00000000-0005-0000-0000-0000E74C0000}"/>
    <cellStyle name="Comma 8 5" xfId="25145" xr:uid="{00000000-0005-0000-0000-0000E84C0000}"/>
    <cellStyle name="Comma 9" xfId="188" xr:uid="{00000000-0005-0000-0000-0000E94C0000}"/>
    <cellStyle name="Comma 9 2" xfId="24482" xr:uid="{00000000-0005-0000-0000-0000EA4C0000}"/>
    <cellStyle name="Comma 9 2 2" xfId="24914" xr:uid="{00000000-0005-0000-0000-0000EB4C0000}"/>
    <cellStyle name="Comma 9 2 3" xfId="25274" xr:uid="{00000000-0005-0000-0000-0000EC4C0000}"/>
    <cellStyle name="Comma 9 3" xfId="24296" xr:uid="{00000000-0005-0000-0000-0000ED4C0000}"/>
    <cellStyle name="Comma 9 4" xfId="24777" xr:uid="{00000000-0005-0000-0000-0000EE4C0000}"/>
    <cellStyle name="Comma 9 5" xfId="25146" xr:uid="{00000000-0005-0000-0000-0000EF4C0000}"/>
    <cellStyle name="Comma0" xfId="25" xr:uid="{00000000-0005-0000-0000-0000F04C0000}"/>
    <cellStyle name="Comma0 - Style3" xfId="26" xr:uid="{00000000-0005-0000-0000-0000F14C0000}"/>
    <cellStyle name="Comma0 - Style4" xfId="27" xr:uid="{00000000-0005-0000-0000-0000F24C0000}"/>
    <cellStyle name="Comma0 10" xfId="461" xr:uid="{00000000-0005-0000-0000-0000F34C0000}"/>
    <cellStyle name="Comma0 11" xfId="24411" xr:uid="{00000000-0005-0000-0000-0000F44C0000}"/>
    <cellStyle name="Comma0 12" xfId="24399" xr:uid="{00000000-0005-0000-0000-0000F54C0000}"/>
    <cellStyle name="Comma0 13" xfId="24503" xr:uid="{00000000-0005-0000-0000-0000F64C0000}"/>
    <cellStyle name="Comma0 14" xfId="24400" xr:uid="{00000000-0005-0000-0000-0000F74C0000}"/>
    <cellStyle name="Comma0 15" xfId="24496" xr:uid="{00000000-0005-0000-0000-0000F84C0000}"/>
    <cellStyle name="Comma0 16" xfId="24474" xr:uid="{00000000-0005-0000-0000-0000F94C0000}"/>
    <cellStyle name="Comma0 17" xfId="24497" xr:uid="{00000000-0005-0000-0000-0000FA4C0000}"/>
    <cellStyle name="Comma0 18" xfId="24402" xr:uid="{00000000-0005-0000-0000-0000FB4C0000}"/>
    <cellStyle name="Comma0 19" xfId="24477" xr:uid="{00000000-0005-0000-0000-0000FC4C0000}"/>
    <cellStyle name="Comma0 2" xfId="400" xr:uid="{00000000-0005-0000-0000-0000FD4C0000}"/>
    <cellStyle name="Comma0 2 2" xfId="24072" xr:uid="{00000000-0005-0000-0000-0000FE4C0000}"/>
    <cellStyle name="Comma0 20" xfId="24508" xr:uid="{00000000-0005-0000-0000-0000FF4C0000}"/>
    <cellStyle name="Comma0 21" xfId="24509" xr:uid="{00000000-0005-0000-0000-0000004D0000}"/>
    <cellStyle name="Comma0 22" xfId="24510" xr:uid="{00000000-0005-0000-0000-0000014D0000}"/>
    <cellStyle name="Comma0 23" xfId="24512" xr:uid="{00000000-0005-0000-0000-0000024D0000}"/>
    <cellStyle name="Comma0 24" xfId="24513" xr:uid="{00000000-0005-0000-0000-0000034D0000}"/>
    <cellStyle name="Comma0 25" xfId="24514" xr:uid="{00000000-0005-0000-0000-0000044D0000}"/>
    <cellStyle name="Comma0 26" xfId="24515" xr:uid="{00000000-0005-0000-0000-0000054D0000}"/>
    <cellStyle name="Comma0 27" xfId="24516" xr:uid="{00000000-0005-0000-0000-0000064D0000}"/>
    <cellStyle name="Comma0 28" xfId="24517" xr:uid="{00000000-0005-0000-0000-0000074D0000}"/>
    <cellStyle name="Comma0 29" xfId="23909" xr:uid="{00000000-0005-0000-0000-0000084D0000}"/>
    <cellStyle name="Comma0 3" xfId="377" xr:uid="{00000000-0005-0000-0000-0000094D0000}"/>
    <cellStyle name="Comma0 3 2" xfId="24073" xr:uid="{00000000-0005-0000-0000-00000A4D0000}"/>
    <cellStyle name="Comma0 30" xfId="23926" xr:uid="{00000000-0005-0000-0000-00000B4D0000}"/>
    <cellStyle name="Comma0 31" xfId="24531" xr:uid="{00000000-0005-0000-0000-00000C4D0000}"/>
    <cellStyle name="Comma0 32" xfId="24012" xr:uid="{00000000-0005-0000-0000-00000D4D0000}"/>
    <cellStyle name="Comma0 33" xfId="24540" xr:uid="{00000000-0005-0000-0000-00000E4D0000}"/>
    <cellStyle name="Comma0 34" xfId="24102" xr:uid="{00000000-0005-0000-0000-00000F4D0000}"/>
    <cellStyle name="Comma0 35" xfId="24032" xr:uid="{00000000-0005-0000-0000-0000104D0000}"/>
    <cellStyle name="Comma0 36" xfId="24071" xr:uid="{00000000-0005-0000-0000-0000114D0000}"/>
    <cellStyle name="Comma0 37" xfId="24533" xr:uid="{00000000-0005-0000-0000-0000124D0000}"/>
    <cellStyle name="Comma0 38" xfId="24535" xr:uid="{00000000-0005-0000-0000-0000134D0000}"/>
    <cellStyle name="Comma0 39" xfId="24524" xr:uid="{00000000-0005-0000-0000-0000144D0000}"/>
    <cellStyle name="Comma0 4" xfId="435" xr:uid="{00000000-0005-0000-0000-0000154D0000}"/>
    <cellStyle name="Comma0 40" xfId="24547" xr:uid="{00000000-0005-0000-0000-0000164D0000}"/>
    <cellStyle name="Comma0 41" xfId="24773" xr:uid="{00000000-0005-0000-0000-0000174D0000}"/>
    <cellStyle name="Comma0 42" xfId="24922" xr:uid="{00000000-0005-0000-0000-0000184D0000}"/>
    <cellStyle name="Comma0 43" xfId="24687" xr:uid="{00000000-0005-0000-0000-0000194D0000}"/>
    <cellStyle name="Comma0 44" xfId="24702" xr:uid="{00000000-0005-0000-0000-00001A4D0000}"/>
    <cellStyle name="Comma0 45" xfId="24934" xr:uid="{00000000-0005-0000-0000-00001B4D0000}"/>
    <cellStyle name="Comma0 46" xfId="24765" xr:uid="{00000000-0005-0000-0000-00001C4D0000}"/>
    <cellStyle name="Comma0 47" xfId="24938" xr:uid="{00000000-0005-0000-0000-00001D4D0000}"/>
    <cellStyle name="Comma0 48" xfId="24706" xr:uid="{00000000-0005-0000-0000-00001E4D0000}"/>
    <cellStyle name="Comma0 49" xfId="24766" xr:uid="{00000000-0005-0000-0000-00001F4D0000}"/>
    <cellStyle name="Comma0 5" xfId="430" xr:uid="{00000000-0005-0000-0000-0000204D0000}"/>
    <cellStyle name="Comma0 50" xfId="24546" xr:uid="{00000000-0005-0000-0000-0000214D0000}"/>
    <cellStyle name="Comma0 51" xfId="24761" xr:uid="{00000000-0005-0000-0000-0000224D0000}"/>
    <cellStyle name="Comma0 52" xfId="24923" xr:uid="{00000000-0005-0000-0000-0000234D0000}"/>
    <cellStyle name="Comma0 53" xfId="24942" xr:uid="{00000000-0005-0000-0000-0000244D0000}"/>
    <cellStyle name="Comma0 6" xfId="433" xr:uid="{00000000-0005-0000-0000-0000254D0000}"/>
    <cellStyle name="Comma0 7" xfId="455" xr:uid="{00000000-0005-0000-0000-0000264D0000}"/>
    <cellStyle name="Comma0 8" xfId="463" xr:uid="{00000000-0005-0000-0000-0000274D0000}"/>
    <cellStyle name="Comma0 9" xfId="456" xr:uid="{00000000-0005-0000-0000-0000284D0000}"/>
    <cellStyle name="Comma0_3.7 Revenue Correcting - Dec09" xfId="349" xr:uid="{00000000-0005-0000-0000-0000294D0000}"/>
    <cellStyle name="Comma1 - Style1" xfId="28" xr:uid="{00000000-0005-0000-0000-00002A4D0000}"/>
    <cellStyle name="Currency" xfId="25747" builtinId="4"/>
    <cellStyle name="Currency [1]" xfId="550" xr:uid="{00000000-0005-0000-0000-00002C4D0000}"/>
    <cellStyle name="Currency [1] 2" xfId="24074" xr:uid="{00000000-0005-0000-0000-00002D4D0000}"/>
    <cellStyle name="Currency [2]" xfId="551" xr:uid="{00000000-0005-0000-0000-00002E4D0000}"/>
    <cellStyle name="Currency [2] 2" xfId="24075" xr:uid="{00000000-0005-0000-0000-00002F4D0000}"/>
    <cellStyle name="Currency [3]" xfId="552" xr:uid="{00000000-0005-0000-0000-0000304D0000}"/>
    <cellStyle name="Currency [3] 2" xfId="24076" xr:uid="{00000000-0005-0000-0000-0000314D0000}"/>
    <cellStyle name="Currency 10" xfId="24300" xr:uid="{00000000-0005-0000-0000-0000324D0000}"/>
    <cellStyle name="Currency 11" xfId="24466" xr:uid="{00000000-0005-0000-0000-0000334D0000}"/>
    <cellStyle name="Currency 12" xfId="3" xr:uid="{00000000-0005-0000-0000-0000344D0000}"/>
    <cellStyle name="Currency 13" xfId="24305" xr:uid="{00000000-0005-0000-0000-0000354D0000}"/>
    <cellStyle name="Currency 14" xfId="25278" xr:uid="{00000000-0005-0000-0000-0000364D0000}"/>
    <cellStyle name="Currency 15" xfId="25293" xr:uid="{00000000-0005-0000-0000-0000374D0000}"/>
    <cellStyle name="Currency 16" xfId="24306" xr:uid="{00000000-0005-0000-0000-0000384D0000}"/>
    <cellStyle name="Currency 17" xfId="24307" xr:uid="{00000000-0005-0000-0000-0000394D0000}"/>
    <cellStyle name="Currency 18" xfId="25457" xr:uid="{00000000-0005-0000-0000-00003A4D0000}"/>
    <cellStyle name="Currency 2" xfId="29" xr:uid="{00000000-0005-0000-0000-00003B4D0000}"/>
    <cellStyle name="Currency 2 10" xfId="24077" xr:uid="{00000000-0005-0000-0000-00003C4D0000}"/>
    <cellStyle name="Currency 2 11" xfId="25753" xr:uid="{00000000-0005-0000-0000-00003D4D0000}"/>
    <cellStyle name="Currency 2 2" xfId="354" xr:uid="{00000000-0005-0000-0000-00003E4D0000}"/>
    <cellStyle name="Currency 2 2 2" xfId="437" xr:uid="{00000000-0005-0000-0000-00003F4D0000}"/>
    <cellStyle name="Currency 2 2 2 2" xfId="523" xr:uid="{00000000-0005-0000-0000-0000404D0000}"/>
    <cellStyle name="Currency 2 2 2 2 2" xfId="13886" xr:uid="{00000000-0005-0000-0000-0000414D0000}"/>
    <cellStyle name="Currency 2 2 2 3" xfId="13809" xr:uid="{00000000-0005-0000-0000-0000424D0000}"/>
    <cellStyle name="Currency 2 2 3" xfId="486" xr:uid="{00000000-0005-0000-0000-0000434D0000}"/>
    <cellStyle name="Currency 2 2 3 2" xfId="13849" xr:uid="{00000000-0005-0000-0000-0000444D0000}"/>
    <cellStyle name="Currency 2 2 4" xfId="13764" xr:uid="{00000000-0005-0000-0000-0000454D0000}"/>
    <cellStyle name="Currency 2 2 5" xfId="24078" xr:uid="{00000000-0005-0000-0000-0000464D0000}"/>
    <cellStyle name="Currency 2 3" xfId="401" xr:uid="{00000000-0005-0000-0000-0000474D0000}"/>
    <cellStyle name="Currency 2 3 2" xfId="506" xr:uid="{00000000-0005-0000-0000-0000484D0000}"/>
    <cellStyle name="Currency 2 3 2 2" xfId="13869" xr:uid="{00000000-0005-0000-0000-0000494D0000}"/>
    <cellStyle name="Currency 2 3 3" xfId="13788" xr:uid="{00000000-0005-0000-0000-00004A4D0000}"/>
    <cellStyle name="Currency 2 3 4" xfId="24079" xr:uid="{00000000-0005-0000-0000-00004B4D0000}"/>
    <cellStyle name="Currency 2 4" xfId="378" xr:uid="{00000000-0005-0000-0000-00004C4D0000}"/>
    <cellStyle name="Currency 2 5" xfId="468" xr:uid="{00000000-0005-0000-0000-00004D4D0000}"/>
    <cellStyle name="Currency 2 6" xfId="471" xr:uid="{00000000-0005-0000-0000-00004E4D0000}"/>
    <cellStyle name="Currency 2 6 2" xfId="13834" xr:uid="{00000000-0005-0000-0000-00004F4D0000}"/>
    <cellStyle name="Currency 2 7" xfId="644" xr:uid="{00000000-0005-0000-0000-0000504D0000}"/>
    <cellStyle name="Currency 2 7 2" xfId="13909" xr:uid="{00000000-0005-0000-0000-0000514D0000}"/>
    <cellStyle name="Currency 2 8" xfId="23896" xr:uid="{00000000-0005-0000-0000-0000524D0000}"/>
    <cellStyle name="Currency 2 9" xfId="13606" xr:uid="{00000000-0005-0000-0000-0000534D0000}"/>
    <cellStyle name="Currency 3" xfId="30" xr:uid="{00000000-0005-0000-0000-0000544D0000}"/>
    <cellStyle name="Currency 3 2" xfId="402" xr:uid="{00000000-0005-0000-0000-0000554D0000}"/>
    <cellStyle name="Currency 3 2 2" xfId="24302" xr:uid="{00000000-0005-0000-0000-0000564D0000}"/>
    <cellStyle name="Currency 3 3" xfId="379" xr:uid="{00000000-0005-0000-0000-0000574D0000}"/>
    <cellStyle name="Currency 3 4" xfId="3620" xr:uid="{00000000-0005-0000-0000-0000584D0000}"/>
    <cellStyle name="Currency 3 5" xfId="24080" xr:uid="{00000000-0005-0000-0000-0000594D0000}"/>
    <cellStyle name="Currency 3 6" xfId="25793" xr:uid="{00000000-0005-0000-0000-00005A4D0000}"/>
    <cellStyle name="Currency 4" xfId="168" xr:uid="{00000000-0005-0000-0000-00005B4D0000}"/>
    <cellStyle name="Currency 5" xfId="169" xr:uid="{00000000-0005-0000-0000-00005C4D0000}"/>
    <cellStyle name="Currency 5 2" xfId="360" xr:uid="{00000000-0005-0000-0000-00005D4D0000}"/>
    <cellStyle name="Currency 5 2 2" xfId="442" xr:uid="{00000000-0005-0000-0000-00005E4D0000}"/>
    <cellStyle name="Currency 5 2 2 2" xfId="528" xr:uid="{00000000-0005-0000-0000-00005F4D0000}"/>
    <cellStyle name="Currency 5 2 2 2 2" xfId="13891" xr:uid="{00000000-0005-0000-0000-0000604D0000}"/>
    <cellStyle name="Currency 5 2 2 3" xfId="13814" xr:uid="{00000000-0005-0000-0000-0000614D0000}"/>
    <cellStyle name="Currency 5 2 3" xfId="491" xr:uid="{00000000-0005-0000-0000-0000624D0000}"/>
    <cellStyle name="Currency 5 2 3 2" xfId="13854" xr:uid="{00000000-0005-0000-0000-0000634D0000}"/>
    <cellStyle name="Currency 5 2 4" xfId="13770" xr:uid="{00000000-0005-0000-0000-0000644D0000}"/>
    <cellStyle name="Currency 5 2 5" xfId="24303" xr:uid="{00000000-0005-0000-0000-0000654D0000}"/>
    <cellStyle name="Currency 5 3" xfId="422" xr:uid="{00000000-0005-0000-0000-0000664D0000}"/>
    <cellStyle name="Currency 5 3 2" xfId="513" xr:uid="{00000000-0005-0000-0000-0000674D0000}"/>
    <cellStyle name="Currency 5 3 2 2" xfId="13876" xr:uid="{00000000-0005-0000-0000-0000684D0000}"/>
    <cellStyle name="Currency 5 3 3" xfId="13799" xr:uid="{00000000-0005-0000-0000-0000694D0000}"/>
    <cellStyle name="Currency 5 3 4" xfId="24407" xr:uid="{00000000-0005-0000-0000-00006A4D0000}"/>
    <cellStyle name="Currency 5 3 5" xfId="24859" xr:uid="{00000000-0005-0000-0000-00006B4D0000}"/>
    <cellStyle name="Currency 5 3 6" xfId="25224" xr:uid="{00000000-0005-0000-0000-00006C4D0000}"/>
    <cellStyle name="Currency 5 4" xfId="476" xr:uid="{00000000-0005-0000-0000-00006D4D0000}"/>
    <cellStyle name="Currency 5 4 2" xfId="13839" xr:uid="{00000000-0005-0000-0000-00006E4D0000}"/>
    <cellStyle name="Currency 5 5" xfId="13684" xr:uid="{00000000-0005-0000-0000-00006F4D0000}"/>
    <cellStyle name="Currency 5 6" xfId="23903" xr:uid="{00000000-0005-0000-0000-0000704D0000}"/>
    <cellStyle name="Currency 5 7" xfId="24081" xr:uid="{00000000-0005-0000-0000-0000714D0000}"/>
    <cellStyle name="Currency 5 8" xfId="24707" xr:uid="{00000000-0005-0000-0000-0000724D0000}"/>
    <cellStyle name="Currency 5 9" xfId="25026" xr:uid="{00000000-0005-0000-0000-0000734D0000}"/>
    <cellStyle name="Currency 6" xfId="395" xr:uid="{00000000-0005-0000-0000-0000744D0000}"/>
    <cellStyle name="Currency 6 2" xfId="24293" xr:uid="{00000000-0005-0000-0000-0000754D0000}"/>
    <cellStyle name="Currency 7" xfId="2590" xr:uid="{00000000-0005-0000-0000-0000764D0000}"/>
    <cellStyle name="Currency 7 2" xfId="24484" xr:uid="{00000000-0005-0000-0000-0000774D0000}"/>
    <cellStyle name="Currency 7 2 2" xfId="24915" xr:uid="{00000000-0005-0000-0000-0000784D0000}"/>
    <cellStyle name="Currency 7 2 3" xfId="25275" xr:uid="{00000000-0005-0000-0000-0000794D0000}"/>
    <cellStyle name="Currency 7 3" xfId="24297" xr:uid="{00000000-0005-0000-0000-00007A4D0000}"/>
    <cellStyle name="Currency 7 4" xfId="24778" xr:uid="{00000000-0005-0000-0000-00007B4D0000}"/>
    <cellStyle name="Currency 7 5" xfId="25147" xr:uid="{00000000-0005-0000-0000-00007C4D0000}"/>
    <cellStyle name="Currency 8" xfId="13601" xr:uid="{00000000-0005-0000-0000-00007D4D0000}"/>
    <cellStyle name="Currency 8 2" xfId="23904" xr:uid="{00000000-0005-0000-0000-00007E4D0000}"/>
    <cellStyle name="Currency 9" xfId="23889" xr:uid="{00000000-0005-0000-0000-00007F4D0000}"/>
    <cellStyle name="Currency 9 2" xfId="24299" xr:uid="{00000000-0005-0000-0000-0000804D0000}"/>
    <cellStyle name="Currency No Comma" xfId="31" xr:uid="{00000000-0005-0000-0000-0000814D0000}"/>
    <cellStyle name="Currency(0)" xfId="32" xr:uid="{00000000-0005-0000-0000-0000824D0000}"/>
    <cellStyle name="Currency0" xfId="33" xr:uid="{00000000-0005-0000-0000-0000834D0000}"/>
    <cellStyle name="Currency0 2" xfId="403" xr:uid="{00000000-0005-0000-0000-0000844D0000}"/>
    <cellStyle name="Currency0 2 2" xfId="24082" xr:uid="{00000000-0005-0000-0000-0000854D0000}"/>
    <cellStyle name="Currency0 3" xfId="380" xr:uid="{00000000-0005-0000-0000-0000864D0000}"/>
    <cellStyle name="Currency0 4" xfId="23910" xr:uid="{00000000-0005-0000-0000-0000874D0000}"/>
    <cellStyle name="Currsmall" xfId="553" xr:uid="{00000000-0005-0000-0000-0000884D0000}"/>
    <cellStyle name="Data Link" xfId="554" xr:uid="{00000000-0005-0000-0000-0000894D0000}"/>
    <cellStyle name="Date" xfId="34" xr:uid="{00000000-0005-0000-0000-00008A4D0000}"/>
    <cellStyle name="Date - Style3" xfId="35" xr:uid="{00000000-0005-0000-0000-00008B4D0000}"/>
    <cellStyle name="Date (mm/dd/yy)" xfId="555" xr:uid="{00000000-0005-0000-0000-00008C4D0000}"/>
    <cellStyle name="Date (mm/yy)" xfId="556" xr:uid="{00000000-0005-0000-0000-00008D4D0000}"/>
    <cellStyle name="Date (mmm/yy)" xfId="557" xr:uid="{00000000-0005-0000-0000-00008E4D0000}"/>
    <cellStyle name="Date (Mon, Tues, etc)" xfId="558" xr:uid="{00000000-0005-0000-0000-00008F4D0000}"/>
    <cellStyle name="Date (Monday, Tuesday, etc)" xfId="559" xr:uid="{00000000-0005-0000-0000-0000904D0000}"/>
    <cellStyle name="Date 10" xfId="460" xr:uid="{00000000-0005-0000-0000-0000914D0000}"/>
    <cellStyle name="Date 11" xfId="24408" xr:uid="{00000000-0005-0000-0000-0000924D0000}"/>
    <cellStyle name="Date 12" xfId="24401" xr:uid="{00000000-0005-0000-0000-0000934D0000}"/>
    <cellStyle name="Date 13" xfId="24409" xr:uid="{00000000-0005-0000-0000-0000944D0000}"/>
    <cellStyle name="Date 14" xfId="24405" xr:uid="{00000000-0005-0000-0000-0000954D0000}"/>
    <cellStyle name="Date 15" xfId="24502" xr:uid="{00000000-0005-0000-0000-0000964D0000}"/>
    <cellStyle name="Date 16" xfId="24404" xr:uid="{00000000-0005-0000-0000-0000974D0000}"/>
    <cellStyle name="Date 17" xfId="24495" xr:uid="{00000000-0005-0000-0000-0000984D0000}"/>
    <cellStyle name="Date 18" xfId="24315" xr:uid="{00000000-0005-0000-0000-0000994D0000}"/>
    <cellStyle name="Date 19" xfId="24493" xr:uid="{00000000-0005-0000-0000-00009A4D0000}"/>
    <cellStyle name="Date 2" xfId="404" xr:uid="{00000000-0005-0000-0000-00009B4D0000}"/>
    <cellStyle name="Date 2 2" xfId="24083" xr:uid="{00000000-0005-0000-0000-00009C4D0000}"/>
    <cellStyle name="Date 20" xfId="24317" xr:uid="{00000000-0005-0000-0000-00009D4D0000}"/>
    <cellStyle name="Date 21" xfId="24489" xr:uid="{00000000-0005-0000-0000-00009E4D0000}"/>
    <cellStyle name="Date 22" xfId="24483" xr:uid="{00000000-0005-0000-0000-00009F4D0000}"/>
    <cellStyle name="Date 23" xfId="24491" xr:uid="{00000000-0005-0000-0000-0000A04D0000}"/>
    <cellStyle name="Date 24" xfId="24403" xr:uid="{00000000-0005-0000-0000-0000A14D0000}"/>
    <cellStyle name="Date 25" xfId="24488" xr:uid="{00000000-0005-0000-0000-0000A24D0000}"/>
    <cellStyle name="Date 26" xfId="24507" xr:uid="{00000000-0005-0000-0000-0000A34D0000}"/>
    <cellStyle name="Date 27" xfId="23911" xr:uid="{00000000-0005-0000-0000-0000A44D0000}"/>
    <cellStyle name="Date 28" xfId="23925" xr:uid="{00000000-0005-0000-0000-0000A54D0000}"/>
    <cellStyle name="Date 29" xfId="24530" xr:uid="{00000000-0005-0000-0000-0000A64D0000}"/>
    <cellStyle name="Date 3" xfId="381" xr:uid="{00000000-0005-0000-0000-0000A74D0000}"/>
    <cellStyle name="Date 30" xfId="24007" xr:uid="{00000000-0005-0000-0000-0000A84D0000}"/>
    <cellStyle name="Date 31" xfId="24539" xr:uid="{00000000-0005-0000-0000-0000A94D0000}"/>
    <cellStyle name="Date 32" xfId="24520" xr:uid="{00000000-0005-0000-0000-0000AA4D0000}"/>
    <cellStyle name="Date 33" xfId="24084" xr:uid="{00000000-0005-0000-0000-0000AB4D0000}"/>
    <cellStyle name="Date 34" xfId="24527" xr:uid="{00000000-0005-0000-0000-0000AC4D0000}"/>
    <cellStyle name="Date 35" xfId="24538" xr:uid="{00000000-0005-0000-0000-0000AD4D0000}"/>
    <cellStyle name="Date 36" xfId="24097" xr:uid="{00000000-0005-0000-0000-0000AE4D0000}"/>
    <cellStyle name="Date 37" xfId="24534" xr:uid="{00000000-0005-0000-0000-0000AF4D0000}"/>
    <cellStyle name="Date 38" xfId="24548" xr:uid="{00000000-0005-0000-0000-0000B04D0000}"/>
    <cellStyle name="Date 39" xfId="24772" xr:uid="{00000000-0005-0000-0000-0000B14D0000}"/>
    <cellStyle name="Date 4" xfId="434" xr:uid="{00000000-0005-0000-0000-0000B24D0000}"/>
    <cellStyle name="Date 40" xfId="24635" xr:uid="{00000000-0005-0000-0000-0000B34D0000}"/>
    <cellStyle name="Date 41" xfId="24916" xr:uid="{00000000-0005-0000-0000-0000B44D0000}"/>
    <cellStyle name="Date 42" xfId="24932" xr:uid="{00000000-0005-0000-0000-0000B54D0000}"/>
    <cellStyle name="Date 43" xfId="24856" xr:uid="{00000000-0005-0000-0000-0000B64D0000}"/>
    <cellStyle name="Date 44" xfId="24760" xr:uid="{00000000-0005-0000-0000-0000B74D0000}"/>
    <cellStyle name="Date 45" xfId="24930" xr:uid="{00000000-0005-0000-0000-0000B84D0000}"/>
    <cellStyle name="Date 46" xfId="24925" xr:uid="{00000000-0005-0000-0000-0000B94D0000}"/>
    <cellStyle name="Date 47" xfId="24939" xr:uid="{00000000-0005-0000-0000-0000BA4D0000}"/>
    <cellStyle name="Date 48" xfId="24921" xr:uid="{00000000-0005-0000-0000-0000BB4D0000}"/>
    <cellStyle name="Date 49" xfId="24928" xr:uid="{00000000-0005-0000-0000-0000BC4D0000}"/>
    <cellStyle name="Date 5" xfId="436" xr:uid="{00000000-0005-0000-0000-0000BD4D0000}"/>
    <cellStyle name="Date 50" xfId="24908" xr:uid="{00000000-0005-0000-0000-0000BE4D0000}"/>
    <cellStyle name="Date 51" xfId="24943" xr:uid="{00000000-0005-0000-0000-0000BF4D0000}"/>
    <cellStyle name="Date 6" xfId="389" xr:uid="{00000000-0005-0000-0000-0000C04D0000}"/>
    <cellStyle name="Date 7" xfId="457" xr:uid="{00000000-0005-0000-0000-0000C14D0000}"/>
    <cellStyle name="Date 8" xfId="462" xr:uid="{00000000-0005-0000-0000-0000C24D0000}"/>
    <cellStyle name="Date 9" xfId="458" xr:uid="{00000000-0005-0000-0000-0000C34D0000}"/>
    <cellStyle name="Date_2002SavingsIdeasSummary" xfId="560" xr:uid="{00000000-0005-0000-0000-0000C44D0000}"/>
    <cellStyle name="Emphasis 1" xfId="24085" xr:uid="{00000000-0005-0000-0000-0000C54D0000}"/>
    <cellStyle name="Emphasis 2" xfId="24086" xr:uid="{00000000-0005-0000-0000-0000C64D0000}"/>
    <cellStyle name="Emphasis 3" xfId="24087" xr:uid="{00000000-0005-0000-0000-0000C74D0000}"/>
    <cellStyle name="Explanatory Text 10" xfId="2591" xr:uid="{00000000-0005-0000-0000-0000C84D0000}"/>
    <cellStyle name="Explanatory Text 11" xfId="2592" xr:uid="{00000000-0005-0000-0000-0000C94D0000}"/>
    <cellStyle name="Explanatory Text 12" xfId="2593" xr:uid="{00000000-0005-0000-0000-0000CA4D0000}"/>
    <cellStyle name="Explanatory Text 13" xfId="2594" xr:uid="{00000000-0005-0000-0000-0000CB4D0000}"/>
    <cellStyle name="Explanatory Text 14" xfId="2595" xr:uid="{00000000-0005-0000-0000-0000CC4D0000}"/>
    <cellStyle name="Explanatory Text 15" xfId="2596" xr:uid="{00000000-0005-0000-0000-0000CD4D0000}"/>
    <cellStyle name="Explanatory Text 16" xfId="2597" xr:uid="{00000000-0005-0000-0000-0000CE4D0000}"/>
    <cellStyle name="Explanatory Text 17" xfId="2598" xr:uid="{00000000-0005-0000-0000-0000CF4D0000}"/>
    <cellStyle name="Explanatory Text 18" xfId="2599" xr:uid="{00000000-0005-0000-0000-0000D04D0000}"/>
    <cellStyle name="Explanatory Text 19" xfId="2600" xr:uid="{00000000-0005-0000-0000-0000D14D0000}"/>
    <cellStyle name="Explanatory Text 2" xfId="2601" xr:uid="{00000000-0005-0000-0000-0000D24D0000}"/>
    <cellStyle name="Explanatory Text 20" xfId="2602" xr:uid="{00000000-0005-0000-0000-0000D34D0000}"/>
    <cellStyle name="Explanatory Text 21" xfId="2603" xr:uid="{00000000-0005-0000-0000-0000D44D0000}"/>
    <cellStyle name="Explanatory Text 22" xfId="2604" xr:uid="{00000000-0005-0000-0000-0000D54D0000}"/>
    <cellStyle name="Explanatory Text 23" xfId="2605" xr:uid="{00000000-0005-0000-0000-0000D64D0000}"/>
    <cellStyle name="Explanatory Text 24" xfId="2606" xr:uid="{00000000-0005-0000-0000-0000D74D0000}"/>
    <cellStyle name="Explanatory Text 25" xfId="2607" xr:uid="{00000000-0005-0000-0000-0000D84D0000}"/>
    <cellStyle name="Explanatory Text 26" xfId="2608" xr:uid="{00000000-0005-0000-0000-0000D94D0000}"/>
    <cellStyle name="Explanatory Text 27" xfId="2609" xr:uid="{00000000-0005-0000-0000-0000DA4D0000}"/>
    <cellStyle name="Explanatory Text 28" xfId="2610" xr:uid="{00000000-0005-0000-0000-0000DB4D0000}"/>
    <cellStyle name="Explanatory Text 29" xfId="2611" xr:uid="{00000000-0005-0000-0000-0000DC4D0000}"/>
    <cellStyle name="Explanatory Text 3" xfId="2612" xr:uid="{00000000-0005-0000-0000-0000DD4D0000}"/>
    <cellStyle name="Explanatory Text 30" xfId="2613" xr:uid="{00000000-0005-0000-0000-0000DE4D0000}"/>
    <cellStyle name="Explanatory Text 31" xfId="2614" xr:uid="{00000000-0005-0000-0000-0000DF4D0000}"/>
    <cellStyle name="Explanatory Text 32" xfId="2615" xr:uid="{00000000-0005-0000-0000-0000E04D0000}"/>
    <cellStyle name="Explanatory Text 33" xfId="2616" xr:uid="{00000000-0005-0000-0000-0000E14D0000}"/>
    <cellStyle name="Explanatory Text 34" xfId="2617" xr:uid="{00000000-0005-0000-0000-0000E24D0000}"/>
    <cellStyle name="Explanatory Text 35" xfId="2618" xr:uid="{00000000-0005-0000-0000-0000E34D0000}"/>
    <cellStyle name="Explanatory Text 36" xfId="2619" xr:uid="{00000000-0005-0000-0000-0000E44D0000}"/>
    <cellStyle name="Explanatory Text 37" xfId="2620" xr:uid="{00000000-0005-0000-0000-0000E54D0000}"/>
    <cellStyle name="Explanatory Text 38" xfId="2621" xr:uid="{00000000-0005-0000-0000-0000E64D0000}"/>
    <cellStyle name="Explanatory Text 39" xfId="2622" xr:uid="{00000000-0005-0000-0000-0000E74D0000}"/>
    <cellStyle name="Explanatory Text 4" xfId="2623" xr:uid="{00000000-0005-0000-0000-0000E84D0000}"/>
    <cellStyle name="Explanatory Text 40" xfId="2624" xr:uid="{00000000-0005-0000-0000-0000E94D0000}"/>
    <cellStyle name="Explanatory Text 41" xfId="2625" xr:uid="{00000000-0005-0000-0000-0000EA4D0000}"/>
    <cellStyle name="Explanatory Text 42" xfId="2626" xr:uid="{00000000-0005-0000-0000-0000EB4D0000}"/>
    <cellStyle name="Explanatory Text 43" xfId="2627" xr:uid="{00000000-0005-0000-0000-0000EC4D0000}"/>
    <cellStyle name="Explanatory Text 44" xfId="2628" xr:uid="{00000000-0005-0000-0000-0000ED4D0000}"/>
    <cellStyle name="Explanatory Text 45" xfId="2629" xr:uid="{00000000-0005-0000-0000-0000EE4D0000}"/>
    <cellStyle name="Explanatory Text 46" xfId="2630" xr:uid="{00000000-0005-0000-0000-0000EF4D0000}"/>
    <cellStyle name="Explanatory Text 47" xfId="2631" xr:uid="{00000000-0005-0000-0000-0000F04D0000}"/>
    <cellStyle name="Explanatory Text 48" xfId="2632" xr:uid="{00000000-0005-0000-0000-0000F14D0000}"/>
    <cellStyle name="Explanatory Text 49" xfId="2633" xr:uid="{00000000-0005-0000-0000-0000F24D0000}"/>
    <cellStyle name="Explanatory Text 5" xfId="2634" xr:uid="{00000000-0005-0000-0000-0000F34D0000}"/>
    <cellStyle name="Explanatory Text 50" xfId="2635" xr:uid="{00000000-0005-0000-0000-0000F44D0000}"/>
    <cellStyle name="Explanatory Text 51" xfId="2636" xr:uid="{00000000-0005-0000-0000-0000F54D0000}"/>
    <cellStyle name="Explanatory Text 52" xfId="2637" xr:uid="{00000000-0005-0000-0000-0000F64D0000}"/>
    <cellStyle name="Explanatory Text 53" xfId="2638" xr:uid="{00000000-0005-0000-0000-0000F74D0000}"/>
    <cellStyle name="Explanatory Text 54" xfId="2639" xr:uid="{00000000-0005-0000-0000-0000F84D0000}"/>
    <cellStyle name="Explanatory Text 55" xfId="2640" xr:uid="{00000000-0005-0000-0000-0000F94D0000}"/>
    <cellStyle name="Explanatory Text 56" xfId="2641" xr:uid="{00000000-0005-0000-0000-0000FA4D0000}"/>
    <cellStyle name="Explanatory Text 57" xfId="2642" xr:uid="{00000000-0005-0000-0000-0000FB4D0000}"/>
    <cellStyle name="Explanatory Text 58" xfId="2643" xr:uid="{00000000-0005-0000-0000-0000FC4D0000}"/>
    <cellStyle name="Explanatory Text 59" xfId="2644" xr:uid="{00000000-0005-0000-0000-0000FD4D0000}"/>
    <cellStyle name="Explanatory Text 6" xfId="2645" xr:uid="{00000000-0005-0000-0000-0000FE4D0000}"/>
    <cellStyle name="Explanatory Text 60" xfId="2646" xr:uid="{00000000-0005-0000-0000-0000FF4D0000}"/>
    <cellStyle name="Explanatory Text 61" xfId="2647" xr:uid="{00000000-0005-0000-0000-0000004E0000}"/>
    <cellStyle name="Explanatory Text 62" xfId="2648" xr:uid="{00000000-0005-0000-0000-0000014E0000}"/>
    <cellStyle name="Explanatory Text 63" xfId="2649" xr:uid="{00000000-0005-0000-0000-0000024E0000}"/>
    <cellStyle name="Explanatory Text 64" xfId="2650" xr:uid="{00000000-0005-0000-0000-0000034E0000}"/>
    <cellStyle name="Explanatory Text 65" xfId="2651" xr:uid="{00000000-0005-0000-0000-0000044E0000}"/>
    <cellStyle name="Explanatory Text 66" xfId="2652" xr:uid="{00000000-0005-0000-0000-0000054E0000}"/>
    <cellStyle name="Explanatory Text 67" xfId="2653" xr:uid="{00000000-0005-0000-0000-0000064E0000}"/>
    <cellStyle name="Explanatory Text 68" xfId="2654" xr:uid="{00000000-0005-0000-0000-0000074E0000}"/>
    <cellStyle name="Explanatory Text 69" xfId="2655" xr:uid="{00000000-0005-0000-0000-0000084E0000}"/>
    <cellStyle name="Explanatory Text 7" xfId="2656" xr:uid="{00000000-0005-0000-0000-0000094E0000}"/>
    <cellStyle name="Explanatory Text 70" xfId="2657" xr:uid="{00000000-0005-0000-0000-00000A4E0000}"/>
    <cellStyle name="Explanatory Text 71" xfId="2658" xr:uid="{00000000-0005-0000-0000-00000B4E0000}"/>
    <cellStyle name="Explanatory Text 72" xfId="2659" xr:uid="{00000000-0005-0000-0000-00000C4E0000}"/>
    <cellStyle name="Explanatory Text 8" xfId="2660" xr:uid="{00000000-0005-0000-0000-00000D4E0000}"/>
    <cellStyle name="Explanatory Text 9" xfId="2661" xr:uid="{00000000-0005-0000-0000-00000E4E0000}"/>
    <cellStyle name="F2" xfId="561" xr:uid="{00000000-0005-0000-0000-00000F4E0000}"/>
    <cellStyle name="F2 2" xfId="24088" xr:uid="{00000000-0005-0000-0000-0000104E0000}"/>
    <cellStyle name="F2 3" xfId="23912" xr:uid="{00000000-0005-0000-0000-0000114E0000}"/>
    <cellStyle name="F3" xfId="562" xr:uid="{00000000-0005-0000-0000-0000124E0000}"/>
    <cellStyle name="F3 2" xfId="24089" xr:uid="{00000000-0005-0000-0000-0000134E0000}"/>
    <cellStyle name="F3 3" xfId="23913" xr:uid="{00000000-0005-0000-0000-0000144E0000}"/>
    <cellStyle name="F4" xfId="563" xr:uid="{00000000-0005-0000-0000-0000154E0000}"/>
    <cellStyle name="F4 2" xfId="24090" xr:uid="{00000000-0005-0000-0000-0000164E0000}"/>
    <cellStyle name="F4 3" xfId="23914" xr:uid="{00000000-0005-0000-0000-0000174E0000}"/>
    <cellStyle name="F5" xfId="564" xr:uid="{00000000-0005-0000-0000-0000184E0000}"/>
    <cellStyle name="F5 2" xfId="24091" xr:uid="{00000000-0005-0000-0000-0000194E0000}"/>
    <cellStyle name="F5 3" xfId="23915" xr:uid="{00000000-0005-0000-0000-00001A4E0000}"/>
    <cellStyle name="F6" xfId="565" xr:uid="{00000000-0005-0000-0000-00001B4E0000}"/>
    <cellStyle name="F6 2" xfId="24092" xr:uid="{00000000-0005-0000-0000-00001C4E0000}"/>
    <cellStyle name="F6 3" xfId="23916" xr:uid="{00000000-0005-0000-0000-00001D4E0000}"/>
    <cellStyle name="F7" xfId="566" xr:uid="{00000000-0005-0000-0000-00001E4E0000}"/>
    <cellStyle name="F7 2" xfId="24093" xr:uid="{00000000-0005-0000-0000-00001F4E0000}"/>
    <cellStyle name="F7 3" xfId="23917" xr:uid="{00000000-0005-0000-0000-0000204E0000}"/>
    <cellStyle name="F8" xfId="567" xr:uid="{00000000-0005-0000-0000-0000214E0000}"/>
    <cellStyle name="F8 2" xfId="24094" xr:uid="{00000000-0005-0000-0000-0000224E0000}"/>
    <cellStyle name="F8 3" xfId="23918" xr:uid="{00000000-0005-0000-0000-0000234E0000}"/>
    <cellStyle name="Fixed" xfId="36" xr:uid="{00000000-0005-0000-0000-0000244E0000}"/>
    <cellStyle name="Fixed 2" xfId="405" xr:uid="{00000000-0005-0000-0000-0000254E0000}"/>
    <cellStyle name="Fixed 2 2" xfId="24095" xr:uid="{00000000-0005-0000-0000-0000264E0000}"/>
    <cellStyle name="Fixed 3" xfId="382" xr:uid="{00000000-0005-0000-0000-0000274E0000}"/>
    <cellStyle name="Fixed 4" xfId="23919" xr:uid="{00000000-0005-0000-0000-0000284E0000}"/>
    <cellStyle name="Fixlong" xfId="568" xr:uid="{00000000-0005-0000-0000-0000294E0000}"/>
    <cellStyle name="Followed Hyperlink" xfId="4621" builtinId="9" customBuiltin="1"/>
    <cellStyle name="Followed Hyperlink 2" xfId="2662" xr:uid="{00000000-0005-0000-0000-00002B4E0000}"/>
    <cellStyle name="Followed Hyperlink 3" xfId="2663" xr:uid="{00000000-0005-0000-0000-00002C4E0000}"/>
    <cellStyle name="Formula" xfId="569" xr:uid="{00000000-0005-0000-0000-00002D4E0000}"/>
    <cellStyle name="Formula 2" xfId="24096" xr:uid="{00000000-0005-0000-0000-00002E4E0000}"/>
    <cellStyle name="Formula 2 2" xfId="24774" xr:uid="{00000000-0005-0000-0000-00002F4E0000}"/>
    <cellStyle name="Formula 3" xfId="24861" xr:uid="{00000000-0005-0000-0000-0000304E0000}"/>
    <cellStyle name="General" xfId="37" xr:uid="{00000000-0005-0000-0000-0000314E0000}"/>
    <cellStyle name="Good 10" xfId="2664" xr:uid="{00000000-0005-0000-0000-0000324E0000}"/>
    <cellStyle name="Good 11" xfId="2665" xr:uid="{00000000-0005-0000-0000-0000334E0000}"/>
    <cellStyle name="Good 12" xfId="2666" xr:uid="{00000000-0005-0000-0000-0000344E0000}"/>
    <cellStyle name="Good 13" xfId="2667" xr:uid="{00000000-0005-0000-0000-0000354E0000}"/>
    <cellStyle name="Good 14" xfId="2668" xr:uid="{00000000-0005-0000-0000-0000364E0000}"/>
    <cellStyle name="Good 15" xfId="2669" xr:uid="{00000000-0005-0000-0000-0000374E0000}"/>
    <cellStyle name="Good 16" xfId="2670" xr:uid="{00000000-0005-0000-0000-0000384E0000}"/>
    <cellStyle name="Good 17" xfId="2671" xr:uid="{00000000-0005-0000-0000-0000394E0000}"/>
    <cellStyle name="Good 18" xfId="2672" xr:uid="{00000000-0005-0000-0000-00003A4E0000}"/>
    <cellStyle name="Good 19" xfId="2673" xr:uid="{00000000-0005-0000-0000-00003B4E0000}"/>
    <cellStyle name="Good 2" xfId="2674" xr:uid="{00000000-0005-0000-0000-00003C4E0000}"/>
    <cellStyle name="Good 2 2" xfId="24099" xr:uid="{00000000-0005-0000-0000-00003D4E0000}"/>
    <cellStyle name="Good 2 3" xfId="24098" xr:uid="{00000000-0005-0000-0000-00003E4E0000}"/>
    <cellStyle name="Good 20" xfId="2675" xr:uid="{00000000-0005-0000-0000-00003F4E0000}"/>
    <cellStyle name="Good 21" xfId="2676" xr:uid="{00000000-0005-0000-0000-0000404E0000}"/>
    <cellStyle name="Good 22" xfId="2677" xr:uid="{00000000-0005-0000-0000-0000414E0000}"/>
    <cellStyle name="Good 23" xfId="2678" xr:uid="{00000000-0005-0000-0000-0000424E0000}"/>
    <cellStyle name="Good 24" xfId="2679" xr:uid="{00000000-0005-0000-0000-0000434E0000}"/>
    <cellStyle name="Good 25" xfId="2680" xr:uid="{00000000-0005-0000-0000-0000444E0000}"/>
    <cellStyle name="Good 26" xfId="2681" xr:uid="{00000000-0005-0000-0000-0000454E0000}"/>
    <cellStyle name="Good 27" xfId="2682" xr:uid="{00000000-0005-0000-0000-0000464E0000}"/>
    <cellStyle name="Good 28" xfId="2683" xr:uid="{00000000-0005-0000-0000-0000474E0000}"/>
    <cellStyle name="Good 29" xfId="2684" xr:uid="{00000000-0005-0000-0000-0000484E0000}"/>
    <cellStyle name="Good 3" xfId="2685" xr:uid="{00000000-0005-0000-0000-0000494E0000}"/>
    <cellStyle name="Good 3 2" xfId="24100" xr:uid="{00000000-0005-0000-0000-00004A4E0000}"/>
    <cellStyle name="Good 30" xfId="2686" xr:uid="{00000000-0005-0000-0000-00004B4E0000}"/>
    <cellStyle name="Good 31" xfId="2687" xr:uid="{00000000-0005-0000-0000-00004C4E0000}"/>
    <cellStyle name="Good 32" xfId="2688" xr:uid="{00000000-0005-0000-0000-00004D4E0000}"/>
    <cellStyle name="Good 33" xfId="2689" xr:uid="{00000000-0005-0000-0000-00004E4E0000}"/>
    <cellStyle name="Good 34" xfId="2690" xr:uid="{00000000-0005-0000-0000-00004F4E0000}"/>
    <cellStyle name="Good 35" xfId="2691" xr:uid="{00000000-0005-0000-0000-0000504E0000}"/>
    <cellStyle name="Good 36" xfId="2692" xr:uid="{00000000-0005-0000-0000-0000514E0000}"/>
    <cellStyle name="Good 37" xfId="2693" xr:uid="{00000000-0005-0000-0000-0000524E0000}"/>
    <cellStyle name="Good 38" xfId="2694" xr:uid="{00000000-0005-0000-0000-0000534E0000}"/>
    <cellStyle name="Good 39" xfId="2695" xr:uid="{00000000-0005-0000-0000-0000544E0000}"/>
    <cellStyle name="Good 4" xfId="2696" xr:uid="{00000000-0005-0000-0000-0000554E0000}"/>
    <cellStyle name="Good 4 2" xfId="24101" xr:uid="{00000000-0005-0000-0000-0000564E0000}"/>
    <cellStyle name="Good 40" xfId="2697" xr:uid="{00000000-0005-0000-0000-0000574E0000}"/>
    <cellStyle name="Good 41" xfId="2698" xr:uid="{00000000-0005-0000-0000-0000584E0000}"/>
    <cellStyle name="Good 42" xfId="2699" xr:uid="{00000000-0005-0000-0000-0000594E0000}"/>
    <cellStyle name="Good 43" xfId="2700" xr:uid="{00000000-0005-0000-0000-00005A4E0000}"/>
    <cellStyle name="Good 44" xfId="2701" xr:uid="{00000000-0005-0000-0000-00005B4E0000}"/>
    <cellStyle name="Good 45" xfId="2702" xr:uid="{00000000-0005-0000-0000-00005C4E0000}"/>
    <cellStyle name="Good 46" xfId="2703" xr:uid="{00000000-0005-0000-0000-00005D4E0000}"/>
    <cellStyle name="Good 47" xfId="2704" xr:uid="{00000000-0005-0000-0000-00005E4E0000}"/>
    <cellStyle name="Good 48" xfId="2705" xr:uid="{00000000-0005-0000-0000-00005F4E0000}"/>
    <cellStyle name="Good 49" xfId="2706" xr:uid="{00000000-0005-0000-0000-0000604E0000}"/>
    <cellStyle name="Good 5" xfId="2707" xr:uid="{00000000-0005-0000-0000-0000614E0000}"/>
    <cellStyle name="Good 50" xfId="2708" xr:uid="{00000000-0005-0000-0000-0000624E0000}"/>
    <cellStyle name="Good 51" xfId="2709" xr:uid="{00000000-0005-0000-0000-0000634E0000}"/>
    <cellStyle name="Good 52" xfId="2710" xr:uid="{00000000-0005-0000-0000-0000644E0000}"/>
    <cellStyle name="Good 53" xfId="2711" xr:uid="{00000000-0005-0000-0000-0000654E0000}"/>
    <cellStyle name="Good 54" xfId="2712" xr:uid="{00000000-0005-0000-0000-0000664E0000}"/>
    <cellStyle name="Good 55" xfId="2713" xr:uid="{00000000-0005-0000-0000-0000674E0000}"/>
    <cellStyle name="Good 56" xfId="2714" xr:uid="{00000000-0005-0000-0000-0000684E0000}"/>
    <cellStyle name="Good 57" xfId="2715" xr:uid="{00000000-0005-0000-0000-0000694E0000}"/>
    <cellStyle name="Good 58" xfId="2716" xr:uid="{00000000-0005-0000-0000-00006A4E0000}"/>
    <cellStyle name="Good 59" xfId="2717" xr:uid="{00000000-0005-0000-0000-00006B4E0000}"/>
    <cellStyle name="Good 6" xfId="2718" xr:uid="{00000000-0005-0000-0000-00006C4E0000}"/>
    <cellStyle name="Good 60" xfId="2719" xr:uid="{00000000-0005-0000-0000-00006D4E0000}"/>
    <cellStyle name="Good 61" xfId="2720" xr:uid="{00000000-0005-0000-0000-00006E4E0000}"/>
    <cellStyle name="Good 62" xfId="2721" xr:uid="{00000000-0005-0000-0000-00006F4E0000}"/>
    <cellStyle name="Good 63" xfId="2722" xr:uid="{00000000-0005-0000-0000-0000704E0000}"/>
    <cellStyle name="Good 64" xfId="2723" xr:uid="{00000000-0005-0000-0000-0000714E0000}"/>
    <cellStyle name="Good 65" xfId="2724" xr:uid="{00000000-0005-0000-0000-0000724E0000}"/>
    <cellStyle name="Good 66" xfId="2725" xr:uid="{00000000-0005-0000-0000-0000734E0000}"/>
    <cellStyle name="Good 67" xfId="2726" xr:uid="{00000000-0005-0000-0000-0000744E0000}"/>
    <cellStyle name="Good 68" xfId="2727" xr:uid="{00000000-0005-0000-0000-0000754E0000}"/>
    <cellStyle name="Good 69" xfId="2728" xr:uid="{00000000-0005-0000-0000-0000764E0000}"/>
    <cellStyle name="Good 7" xfId="2729" xr:uid="{00000000-0005-0000-0000-0000774E0000}"/>
    <cellStyle name="Good 70" xfId="2730" xr:uid="{00000000-0005-0000-0000-0000784E0000}"/>
    <cellStyle name="Good 71" xfId="2731" xr:uid="{00000000-0005-0000-0000-0000794E0000}"/>
    <cellStyle name="Good 72" xfId="2732" xr:uid="{00000000-0005-0000-0000-00007A4E0000}"/>
    <cellStyle name="Good 8" xfId="2733" xr:uid="{00000000-0005-0000-0000-00007B4E0000}"/>
    <cellStyle name="Good 9" xfId="2734" xr:uid="{00000000-0005-0000-0000-00007C4E0000}"/>
    <cellStyle name="Grey" xfId="38" xr:uid="{00000000-0005-0000-0000-00007D4E0000}"/>
    <cellStyle name="header" xfId="39" xr:uid="{00000000-0005-0000-0000-00007E4E0000}"/>
    <cellStyle name="Header1" xfId="40" xr:uid="{00000000-0005-0000-0000-00007F4E0000}"/>
    <cellStyle name="Header2" xfId="41" xr:uid="{00000000-0005-0000-0000-0000804E0000}"/>
    <cellStyle name="Header2 2" xfId="383" xr:uid="{00000000-0005-0000-0000-0000814E0000}"/>
    <cellStyle name="Header2 2 2" xfId="13782" xr:uid="{00000000-0005-0000-0000-0000824E0000}"/>
    <cellStyle name="Header2 2 2 2" xfId="25376" xr:uid="{00000000-0005-0000-0000-0000834E0000}"/>
    <cellStyle name="Header2 2 3" xfId="25280" xr:uid="{00000000-0005-0000-0000-0000844E0000}"/>
    <cellStyle name="Header2 3" xfId="13607" xr:uid="{00000000-0005-0000-0000-0000854E0000}"/>
    <cellStyle name="Header2 3 2" xfId="25374" xr:uid="{00000000-0005-0000-0000-0000864E0000}"/>
    <cellStyle name="Header2 4" xfId="24857" xr:uid="{00000000-0005-0000-0000-0000874E0000}"/>
    <cellStyle name="Heading 1 10" xfId="2735" xr:uid="{00000000-0005-0000-0000-0000884E0000}"/>
    <cellStyle name="Heading 1 11" xfId="2736" xr:uid="{00000000-0005-0000-0000-0000894E0000}"/>
    <cellStyle name="Heading 1 12" xfId="2737" xr:uid="{00000000-0005-0000-0000-00008A4E0000}"/>
    <cellStyle name="Heading 1 13" xfId="2738" xr:uid="{00000000-0005-0000-0000-00008B4E0000}"/>
    <cellStyle name="Heading 1 14" xfId="2739" xr:uid="{00000000-0005-0000-0000-00008C4E0000}"/>
    <cellStyle name="Heading 1 15" xfId="2740" xr:uid="{00000000-0005-0000-0000-00008D4E0000}"/>
    <cellStyle name="Heading 1 16" xfId="2741" xr:uid="{00000000-0005-0000-0000-00008E4E0000}"/>
    <cellStyle name="Heading 1 17" xfId="2742" xr:uid="{00000000-0005-0000-0000-00008F4E0000}"/>
    <cellStyle name="Heading 1 18" xfId="2743" xr:uid="{00000000-0005-0000-0000-0000904E0000}"/>
    <cellStyle name="Heading 1 19" xfId="2744" xr:uid="{00000000-0005-0000-0000-0000914E0000}"/>
    <cellStyle name="Heading 1 2" xfId="42" xr:uid="{00000000-0005-0000-0000-0000924E0000}"/>
    <cellStyle name="Heading 1 2 2" xfId="2745" xr:uid="{00000000-0005-0000-0000-0000934E0000}"/>
    <cellStyle name="Heading 1 2 2 2" xfId="24104" xr:uid="{00000000-0005-0000-0000-0000944E0000}"/>
    <cellStyle name="Heading 1 2 3" xfId="13608" xr:uid="{00000000-0005-0000-0000-0000954E0000}"/>
    <cellStyle name="Heading 1 2 4" xfId="24103" xr:uid="{00000000-0005-0000-0000-0000964E0000}"/>
    <cellStyle name="Heading 1 20" xfId="2746" xr:uid="{00000000-0005-0000-0000-0000974E0000}"/>
    <cellStyle name="Heading 1 21" xfId="2747" xr:uid="{00000000-0005-0000-0000-0000984E0000}"/>
    <cellStyle name="Heading 1 22" xfId="2748" xr:uid="{00000000-0005-0000-0000-0000994E0000}"/>
    <cellStyle name="Heading 1 23" xfId="2749" xr:uid="{00000000-0005-0000-0000-00009A4E0000}"/>
    <cellStyle name="Heading 1 24" xfId="2750" xr:uid="{00000000-0005-0000-0000-00009B4E0000}"/>
    <cellStyle name="Heading 1 25" xfId="2751" xr:uid="{00000000-0005-0000-0000-00009C4E0000}"/>
    <cellStyle name="Heading 1 26" xfId="2752" xr:uid="{00000000-0005-0000-0000-00009D4E0000}"/>
    <cellStyle name="Heading 1 27" xfId="2753" xr:uid="{00000000-0005-0000-0000-00009E4E0000}"/>
    <cellStyle name="Heading 1 28" xfId="2754" xr:uid="{00000000-0005-0000-0000-00009F4E0000}"/>
    <cellStyle name="Heading 1 29" xfId="2755" xr:uid="{00000000-0005-0000-0000-0000A04E0000}"/>
    <cellStyle name="Heading 1 3" xfId="2756" xr:uid="{00000000-0005-0000-0000-0000A14E0000}"/>
    <cellStyle name="Heading 1 3 2" xfId="24105" xr:uid="{00000000-0005-0000-0000-0000A24E0000}"/>
    <cellStyle name="Heading 1 30" xfId="2757" xr:uid="{00000000-0005-0000-0000-0000A34E0000}"/>
    <cellStyle name="Heading 1 31" xfId="2758" xr:uid="{00000000-0005-0000-0000-0000A44E0000}"/>
    <cellStyle name="Heading 1 32" xfId="2759" xr:uid="{00000000-0005-0000-0000-0000A54E0000}"/>
    <cellStyle name="Heading 1 33" xfId="2760" xr:uid="{00000000-0005-0000-0000-0000A64E0000}"/>
    <cellStyle name="Heading 1 34" xfId="2761" xr:uid="{00000000-0005-0000-0000-0000A74E0000}"/>
    <cellStyle name="Heading 1 35" xfId="2762" xr:uid="{00000000-0005-0000-0000-0000A84E0000}"/>
    <cellStyle name="Heading 1 36" xfId="2763" xr:uid="{00000000-0005-0000-0000-0000A94E0000}"/>
    <cellStyle name="Heading 1 37" xfId="2764" xr:uid="{00000000-0005-0000-0000-0000AA4E0000}"/>
    <cellStyle name="Heading 1 38" xfId="2765" xr:uid="{00000000-0005-0000-0000-0000AB4E0000}"/>
    <cellStyle name="Heading 1 39" xfId="2766" xr:uid="{00000000-0005-0000-0000-0000AC4E0000}"/>
    <cellStyle name="Heading 1 4" xfId="2767" xr:uid="{00000000-0005-0000-0000-0000AD4E0000}"/>
    <cellStyle name="Heading 1 4 2" xfId="24106" xr:uid="{00000000-0005-0000-0000-0000AE4E0000}"/>
    <cellStyle name="Heading 1 40" xfId="2768" xr:uid="{00000000-0005-0000-0000-0000AF4E0000}"/>
    <cellStyle name="Heading 1 41" xfId="2769" xr:uid="{00000000-0005-0000-0000-0000B04E0000}"/>
    <cellStyle name="Heading 1 42" xfId="2770" xr:uid="{00000000-0005-0000-0000-0000B14E0000}"/>
    <cellStyle name="Heading 1 43" xfId="2771" xr:uid="{00000000-0005-0000-0000-0000B24E0000}"/>
    <cellStyle name="Heading 1 44" xfId="2772" xr:uid="{00000000-0005-0000-0000-0000B34E0000}"/>
    <cellStyle name="Heading 1 45" xfId="2773" xr:uid="{00000000-0005-0000-0000-0000B44E0000}"/>
    <cellStyle name="Heading 1 46" xfId="2774" xr:uid="{00000000-0005-0000-0000-0000B54E0000}"/>
    <cellStyle name="Heading 1 47" xfId="2775" xr:uid="{00000000-0005-0000-0000-0000B64E0000}"/>
    <cellStyle name="Heading 1 48" xfId="2776" xr:uid="{00000000-0005-0000-0000-0000B74E0000}"/>
    <cellStyle name="Heading 1 49" xfId="2777" xr:uid="{00000000-0005-0000-0000-0000B84E0000}"/>
    <cellStyle name="Heading 1 5" xfId="2778" xr:uid="{00000000-0005-0000-0000-0000B94E0000}"/>
    <cellStyle name="Heading 1 50" xfId="2779" xr:uid="{00000000-0005-0000-0000-0000BA4E0000}"/>
    <cellStyle name="Heading 1 51" xfId="2780" xr:uid="{00000000-0005-0000-0000-0000BB4E0000}"/>
    <cellStyle name="Heading 1 52" xfId="2781" xr:uid="{00000000-0005-0000-0000-0000BC4E0000}"/>
    <cellStyle name="Heading 1 53" xfId="2782" xr:uid="{00000000-0005-0000-0000-0000BD4E0000}"/>
    <cellStyle name="Heading 1 54" xfId="2783" xr:uid="{00000000-0005-0000-0000-0000BE4E0000}"/>
    <cellStyle name="Heading 1 55" xfId="2784" xr:uid="{00000000-0005-0000-0000-0000BF4E0000}"/>
    <cellStyle name="Heading 1 56" xfId="2785" xr:uid="{00000000-0005-0000-0000-0000C04E0000}"/>
    <cellStyle name="Heading 1 57" xfId="2786" xr:uid="{00000000-0005-0000-0000-0000C14E0000}"/>
    <cellStyle name="Heading 1 58" xfId="2787" xr:uid="{00000000-0005-0000-0000-0000C24E0000}"/>
    <cellStyle name="Heading 1 59" xfId="2788" xr:uid="{00000000-0005-0000-0000-0000C34E0000}"/>
    <cellStyle name="Heading 1 6" xfId="2789" xr:uid="{00000000-0005-0000-0000-0000C44E0000}"/>
    <cellStyle name="Heading 1 60" xfId="2790" xr:uid="{00000000-0005-0000-0000-0000C54E0000}"/>
    <cellStyle name="Heading 1 61" xfId="2791" xr:uid="{00000000-0005-0000-0000-0000C64E0000}"/>
    <cellStyle name="Heading 1 62" xfId="2792" xr:uid="{00000000-0005-0000-0000-0000C74E0000}"/>
    <cellStyle name="Heading 1 63" xfId="2793" xr:uid="{00000000-0005-0000-0000-0000C84E0000}"/>
    <cellStyle name="Heading 1 64" xfId="2794" xr:uid="{00000000-0005-0000-0000-0000C94E0000}"/>
    <cellStyle name="Heading 1 65" xfId="2795" xr:uid="{00000000-0005-0000-0000-0000CA4E0000}"/>
    <cellStyle name="Heading 1 66" xfId="2796" xr:uid="{00000000-0005-0000-0000-0000CB4E0000}"/>
    <cellStyle name="Heading 1 67" xfId="2797" xr:uid="{00000000-0005-0000-0000-0000CC4E0000}"/>
    <cellStyle name="Heading 1 68" xfId="2798" xr:uid="{00000000-0005-0000-0000-0000CD4E0000}"/>
    <cellStyle name="Heading 1 69" xfId="2799" xr:uid="{00000000-0005-0000-0000-0000CE4E0000}"/>
    <cellStyle name="Heading 1 7" xfId="2800" xr:uid="{00000000-0005-0000-0000-0000CF4E0000}"/>
    <cellStyle name="Heading 1 70" xfId="2801" xr:uid="{00000000-0005-0000-0000-0000D04E0000}"/>
    <cellStyle name="Heading 1 71" xfId="2802" xr:uid="{00000000-0005-0000-0000-0000D14E0000}"/>
    <cellStyle name="Heading 1 72" xfId="2803" xr:uid="{00000000-0005-0000-0000-0000D24E0000}"/>
    <cellStyle name="Heading 1 73" xfId="23920" xr:uid="{00000000-0005-0000-0000-0000D34E0000}"/>
    <cellStyle name="Heading 1 8" xfId="2804" xr:uid="{00000000-0005-0000-0000-0000D44E0000}"/>
    <cellStyle name="Heading 1 9" xfId="2805" xr:uid="{00000000-0005-0000-0000-0000D54E0000}"/>
    <cellStyle name="Heading 2 10" xfId="2806" xr:uid="{00000000-0005-0000-0000-0000D64E0000}"/>
    <cellStyle name="Heading 2 11" xfId="2807" xr:uid="{00000000-0005-0000-0000-0000D74E0000}"/>
    <cellStyle name="Heading 2 12" xfId="2808" xr:uid="{00000000-0005-0000-0000-0000D84E0000}"/>
    <cellStyle name="Heading 2 13" xfId="2809" xr:uid="{00000000-0005-0000-0000-0000D94E0000}"/>
    <cellStyle name="Heading 2 14" xfId="2810" xr:uid="{00000000-0005-0000-0000-0000DA4E0000}"/>
    <cellStyle name="Heading 2 15" xfId="2811" xr:uid="{00000000-0005-0000-0000-0000DB4E0000}"/>
    <cellStyle name="Heading 2 16" xfId="2812" xr:uid="{00000000-0005-0000-0000-0000DC4E0000}"/>
    <cellStyle name="Heading 2 17" xfId="2813" xr:uid="{00000000-0005-0000-0000-0000DD4E0000}"/>
    <cellStyle name="Heading 2 18" xfId="2814" xr:uid="{00000000-0005-0000-0000-0000DE4E0000}"/>
    <cellStyle name="Heading 2 19" xfId="2815" xr:uid="{00000000-0005-0000-0000-0000DF4E0000}"/>
    <cellStyle name="Heading 2 2" xfId="43" xr:uid="{00000000-0005-0000-0000-0000E04E0000}"/>
    <cellStyle name="Heading 2 2 2" xfId="2816" xr:uid="{00000000-0005-0000-0000-0000E14E0000}"/>
    <cellStyle name="Heading 2 2 2 2" xfId="24108" xr:uid="{00000000-0005-0000-0000-0000E24E0000}"/>
    <cellStyle name="Heading 2 2 3" xfId="13609" xr:uid="{00000000-0005-0000-0000-0000E34E0000}"/>
    <cellStyle name="Heading 2 2 4" xfId="24107" xr:uid="{00000000-0005-0000-0000-0000E44E0000}"/>
    <cellStyle name="Heading 2 20" xfId="2817" xr:uid="{00000000-0005-0000-0000-0000E54E0000}"/>
    <cellStyle name="Heading 2 21" xfId="2818" xr:uid="{00000000-0005-0000-0000-0000E64E0000}"/>
    <cellStyle name="Heading 2 22" xfId="2819" xr:uid="{00000000-0005-0000-0000-0000E74E0000}"/>
    <cellStyle name="Heading 2 23" xfId="2820" xr:uid="{00000000-0005-0000-0000-0000E84E0000}"/>
    <cellStyle name="Heading 2 24" xfId="2821" xr:uid="{00000000-0005-0000-0000-0000E94E0000}"/>
    <cellStyle name="Heading 2 25" xfId="2822" xr:uid="{00000000-0005-0000-0000-0000EA4E0000}"/>
    <cellStyle name="Heading 2 26" xfId="2823" xr:uid="{00000000-0005-0000-0000-0000EB4E0000}"/>
    <cellStyle name="Heading 2 27" xfId="2824" xr:uid="{00000000-0005-0000-0000-0000EC4E0000}"/>
    <cellStyle name="Heading 2 28" xfId="2825" xr:uid="{00000000-0005-0000-0000-0000ED4E0000}"/>
    <cellStyle name="Heading 2 29" xfId="2826" xr:uid="{00000000-0005-0000-0000-0000EE4E0000}"/>
    <cellStyle name="Heading 2 3" xfId="2827" xr:uid="{00000000-0005-0000-0000-0000EF4E0000}"/>
    <cellStyle name="Heading 2 3 2" xfId="24109" xr:uid="{00000000-0005-0000-0000-0000F04E0000}"/>
    <cellStyle name="Heading 2 30" xfId="2828" xr:uid="{00000000-0005-0000-0000-0000F14E0000}"/>
    <cellStyle name="Heading 2 31" xfId="2829" xr:uid="{00000000-0005-0000-0000-0000F24E0000}"/>
    <cellStyle name="Heading 2 32" xfId="2830" xr:uid="{00000000-0005-0000-0000-0000F34E0000}"/>
    <cellStyle name="Heading 2 33" xfId="2831" xr:uid="{00000000-0005-0000-0000-0000F44E0000}"/>
    <cellStyle name="Heading 2 34" xfId="2832" xr:uid="{00000000-0005-0000-0000-0000F54E0000}"/>
    <cellStyle name="Heading 2 35" xfId="2833" xr:uid="{00000000-0005-0000-0000-0000F64E0000}"/>
    <cellStyle name="Heading 2 36" xfId="2834" xr:uid="{00000000-0005-0000-0000-0000F74E0000}"/>
    <cellStyle name="Heading 2 37" xfId="2835" xr:uid="{00000000-0005-0000-0000-0000F84E0000}"/>
    <cellStyle name="Heading 2 38" xfId="2836" xr:uid="{00000000-0005-0000-0000-0000F94E0000}"/>
    <cellStyle name="Heading 2 39" xfId="2837" xr:uid="{00000000-0005-0000-0000-0000FA4E0000}"/>
    <cellStyle name="Heading 2 4" xfId="2838" xr:uid="{00000000-0005-0000-0000-0000FB4E0000}"/>
    <cellStyle name="Heading 2 4 2" xfId="24110" xr:uid="{00000000-0005-0000-0000-0000FC4E0000}"/>
    <cellStyle name="Heading 2 40" xfId="2839" xr:uid="{00000000-0005-0000-0000-0000FD4E0000}"/>
    <cellStyle name="Heading 2 41" xfId="2840" xr:uid="{00000000-0005-0000-0000-0000FE4E0000}"/>
    <cellStyle name="Heading 2 42" xfId="2841" xr:uid="{00000000-0005-0000-0000-0000FF4E0000}"/>
    <cellStyle name="Heading 2 43" xfId="2842" xr:uid="{00000000-0005-0000-0000-0000004F0000}"/>
    <cellStyle name="Heading 2 44" xfId="2843" xr:uid="{00000000-0005-0000-0000-0000014F0000}"/>
    <cellStyle name="Heading 2 45" xfId="2844" xr:uid="{00000000-0005-0000-0000-0000024F0000}"/>
    <cellStyle name="Heading 2 46" xfId="2845" xr:uid="{00000000-0005-0000-0000-0000034F0000}"/>
    <cellStyle name="Heading 2 47" xfId="2846" xr:uid="{00000000-0005-0000-0000-0000044F0000}"/>
    <cellStyle name="Heading 2 48" xfId="2847" xr:uid="{00000000-0005-0000-0000-0000054F0000}"/>
    <cellStyle name="Heading 2 49" xfId="2848" xr:uid="{00000000-0005-0000-0000-0000064F0000}"/>
    <cellStyle name="Heading 2 5" xfId="2849" xr:uid="{00000000-0005-0000-0000-0000074F0000}"/>
    <cellStyle name="Heading 2 50" xfId="2850" xr:uid="{00000000-0005-0000-0000-0000084F0000}"/>
    <cellStyle name="Heading 2 51" xfId="2851" xr:uid="{00000000-0005-0000-0000-0000094F0000}"/>
    <cellStyle name="Heading 2 52" xfId="2852" xr:uid="{00000000-0005-0000-0000-00000A4F0000}"/>
    <cellStyle name="Heading 2 53" xfId="2853" xr:uid="{00000000-0005-0000-0000-00000B4F0000}"/>
    <cellStyle name="Heading 2 54" xfId="2854" xr:uid="{00000000-0005-0000-0000-00000C4F0000}"/>
    <cellStyle name="Heading 2 55" xfId="2855" xr:uid="{00000000-0005-0000-0000-00000D4F0000}"/>
    <cellStyle name="Heading 2 56" xfId="2856" xr:uid="{00000000-0005-0000-0000-00000E4F0000}"/>
    <cellStyle name="Heading 2 57" xfId="2857" xr:uid="{00000000-0005-0000-0000-00000F4F0000}"/>
    <cellStyle name="Heading 2 58" xfId="2858" xr:uid="{00000000-0005-0000-0000-0000104F0000}"/>
    <cellStyle name="Heading 2 59" xfId="2859" xr:uid="{00000000-0005-0000-0000-0000114F0000}"/>
    <cellStyle name="Heading 2 6" xfId="2860" xr:uid="{00000000-0005-0000-0000-0000124F0000}"/>
    <cellStyle name="Heading 2 60" xfId="2861" xr:uid="{00000000-0005-0000-0000-0000134F0000}"/>
    <cellStyle name="Heading 2 61" xfId="2862" xr:uid="{00000000-0005-0000-0000-0000144F0000}"/>
    <cellStyle name="Heading 2 62" xfId="2863" xr:uid="{00000000-0005-0000-0000-0000154F0000}"/>
    <cellStyle name="Heading 2 63" xfId="2864" xr:uid="{00000000-0005-0000-0000-0000164F0000}"/>
    <cellStyle name="Heading 2 64" xfId="2865" xr:uid="{00000000-0005-0000-0000-0000174F0000}"/>
    <cellStyle name="Heading 2 65" xfId="2866" xr:uid="{00000000-0005-0000-0000-0000184F0000}"/>
    <cellStyle name="Heading 2 66" xfId="2867" xr:uid="{00000000-0005-0000-0000-0000194F0000}"/>
    <cellStyle name="Heading 2 67" xfId="2868" xr:uid="{00000000-0005-0000-0000-00001A4F0000}"/>
    <cellStyle name="Heading 2 68" xfId="2869" xr:uid="{00000000-0005-0000-0000-00001B4F0000}"/>
    <cellStyle name="Heading 2 69" xfId="2870" xr:uid="{00000000-0005-0000-0000-00001C4F0000}"/>
    <cellStyle name="Heading 2 7" xfId="2871" xr:uid="{00000000-0005-0000-0000-00001D4F0000}"/>
    <cellStyle name="Heading 2 70" xfId="2872" xr:uid="{00000000-0005-0000-0000-00001E4F0000}"/>
    <cellStyle name="Heading 2 71" xfId="2873" xr:uid="{00000000-0005-0000-0000-00001F4F0000}"/>
    <cellStyle name="Heading 2 72" xfId="2874" xr:uid="{00000000-0005-0000-0000-0000204F0000}"/>
    <cellStyle name="Heading 2 73" xfId="23921" xr:uid="{00000000-0005-0000-0000-0000214F0000}"/>
    <cellStyle name="Heading 2 8" xfId="2875" xr:uid="{00000000-0005-0000-0000-0000224F0000}"/>
    <cellStyle name="Heading 2 9" xfId="2876" xr:uid="{00000000-0005-0000-0000-0000234F0000}"/>
    <cellStyle name="Heading 3 10" xfId="2877" xr:uid="{00000000-0005-0000-0000-0000244F0000}"/>
    <cellStyle name="Heading 3 11" xfId="2878" xr:uid="{00000000-0005-0000-0000-0000254F0000}"/>
    <cellStyle name="Heading 3 12" xfId="2879" xr:uid="{00000000-0005-0000-0000-0000264F0000}"/>
    <cellStyle name="Heading 3 13" xfId="2880" xr:uid="{00000000-0005-0000-0000-0000274F0000}"/>
    <cellStyle name="Heading 3 14" xfId="2881" xr:uid="{00000000-0005-0000-0000-0000284F0000}"/>
    <cellStyle name="Heading 3 15" xfId="2882" xr:uid="{00000000-0005-0000-0000-0000294F0000}"/>
    <cellStyle name="Heading 3 16" xfId="2883" xr:uid="{00000000-0005-0000-0000-00002A4F0000}"/>
    <cellStyle name="Heading 3 17" xfId="2884" xr:uid="{00000000-0005-0000-0000-00002B4F0000}"/>
    <cellStyle name="Heading 3 18" xfId="2885" xr:uid="{00000000-0005-0000-0000-00002C4F0000}"/>
    <cellStyle name="Heading 3 19" xfId="2886" xr:uid="{00000000-0005-0000-0000-00002D4F0000}"/>
    <cellStyle name="Heading 3 2" xfId="2887" xr:uid="{00000000-0005-0000-0000-00002E4F0000}"/>
    <cellStyle name="Heading 3 2 2" xfId="24112" xr:uid="{00000000-0005-0000-0000-00002F4F0000}"/>
    <cellStyle name="Heading 3 2 3" xfId="24111" xr:uid="{00000000-0005-0000-0000-0000304F0000}"/>
    <cellStyle name="Heading 3 20" xfId="2888" xr:uid="{00000000-0005-0000-0000-0000314F0000}"/>
    <cellStyle name="Heading 3 21" xfId="2889" xr:uid="{00000000-0005-0000-0000-0000324F0000}"/>
    <cellStyle name="Heading 3 22" xfId="2890" xr:uid="{00000000-0005-0000-0000-0000334F0000}"/>
    <cellStyle name="Heading 3 23" xfId="2891" xr:uid="{00000000-0005-0000-0000-0000344F0000}"/>
    <cellStyle name="Heading 3 24" xfId="2892" xr:uid="{00000000-0005-0000-0000-0000354F0000}"/>
    <cellStyle name="Heading 3 25" xfId="2893" xr:uid="{00000000-0005-0000-0000-0000364F0000}"/>
    <cellStyle name="Heading 3 26" xfId="2894" xr:uid="{00000000-0005-0000-0000-0000374F0000}"/>
    <cellStyle name="Heading 3 27" xfId="2895" xr:uid="{00000000-0005-0000-0000-0000384F0000}"/>
    <cellStyle name="Heading 3 28" xfId="2896" xr:uid="{00000000-0005-0000-0000-0000394F0000}"/>
    <cellStyle name="Heading 3 29" xfId="2897" xr:uid="{00000000-0005-0000-0000-00003A4F0000}"/>
    <cellStyle name="Heading 3 3" xfId="2898" xr:uid="{00000000-0005-0000-0000-00003B4F0000}"/>
    <cellStyle name="Heading 3 3 2" xfId="24113" xr:uid="{00000000-0005-0000-0000-00003C4F0000}"/>
    <cellStyle name="Heading 3 30" xfId="2899" xr:uid="{00000000-0005-0000-0000-00003D4F0000}"/>
    <cellStyle name="Heading 3 31" xfId="2900" xr:uid="{00000000-0005-0000-0000-00003E4F0000}"/>
    <cellStyle name="Heading 3 32" xfId="2901" xr:uid="{00000000-0005-0000-0000-00003F4F0000}"/>
    <cellStyle name="Heading 3 33" xfId="2902" xr:uid="{00000000-0005-0000-0000-0000404F0000}"/>
    <cellStyle name="Heading 3 34" xfId="2903" xr:uid="{00000000-0005-0000-0000-0000414F0000}"/>
    <cellStyle name="Heading 3 35" xfId="2904" xr:uid="{00000000-0005-0000-0000-0000424F0000}"/>
    <cellStyle name="Heading 3 36" xfId="2905" xr:uid="{00000000-0005-0000-0000-0000434F0000}"/>
    <cellStyle name="Heading 3 37" xfId="2906" xr:uid="{00000000-0005-0000-0000-0000444F0000}"/>
    <cellStyle name="Heading 3 38" xfId="2907" xr:uid="{00000000-0005-0000-0000-0000454F0000}"/>
    <cellStyle name="Heading 3 39" xfId="2908" xr:uid="{00000000-0005-0000-0000-0000464F0000}"/>
    <cellStyle name="Heading 3 4" xfId="2909" xr:uid="{00000000-0005-0000-0000-0000474F0000}"/>
    <cellStyle name="Heading 3 4 2" xfId="24114" xr:uid="{00000000-0005-0000-0000-0000484F0000}"/>
    <cellStyle name="Heading 3 40" xfId="2910" xr:uid="{00000000-0005-0000-0000-0000494F0000}"/>
    <cellStyle name="Heading 3 41" xfId="2911" xr:uid="{00000000-0005-0000-0000-00004A4F0000}"/>
    <cellStyle name="Heading 3 42" xfId="2912" xr:uid="{00000000-0005-0000-0000-00004B4F0000}"/>
    <cellStyle name="Heading 3 43" xfId="2913" xr:uid="{00000000-0005-0000-0000-00004C4F0000}"/>
    <cellStyle name="Heading 3 44" xfId="2914" xr:uid="{00000000-0005-0000-0000-00004D4F0000}"/>
    <cellStyle name="Heading 3 45" xfId="2915" xr:uid="{00000000-0005-0000-0000-00004E4F0000}"/>
    <cellStyle name="Heading 3 46" xfId="2916" xr:uid="{00000000-0005-0000-0000-00004F4F0000}"/>
    <cellStyle name="Heading 3 47" xfId="2917" xr:uid="{00000000-0005-0000-0000-0000504F0000}"/>
    <cellStyle name="Heading 3 48" xfId="2918" xr:uid="{00000000-0005-0000-0000-0000514F0000}"/>
    <cellStyle name="Heading 3 49" xfId="2919" xr:uid="{00000000-0005-0000-0000-0000524F0000}"/>
    <cellStyle name="Heading 3 5" xfId="2920" xr:uid="{00000000-0005-0000-0000-0000534F0000}"/>
    <cellStyle name="Heading 3 50" xfId="2921" xr:uid="{00000000-0005-0000-0000-0000544F0000}"/>
    <cellStyle name="Heading 3 51" xfId="2922" xr:uid="{00000000-0005-0000-0000-0000554F0000}"/>
    <cellStyle name="Heading 3 52" xfId="2923" xr:uid="{00000000-0005-0000-0000-0000564F0000}"/>
    <cellStyle name="Heading 3 53" xfId="2924" xr:uid="{00000000-0005-0000-0000-0000574F0000}"/>
    <cellStyle name="Heading 3 54" xfId="2925" xr:uid="{00000000-0005-0000-0000-0000584F0000}"/>
    <cellStyle name="Heading 3 55" xfId="2926" xr:uid="{00000000-0005-0000-0000-0000594F0000}"/>
    <cellStyle name="Heading 3 56" xfId="2927" xr:uid="{00000000-0005-0000-0000-00005A4F0000}"/>
    <cellStyle name="Heading 3 57" xfId="2928" xr:uid="{00000000-0005-0000-0000-00005B4F0000}"/>
    <cellStyle name="Heading 3 58" xfId="2929" xr:uid="{00000000-0005-0000-0000-00005C4F0000}"/>
    <cellStyle name="Heading 3 59" xfId="2930" xr:uid="{00000000-0005-0000-0000-00005D4F0000}"/>
    <cellStyle name="Heading 3 6" xfId="2931" xr:uid="{00000000-0005-0000-0000-00005E4F0000}"/>
    <cellStyle name="Heading 3 60" xfId="2932" xr:uid="{00000000-0005-0000-0000-00005F4F0000}"/>
    <cellStyle name="Heading 3 61" xfId="2933" xr:uid="{00000000-0005-0000-0000-0000604F0000}"/>
    <cellStyle name="Heading 3 62" xfId="2934" xr:uid="{00000000-0005-0000-0000-0000614F0000}"/>
    <cellStyle name="Heading 3 63" xfId="2935" xr:uid="{00000000-0005-0000-0000-0000624F0000}"/>
    <cellStyle name="Heading 3 64" xfId="2936" xr:uid="{00000000-0005-0000-0000-0000634F0000}"/>
    <cellStyle name="Heading 3 65" xfId="2937" xr:uid="{00000000-0005-0000-0000-0000644F0000}"/>
    <cellStyle name="Heading 3 66" xfId="2938" xr:uid="{00000000-0005-0000-0000-0000654F0000}"/>
    <cellStyle name="Heading 3 67" xfId="2939" xr:uid="{00000000-0005-0000-0000-0000664F0000}"/>
    <cellStyle name="Heading 3 68" xfId="2940" xr:uid="{00000000-0005-0000-0000-0000674F0000}"/>
    <cellStyle name="Heading 3 69" xfId="2941" xr:uid="{00000000-0005-0000-0000-0000684F0000}"/>
    <cellStyle name="Heading 3 7" xfId="2942" xr:uid="{00000000-0005-0000-0000-0000694F0000}"/>
    <cellStyle name="Heading 3 70" xfId="2943" xr:uid="{00000000-0005-0000-0000-00006A4F0000}"/>
    <cellStyle name="Heading 3 71" xfId="2944" xr:uid="{00000000-0005-0000-0000-00006B4F0000}"/>
    <cellStyle name="Heading 3 72" xfId="2945" xr:uid="{00000000-0005-0000-0000-00006C4F0000}"/>
    <cellStyle name="Heading 3 8" xfId="2946" xr:uid="{00000000-0005-0000-0000-00006D4F0000}"/>
    <cellStyle name="Heading 3 9" xfId="2947" xr:uid="{00000000-0005-0000-0000-00006E4F0000}"/>
    <cellStyle name="Heading 4 10" xfId="2948" xr:uid="{00000000-0005-0000-0000-00006F4F0000}"/>
    <cellStyle name="Heading 4 11" xfId="2949" xr:uid="{00000000-0005-0000-0000-0000704F0000}"/>
    <cellStyle name="Heading 4 12" xfId="2950" xr:uid="{00000000-0005-0000-0000-0000714F0000}"/>
    <cellStyle name="Heading 4 13" xfId="2951" xr:uid="{00000000-0005-0000-0000-0000724F0000}"/>
    <cellStyle name="Heading 4 14" xfId="2952" xr:uid="{00000000-0005-0000-0000-0000734F0000}"/>
    <cellStyle name="Heading 4 15" xfId="2953" xr:uid="{00000000-0005-0000-0000-0000744F0000}"/>
    <cellStyle name="Heading 4 16" xfId="2954" xr:uid="{00000000-0005-0000-0000-0000754F0000}"/>
    <cellStyle name="Heading 4 17" xfId="2955" xr:uid="{00000000-0005-0000-0000-0000764F0000}"/>
    <cellStyle name="Heading 4 18" xfId="2956" xr:uid="{00000000-0005-0000-0000-0000774F0000}"/>
    <cellStyle name="Heading 4 19" xfId="2957" xr:uid="{00000000-0005-0000-0000-0000784F0000}"/>
    <cellStyle name="Heading 4 2" xfId="2958" xr:uid="{00000000-0005-0000-0000-0000794F0000}"/>
    <cellStyle name="Heading 4 2 2" xfId="24116" xr:uid="{00000000-0005-0000-0000-00007A4F0000}"/>
    <cellStyle name="Heading 4 2 3" xfId="24115" xr:uid="{00000000-0005-0000-0000-00007B4F0000}"/>
    <cellStyle name="Heading 4 20" xfId="2959" xr:uid="{00000000-0005-0000-0000-00007C4F0000}"/>
    <cellStyle name="Heading 4 21" xfId="2960" xr:uid="{00000000-0005-0000-0000-00007D4F0000}"/>
    <cellStyle name="Heading 4 22" xfId="2961" xr:uid="{00000000-0005-0000-0000-00007E4F0000}"/>
    <cellStyle name="Heading 4 23" xfId="2962" xr:uid="{00000000-0005-0000-0000-00007F4F0000}"/>
    <cellStyle name="Heading 4 24" xfId="2963" xr:uid="{00000000-0005-0000-0000-0000804F0000}"/>
    <cellStyle name="Heading 4 25" xfId="2964" xr:uid="{00000000-0005-0000-0000-0000814F0000}"/>
    <cellStyle name="Heading 4 26" xfId="2965" xr:uid="{00000000-0005-0000-0000-0000824F0000}"/>
    <cellStyle name="Heading 4 27" xfId="2966" xr:uid="{00000000-0005-0000-0000-0000834F0000}"/>
    <cellStyle name="Heading 4 28" xfId="2967" xr:uid="{00000000-0005-0000-0000-0000844F0000}"/>
    <cellStyle name="Heading 4 29" xfId="2968" xr:uid="{00000000-0005-0000-0000-0000854F0000}"/>
    <cellStyle name="Heading 4 3" xfId="2969" xr:uid="{00000000-0005-0000-0000-0000864F0000}"/>
    <cellStyle name="Heading 4 3 2" xfId="24117" xr:uid="{00000000-0005-0000-0000-0000874F0000}"/>
    <cellStyle name="Heading 4 30" xfId="2970" xr:uid="{00000000-0005-0000-0000-0000884F0000}"/>
    <cellStyle name="Heading 4 31" xfId="2971" xr:uid="{00000000-0005-0000-0000-0000894F0000}"/>
    <cellStyle name="Heading 4 32" xfId="2972" xr:uid="{00000000-0005-0000-0000-00008A4F0000}"/>
    <cellStyle name="Heading 4 33" xfId="2973" xr:uid="{00000000-0005-0000-0000-00008B4F0000}"/>
    <cellStyle name="Heading 4 34" xfId="2974" xr:uid="{00000000-0005-0000-0000-00008C4F0000}"/>
    <cellStyle name="Heading 4 35" xfId="2975" xr:uid="{00000000-0005-0000-0000-00008D4F0000}"/>
    <cellStyle name="Heading 4 36" xfId="2976" xr:uid="{00000000-0005-0000-0000-00008E4F0000}"/>
    <cellStyle name="Heading 4 37" xfId="2977" xr:uid="{00000000-0005-0000-0000-00008F4F0000}"/>
    <cellStyle name="Heading 4 38" xfId="2978" xr:uid="{00000000-0005-0000-0000-0000904F0000}"/>
    <cellStyle name="Heading 4 39" xfId="2979" xr:uid="{00000000-0005-0000-0000-0000914F0000}"/>
    <cellStyle name="Heading 4 4" xfId="2980" xr:uid="{00000000-0005-0000-0000-0000924F0000}"/>
    <cellStyle name="Heading 4 4 2" xfId="24118" xr:uid="{00000000-0005-0000-0000-0000934F0000}"/>
    <cellStyle name="Heading 4 40" xfId="2981" xr:uid="{00000000-0005-0000-0000-0000944F0000}"/>
    <cellStyle name="Heading 4 41" xfId="2982" xr:uid="{00000000-0005-0000-0000-0000954F0000}"/>
    <cellStyle name="Heading 4 42" xfId="2983" xr:uid="{00000000-0005-0000-0000-0000964F0000}"/>
    <cellStyle name="Heading 4 43" xfId="2984" xr:uid="{00000000-0005-0000-0000-0000974F0000}"/>
    <cellStyle name="Heading 4 44" xfId="2985" xr:uid="{00000000-0005-0000-0000-0000984F0000}"/>
    <cellStyle name="Heading 4 45" xfId="2986" xr:uid="{00000000-0005-0000-0000-0000994F0000}"/>
    <cellStyle name="Heading 4 46" xfId="2987" xr:uid="{00000000-0005-0000-0000-00009A4F0000}"/>
    <cellStyle name="Heading 4 47" xfId="2988" xr:uid="{00000000-0005-0000-0000-00009B4F0000}"/>
    <cellStyle name="Heading 4 48" xfId="2989" xr:uid="{00000000-0005-0000-0000-00009C4F0000}"/>
    <cellStyle name="Heading 4 49" xfId="2990" xr:uid="{00000000-0005-0000-0000-00009D4F0000}"/>
    <cellStyle name="Heading 4 5" xfId="2991" xr:uid="{00000000-0005-0000-0000-00009E4F0000}"/>
    <cellStyle name="Heading 4 50" xfId="2992" xr:uid="{00000000-0005-0000-0000-00009F4F0000}"/>
    <cellStyle name="Heading 4 51" xfId="2993" xr:uid="{00000000-0005-0000-0000-0000A04F0000}"/>
    <cellStyle name="Heading 4 52" xfId="2994" xr:uid="{00000000-0005-0000-0000-0000A14F0000}"/>
    <cellStyle name="Heading 4 53" xfId="2995" xr:uid="{00000000-0005-0000-0000-0000A24F0000}"/>
    <cellStyle name="Heading 4 54" xfId="2996" xr:uid="{00000000-0005-0000-0000-0000A34F0000}"/>
    <cellStyle name="Heading 4 55" xfId="2997" xr:uid="{00000000-0005-0000-0000-0000A44F0000}"/>
    <cellStyle name="Heading 4 56" xfId="2998" xr:uid="{00000000-0005-0000-0000-0000A54F0000}"/>
    <cellStyle name="Heading 4 57" xfId="2999" xr:uid="{00000000-0005-0000-0000-0000A64F0000}"/>
    <cellStyle name="Heading 4 58" xfId="3000" xr:uid="{00000000-0005-0000-0000-0000A74F0000}"/>
    <cellStyle name="Heading 4 59" xfId="3001" xr:uid="{00000000-0005-0000-0000-0000A84F0000}"/>
    <cellStyle name="Heading 4 6" xfId="3002" xr:uid="{00000000-0005-0000-0000-0000A94F0000}"/>
    <cellStyle name="Heading 4 60" xfId="3003" xr:uid="{00000000-0005-0000-0000-0000AA4F0000}"/>
    <cellStyle name="Heading 4 61" xfId="3004" xr:uid="{00000000-0005-0000-0000-0000AB4F0000}"/>
    <cellStyle name="Heading 4 62" xfId="3005" xr:uid="{00000000-0005-0000-0000-0000AC4F0000}"/>
    <cellStyle name="Heading 4 63" xfId="3006" xr:uid="{00000000-0005-0000-0000-0000AD4F0000}"/>
    <cellStyle name="Heading 4 64" xfId="3007" xr:uid="{00000000-0005-0000-0000-0000AE4F0000}"/>
    <cellStyle name="Heading 4 65" xfId="3008" xr:uid="{00000000-0005-0000-0000-0000AF4F0000}"/>
    <cellStyle name="Heading 4 66" xfId="3009" xr:uid="{00000000-0005-0000-0000-0000B04F0000}"/>
    <cellStyle name="Heading 4 67" xfId="3010" xr:uid="{00000000-0005-0000-0000-0000B14F0000}"/>
    <cellStyle name="Heading 4 68" xfId="3011" xr:uid="{00000000-0005-0000-0000-0000B24F0000}"/>
    <cellStyle name="Heading 4 69" xfId="3012" xr:uid="{00000000-0005-0000-0000-0000B34F0000}"/>
    <cellStyle name="Heading 4 7" xfId="3013" xr:uid="{00000000-0005-0000-0000-0000B44F0000}"/>
    <cellStyle name="Heading 4 70" xfId="3014" xr:uid="{00000000-0005-0000-0000-0000B54F0000}"/>
    <cellStyle name="Heading 4 71" xfId="3015" xr:uid="{00000000-0005-0000-0000-0000B64F0000}"/>
    <cellStyle name="Heading 4 72" xfId="3016" xr:uid="{00000000-0005-0000-0000-0000B74F0000}"/>
    <cellStyle name="Heading 4 8" xfId="3017" xr:uid="{00000000-0005-0000-0000-0000B84F0000}"/>
    <cellStyle name="Heading 4 9" xfId="3018" xr:uid="{00000000-0005-0000-0000-0000B94F0000}"/>
    <cellStyle name="HEADING1" xfId="570" xr:uid="{00000000-0005-0000-0000-0000BA4F0000}"/>
    <cellStyle name="HEADING2" xfId="571" xr:uid="{00000000-0005-0000-0000-0000BB4F0000}"/>
    <cellStyle name="HEADING2 2" xfId="24119" xr:uid="{00000000-0005-0000-0000-0000BC4F0000}"/>
    <cellStyle name="Hyperlink" xfId="4620" builtinId="8" customBuiltin="1"/>
    <cellStyle name="Hyperlink 2" xfId="645" xr:uid="{00000000-0005-0000-0000-0000BE4F0000}"/>
    <cellStyle name="Hyperlink 2 2" xfId="3019" xr:uid="{00000000-0005-0000-0000-0000BF4F0000}"/>
    <cellStyle name="Hyperlink 3" xfId="3020" xr:uid="{00000000-0005-0000-0000-0000C04F0000}"/>
    <cellStyle name="Hyperlink 4" xfId="23892" xr:uid="{00000000-0005-0000-0000-0000C14F0000}"/>
    <cellStyle name="Input [yellow]" xfId="44" xr:uid="{00000000-0005-0000-0000-0000C24F0000}"/>
    <cellStyle name="Input [yellow] 2" xfId="24553" xr:uid="{00000000-0005-0000-0000-0000C34F0000}"/>
    <cellStyle name="Input 10" xfId="189" xr:uid="{00000000-0005-0000-0000-0000C44F0000}"/>
    <cellStyle name="Input 10 2" xfId="3021" xr:uid="{00000000-0005-0000-0000-0000C54F0000}"/>
    <cellStyle name="Input 10 3" xfId="13690" xr:uid="{00000000-0005-0000-0000-0000C64F0000}"/>
    <cellStyle name="Input 11" xfId="190" xr:uid="{00000000-0005-0000-0000-0000C74F0000}"/>
    <cellStyle name="Input 11 2" xfId="3022" xr:uid="{00000000-0005-0000-0000-0000C84F0000}"/>
    <cellStyle name="Input 11 3" xfId="13691" xr:uid="{00000000-0005-0000-0000-0000C94F0000}"/>
    <cellStyle name="Input 12" xfId="191" xr:uid="{00000000-0005-0000-0000-0000CA4F0000}"/>
    <cellStyle name="Input 12 2" xfId="3023" xr:uid="{00000000-0005-0000-0000-0000CB4F0000}"/>
    <cellStyle name="Input 12 3" xfId="13692" xr:uid="{00000000-0005-0000-0000-0000CC4F0000}"/>
    <cellStyle name="Input 13" xfId="192" xr:uid="{00000000-0005-0000-0000-0000CD4F0000}"/>
    <cellStyle name="Input 13 2" xfId="3024" xr:uid="{00000000-0005-0000-0000-0000CE4F0000}"/>
    <cellStyle name="Input 13 3" xfId="13693" xr:uid="{00000000-0005-0000-0000-0000CF4F0000}"/>
    <cellStyle name="Input 14" xfId="193" xr:uid="{00000000-0005-0000-0000-0000D04F0000}"/>
    <cellStyle name="Input 14 2" xfId="3025" xr:uid="{00000000-0005-0000-0000-0000D14F0000}"/>
    <cellStyle name="Input 14 3" xfId="13694" xr:uid="{00000000-0005-0000-0000-0000D24F0000}"/>
    <cellStyle name="Input 15" xfId="284" xr:uid="{00000000-0005-0000-0000-0000D34F0000}"/>
    <cellStyle name="Input 15 2" xfId="3026" xr:uid="{00000000-0005-0000-0000-0000D44F0000}"/>
    <cellStyle name="Input 15 3" xfId="13737" xr:uid="{00000000-0005-0000-0000-0000D54F0000}"/>
    <cellStyle name="Input 16" xfId="285" xr:uid="{00000000-0005-0000-0000-0000D64F0000}"/>
    <cellStyle name="Input 16 2" xfId="3027" xr:uid="{00000000-0005-0000-0000-0000D74F0000}"/>
    <cellStyle name="Input 16 3" xfId="13738" xr:uid="{00000000-0005-0000-0000-0000D84F0000}"/>
    <cellStyle name="Input 17" xfId="292" xr:uid="{00000000-0005-0000-0000-0000D94F0000}"/>
    <cellStyle name="Input 17 2" xfId="3028" xr:uid="{00000000-0005-0000-0000-0000DA4F0000}"/>
    <cellStyle name="Input 17 3" xfId="13739" xr:uid="{00000000-0005-0000-0000-0000DB4F0000}"/>
    <cellStyle name="Input 18" xfId="293" xr:uid="{00000000-0005-0000-0000-0000DC4F0000}"/>
    <cellStyle name="Input 18 2" xfId="3029" xr:uid="{00000000-0005-0000-0000-0000DD4F0000}"/>
    <cellStyle name="Input 18 3" xfId="13740" xr:uid="{00000000-0005-0000-0000-0000DE4F0000}"/>
    <cellStyle name="Input 19" xfId="294" xr:uid="{00000000-0005-0000-0000-0000DF4F0000}"/>
    <cellStyle name="Input 19 2" xfId="3030" xr:uid="{00000000-0005-0000-0000-0000E04F0000}"/>
    <cellStyle name="Input 19 3" xfId="13741" xr:uid="{00000000-0005-0000-0000-0000E14F0000}"/>
    <cellStyle name="Input 2" xfId="45" xr:uid="{00000000-0005-0000-0000-0000E24F0000}"/>
    <cellStyle name="Input 2 2" xfId="3031" xr:uid="{00000000-0005-0000-0000-0000E34F0000}"/>
    <cellStyle name="Input 2 2 2" xfId="24121" xr:uid="{00000000-0005-0000-0000-0000E44F0000}"/>
    <cellStyle name="Input 2 2 2 2" xfId="25560" xr:uid="{00000000-0005-0000-0000-0000E54F0000}"/>
    <cellStyle name="Input 2 2 3" xfId="24710" xr:uid="{00000000-0005-0000-0000-0000E64F0000}"/>
    <cellStyle name="Input 2 2 3 2" xfId="25356" xr:uid="{00000000-0005-0000-0000-0000E74F0000}"/>
    <cellStyle name="Input 2 2 3 3" xfId="25662" xr:uid="{00000000-0005-0000-0000-0000E84F0000}"/>
    <cellStyle name="Input 2 2 4" xfId="25028" xr:uid="{00000000-0005-0000-0000-0000E94F0000}"/>
    <cellStyle name="Input 2 2 4 2" xfId="25368" xr:uid="{00000000-0005-0000-0000-0000EA4F0000}"/>
    <cellStyle name="Input 2 2 4 3" xfId="25673" xr:uid="{00000000-0005-0000-0000-0000EB4F0000}"/>
    <cellStyle name="Input 2 3" xfId="13610" xr:uid="{00000000-0005-0000-0000-0000EC4F0000}"/>
    <cellStyle name="Input 2 4" xfId="24120" xr:uid="{00000000-0005-0000-0000-0000ED4F0000}"/>
    <cellStyle name="Input 2 4 2" xfId="25559" xr:uid="{00000000-0005-0000-0000-0000EE4F0000}"/>
    <cellStyle name="Input 2 5" xfId="24709" xr:uid="{00000000-0005-0000-0000-0000EF4F0000}"/>
    <cellStyle name="Input 2 5 2" xfId="25439" xr:uid="{00000000-0005-0000-0000-0000F04F0000}"/>
    <cellStyle name="Input 2 5 3" xfId="25661" xr:uid="{00000000-0005-0000-0000-0000F14F0000}"/>
    <cellStyle name="Input 2 6" xfId="25027" xr:uid="{00000000-0005-0000-0000-0000F24F0000}"/>
    <cellStyle name="Input 2 6 2" xfId="25285" xr:uid="{00000000-0005-0000-0000-0000F34F0000}"/>
    <cellStyle name="Input 2 6 3" xfId="25672" xr:uid="{00000000-0005-0000-0000-0000F44F0000}"/>
    <cellStyle name="Input 20" xfId="295" xr:uid="{00000000-0005-0000-0000-0000F54F0000}"/>
    <cellStyle name="Input 20 2" xfId="3032" xr:uid="{00000000-0005-0000-0000-0000F64F0000}"/>
    <cellStyle name="Input 20 3" xfId="13742" xr:uid="{00000000-0005-0000-0000-0000F74F0000}"/>
    <cellStyle name="Input 21" xfId="302" xr:uid="{00000000-0005-0000-0000-0000F84F0000}"/>
    <cellStyle name="Input 21 2" xfId="3033" xr:uid="{00000000-0005-0000-0000-0000F94F0000}"/>
    <cellStyle name="Input 21 3" xfId="13743" xr:uid="{00000000-0005-0000-0000-0000FA4F0000}"/>
    <cellStyle name="Input 22" xfId="303" xr:uid="{00000000-0005-0000-0000-0000FB4F0000}"/>
    <cellStyle name="Input 22 2" xfId="3034" xr:uid="{00000000-0005-0000-0000-0000FC4F0000}"/>
    <cellStyle name="Input 22 3" xfId="13744" xr:uid="{00000000-0005-0000-0000-0000FD4F0000}"/>
    <cellStyle name="Input 23" xfId="316" xr:uid="{00000000-0005-0000-0000-0000FE4F0000}"/>
    <cellStyle name="Input 23 2" xfId="3035" xr:uid="{00000000-0005-0000-0000-0000FF4F0000}"/>
    <cellStyle name="Input 23 3" xfId="13747" xr:uid="{00000000-0005-0000-0000-000000500000}"/>
    <cellStyle name="Input 24" xfId="317" xr:uid="{00000000-0005-0000-0000-000001500000}"/>
    <cellStyle name="Input 24 2" xfId="3036" xr:uid="{00000000-0005-0000-0000-000002500000}"/>
    <cellStyle name="Input 24 3" xfId="13748" xr:uid="{00000000-0005-0000-0000-000003500000}"/>
    <cellStyle name="Input 25" xfId="318" xr:uid="{00000000-0005-0000-0000-000004500000}"/>
    <cellStyle name="Input 25 2" xfId="3037" xr:uid="{00000000-0005-0000-0000-000005500000}"/>
    <cellStyle name="Input 25 3" xfId="13749" xr:uid="{00000000-0005-0000-0000-000006500000}"/>
    <cellStyle name="Input 26" xfId="319" xr:uid="{00000000-0005-0000-0000-000007500000}"/>
    <cellStyle name="Input 26 2" xfId="3038" xr:uid="{00000000-0005-0000-0000-000008500000}"/>
    <cellStyle name="Input 26 3" xfId="13750" xr:uid="{00000000-0005-0000-0000-000009500000}"/>
    <cellStyle name="Input 27" xfId="320" xr:uid="{00000000-0005-0000-0000-00000A500000}"/>
    <cellStyle name="Input 27 2" xfId="3039" xr:uid="{00000000-0005-0000-0000-00000B500000}"/>
    <cellStyle name="Input 27 3" xfId="13751" xr:uid="{00000000-0005-0000-0000-00000C500000}"/>
    <cellStyle name="Input 28" xfId="321" xr:uid="{00000000-0005-0000-0000-00000D500000}"/>
    <cellStyle name="Input 28 2" xfId="3040" xr:uid="{00000000-0005-0000-0000-00000E500000}"/>
    <cellStyle name="Input 28 3" xfId="13752" xr:uid="{00000000-0005-0000-0000-00000F500000}"/>
    <cellStyle name="Input 29" xfId="322" xr:uid="{00000000-0005-0000-0000-000010500000}"/>
    <cellStyle name="Input 29 2" xfId="3041" xr:uid="{00000000-0005-0000-0000-000011500000}"/>
    <cellStyle name="Input 29 3" xfId="13753" xr:uid="{00000000-0005-0000-0000-000012500000}"/>
    <cellStyle name="Input 3" xfId="194" xr:uid="{00000000-0005-0000-0000-000013500000}"/>
    <cellStyle name="Input 3 2" xfId="3042" xr:uid="{00000000-0005-0000-0000-000014500000}"/>
    <cellStyle name="Input 3 3" xfId="13695" xr:uid="{00000000-0005-0000-0000-000015500000}"/>
    <cellStyle name="Input 3 4" xfId="24122" xr:uid="{00000000-0005-0000-0000-000016500000}"/>
    <cellStyle name="Input 3 4 2" xfId="25561" xr:uid="{00000000-0005-0000-0000-000017500000}"/>
    <cellStyle name="Input 3 5" xfId="24711" xr:uid="{00000000-0005-0000-0000-000018500000}"/>
    <cellStyle name="Input 3 5 2" xfId="25390" xr:uid="{00000000-0005-0000-0000-000019500000}"/>
    <cellStyle name="Input 3 5 3" xfId="25663" xr:uid="{00000000-0005-0000-0000-00001A500000}"/>
    <cellStyle name="Input 3 6" xfId="25029" xr:uid="{00000000-0005-0000-0000-00001B500000}"/>
    <cellStyle name="Input 3 6 2" xfId="25382" xr:uid="{00000000-0005-0000-0000-00001C500000}"/>
    <cellStyle name="Input 3 6 3" xfId="25674" xr:uid="{00000000-0005-0000-0000-00001D500000}"/>
    <cellStyle name="Input 30" xfId="323" xr:uid="{00000000-0005-0000-0000-00001E500000}"/>
    <cellStyle name="Input 30 2" xfId="3043" xr:uid="{00000000-0005-0000-0000-00001F500000}"/>
    <cellStyle name="Input 30 3" xfId="13754" xr:uid="{00000000-0005-0000-0000-000020500000}"/>
    <cellStyle name="Input 31" xfId="339" xr:uid="{00000000-0005-0000-0000-000021500000}"/>
    <cellStyle name="Input 31 2" xfId="3044" xr:uid="{00000000-0005-0000-0000-000022500000}"/>
    <cellStyle name="Input 31 3" xfId="13758" xr:uid="{00000000-0005-0000-0000-000023500000}"/>
    <cellStyle name="Input 32" xfId="340" xr:uid="{00000000-0005-0000-0000-000024500000}"/>
    <cellStyle name="Input 32 2" xfId="3045" xr:uid="{00000000-0005-0000-0000-000025500000}"/>
    <cellStyle name="Input 32 3" xfId="13759" xr:uid="{00000000-0005-0000-0000-000026500000}"/>
    <cellStyle name="Input 33" xfId="341" xr:uid="{00000000-0005-0000-0000-000027500000}"/>
    <cellStyle name="Input 33 2" xfId="3046" xr:uid="{00000000-0005-0000-0000-000028500000}"/>
    <cellStyle name="Input 33 3" xfId="13760" xr:uid="{00000000-0005-0000-0000-000029500000}"/>
    <cellStyle name="Input 34" xfId="342" xr:uid="{00000000-0005-0000-0000-00002A500000}"/>
    <cellStyle name="Input 34 2" xfId="3047" xr:uid="{00000000-0005-0000-0000-00002B500000}"/>
    <cellStyle name="Input 34 3" xfId="13761" xr:uid="{00000000-0005-0000-0000-00002C500000}"/>
    <cellStyle name="Input 35" xfId="3048" xr:uid="{00000000-0005-0000-0000-00002D500000}"/>
    <cellStyle name="Input 36" xfId="3049" xr:uid="{00000000-0005-0000-0000-00002E500000}"/>
    <cellStyle name="Input 37" xfId="3050" xr:uid="{00000000-0005-0000-0000-00002F500000}"/>
    <cellStyle name="Input 38" xfId="3051" xr:uid="{00000000-0005-0000-0000-000030500000}"/>
    <cellStyle name="Input 39" xfId="3052" xr:uid="{00000000-0005-0000-0000-000031500000}"/>
    <cellStyle name="Input 4" xfId="195" xr:uid="{00000000-0005-0000-0000-000032500000}"/>
    <cellStyle name="Input 4 2" xfId="3053" xr:uid="{00000000-0005-0000-0000-000033500000}"/>
    <cellStyle name="Input 4 3" xfId="13696" xr:uid="{00000000-0005-0000-0000-000034500000}"/>
    <cellStyle name="Input 4 4" xfId="24123" xr:uid="{00000000-0005-0000-0000-000035500000}"/>
    <cellStyle name="Input 4 4 2" xfId="25562" xr:uid="{00000000-0005-0000-0000-000036500000}"/>
    <cellStyle name="Input 4 5" xfId="24712" xr:uid="{00000000-0005-0000-0000-000037500000}"/>
    <cellStyle name="Input 4 5 2" xfId="25404" xr:uid="{00000000-0005-0000-0000-000038500000}"/>
    <cellStyle name="Input 4 5 3" xfId="25664" xr:uid="{00000000-0005-0000-0000-000039500000}"/>
    <cellStyle name="Input 4 6" xfId="25030" xr:uid="{00000000-0005-0000-0000-00003A500000}"/>
    <cellStyle name="Input 4 6 2" xfId="25397" xr:uid="{00000000-0005-0000-0000-00003B500000}"/>
    <cellStyle name="Input 4 6 3" xfId="25675" xr:uid="{00000000-0005-0000-0000-00003C500000}"/>
    <cellStyle name="Input 40" xfId="3054" xr:uid="{00000000-0005-0000-0000-00003D500000}"/>
    <cellStyle name="Input 41" xfId="3055" xr:uid="{00000000-0005-0000-0000-00003E500000}"/>
    <cellStyle name="Input 42" xfId="3056" xr:uid="{00000000-0005-0000-0000-00003F500000}"/>
    <cellStyle name="Input 43" xfId="3057" xr:uid="{00000000-0005-0000-0000-000040500000}"/>
    <cellStyle name="Input 44" xfId="3058" xr:uid="{00000000-0005-0000-0000-000041500000}"/>
    <cellStyle name="Input 45" xfId="3059" xr:uid="{00000000-0005-0000-0000-000042500000}"/>
    <cellStyle name="Input 46" xfId="3060" xr:uid="{00000000-0005-0000-0000-000043500000}"/>
    <cellStyle name="Input 47" xfId="3061" xr:uid="{00000000-0005-0000-0000-000044500000}"/>
    <cellStyle name="Input 48" xfId="3062" xr:uid="{00000000-0005-0000-0000-000045500000}"/>
    <cellStyle name="Input 49" xfId="3063" xr:uid="{00000000-0005-0000-0000-000046500000}"/>
    <cellStyle name="Input 5" xfId="196" xr:uid="{00000000-0005-0000-0000-000047500000}"/>
    <cellStyle name="Input 5 2" xfId="3064" xr:uid="{00000000-0005-0000-0000-000048500000}"/>
    <cellStyle name="Input 5 3" xfId="13697" xr:uid="{00000000-0005-0000-0000-000049500000}"/>
    <cellStyle name="Input 50" xfId="3065" xr:uid="{00000000-0005-0000-0000-00004A500000}"/>
    <cellStyle name="Input 51" xfId="3066" xr:uid="{00000000-0005-0000-0000-00004B500000}"/>
    <cellStyle name="Input 52" xfId="3067" xr:uid="{00000000-0005-0000-0000-00004C500000}"/>
    <cellStyle name="Input 53" xfId="3068" xr:uid="{00000000-0005-0000-0000-00004D500000}"/>
    <cellStyle name="Input 54" xfId="3069" xr:uid="{00000000-0005-0000-0000-00004E500000}"/>
    <cellStyle name="Input 55" xfId="3070" xr:uid="{00000000-0005-0000-0000-00004F500000}"/>
    <cellStyle name="Input 56" xfId="3071" xr:uid="{00000000-0005-0000-0000-000050500000}"/>
    <cellStyle name="Input 57" xfId="3072" xr:uid="{00000000-0005-0000-0000-000051500000}"/>
    <cellStyle name="Input 58" xfId="3073" xr:uid="{00000000-0005-0000-0000-000052500000}"/>
    <cellStyle name="Input 59" xfId="3074" xr:uid="{00000000-0005-0000-0000-000053500000}"/>
    <cellStyle name="Input 6" xfId="197" xr:uid="{00000000-0005-0000-0000-000054500000}"/>
    <cellStyle name="Input 6 2" xfId="3075" xr:uid="{00000000-0005-0000-0000-000055500000}"/>
    <cellStyle name="Input 6 3" xfId="13698" xr:uid="{00000000-0005-0000-0000-000056500000}"/>
    <cellStyle name="Input 60" xfId="3076" xr:uid="{00000000-0005-0000-0000-000057500000}"/>
    <cellStyle name="Input 61" xfId="3077" xr:uid="{00000000-0005-0000-0000-000058500000}"/>
    <cellStyle name="Input 62" xfId="3078" xr:uid="{00000000-0005-0000-0000-000059500000}"/>
    <cellStyle name="Input 63" xfId="3079" xr:uid="{00000000-0005-0000-0000-00005A500000}"/>
    <cellStyle name="Input 64" xfId="3080" xr:uid="{00000000-0005-0000-0000-00005B500000}"/>
    <cellStyle name="Input 65" xfId="3081" xr:uid="{00000000-0005-0000-0000-00005C500000}"/>
    <cellStyle name="Input 66" xfId="3082" xr:uid="{00000000-0005-0000-0000-00005D500000}"/>
    <cellStyle name="Input 67" xfId="3083" xr:uid="{00000000-0005-0000-0000-00005E500000}"/>
    <cellStyle name="Input 68" xfId="3084" xr:uid="{00000000-0005-0000-0000-00005F500000}"/>
    <cellStyle name="Input 69" xfId="3085" xr:uid="{00000000-0005-0000-0000-000060500000}"/>
    <cellStyle name="Input 7" xfId="198" xr:uid="{00000000-0005-0000-0000-000061500000}"/>
    <cellStyle name="Input 7 2" xfId="3086" xr:uid="{00000000-0005-0000-0000-000062500000}"/>
    <cellStyle name="Input 7 3" xfId="13699" xr:uid="{00000000-0005-0000-0000-000063500000}"/>
    <cellStyle name="Input 70" xfId="3087" xr:uid="{00000000-0005-0000-0000-000064500000}"/>
    <cellStyle name="Input 71" xfId="3088" xr:uid="{00000000-0005-0000-0000-000065500000}"/>
    <cellStyle name="Input 72" xfId="3089" xr:uid="{00000000-0005-0000-0000-000066500000}"/>
    <cellStyle name="Input 73" xfId="23922" xr:uid="{00000000-0005-0000-0000-000067500000}"/>
    <cellStyle name="Input 74" xfId="24261" xr:uid="{00000000-0005-0000-0000-000068500000}"/>
    <cellStyle name="Input 75" xfId="23924" xr:uid="{00000000-0005-0000-0000-000069500000}"/>
    <cellStyle name="Input 76" xfId="24209" xr:uid="{00000000-0005-0000-0000-00006A500000}"/>
    <cellStyle name="Input 77" xfId="24519" xr:uid="{00000000-0005-0000-0000-00006B500000}"/>
    <cellStyle name="Input 78" xfId="24020" xr:uid="{00000000-0005-0000-0000-00006C500000}"/>
    <cellStyle name="Input 79" xfId="24536" xr:uid="{00000000-0005-0000-0000-00006D500000}"/>
    <cellStyle name="Input 8" xfId="199" xr:uid="{00000000-0005-0000-0000-00006E500000}"/>
    <cellStyle name="Input 8 2" xfId="3090" xr:uid="{00000000-0005-0000-0000-00006F500000}"/>
    <cellStyle name="Input 8 3" xfId="13700" xr:uid="{00000000-0005-0000-0000-000070500000}"/>
    <cellStyle name="Input 80" xfId="24541" xr:uid="{00000000-0005-0000-0000-000071500000}"/>
    <cellStyle name="Input 81" xfId="24245" xr:uid="{00000000-0005-0000-0000-000072500000}"/>
    <cellStyle name="Input 82" xfId="24537" xr:uid="{00000000-0005-0000-0000-000073500000}"/>
    <cellStyle name="Input 83" xfId="24031" xr:uid="{00000000-0005-0000-0000-000074500000}"/>
    <cellStyle name="Input 84" xfId="24550" xr:uid="{00000000-0005-0000-0000-000075500000}"/>
    <cellStyle name="Input 85" xfId="24552" xr:uid="{00000000-0005-0000-0000-000076500000}"/>
    <cellStyle name="Input 86" xfId="24636" xr:uid="{00000000-0005-0000-0000-000077500000}"/>
    <cellStyle name="Input 87" xfId="24715" xr:uid="{00000000-0005-0000-0000-000078500000}"/>
    <cellStyle name="Input 88" xfId="24708" xr:uid="{00000000-0005-0000-0000-000079500000}"/>
    <cellStyle name="Input 89" xfId="24918" xr:uid="{00000000-0005-0000-0000-00007A500000}"/>
    <cellStyle name="Input 9" xfId="200" xr:uid="{00000000-0005-0000-0000-00007B500000}"/>
    <cellStyle name="Input 9 2" xfId="3091" xr:uid="{00000000-0005-0000-0000-00007C500000}"/>
    <cellStyle name="Input 9 3" xfId="13701" xr:uid="{00000000-0005-0000-0000-00007D500000}"/>
    <cellStyle name="Input 90" xfId="24937" xr:uid="{00000000-0005-0000-0000-00007E500000}"/>
    <cellStyle name="Input 91" xfId="24911" xr:uid="{00000000-0005-0000-0000-00007F500000}"/>
    <cellStyle name="Input 92" xfId="24672" xr:uid="{00000000-0005-0000-0000-000080500000}"/>
    <cellStyle name="Input 93" xfId="24713" xr:uid="{00000000-0005-0000-0000-000081500000}"/>
    <cellStyle name="Input 94" xfId="24544" xr:uid="{00000000-0005-0000-0000-000082500000}"/>
    <cellStyle name="Input 95" xfId="24691" xr:uid="{00000000-0005-0000-0000-000083500000}"/>
    <cellStyle name="Input 96" xfId="24549" xr:uid="{00000000-0005-0000-0000-000084500000}"/>
    <cellStyle name="Input 97" xfId="24944" xr:uid="{00000000-0005-0000-0000-000085500000}"/>
    <cellStyle name="Input1" xfId="572" xr:uid="{00000000-0005-0000-0000-000086500000}"/>
    <cellStyle name="Input1 2" xfId="24124" xr:uid="{00000000-0005-0000-0000-000087500000}"/>
    <cellStyle name="Input2" xfId="573" xr:uid="{00000000-0005-0000-0000-000088500000}"/>
    <cellStyle name="Input2 2" xfId="24125" xr:uid="{00000000-0005-0000-0000-000089500000}"/>
    <cellStyle name="Input2 2 2" xfId="25312" xr:uid="{00000000-0005-0000-0000-00008A500000}"/>
    <cellStyle name="Input2 3" xfId="25454" xr:uid="{00000000-0005-0000-0000-00008B500000}"/>
    <cellStyle name="LineItemPrompt" xfId="3092" xr:uid="{00000000-0005-0000-0000-00008C500000}"/>
    <cellStyle name="LineItemValue" xfId="3093" xr:uid="{00000000-0005-0000-0000-00008D500000}"/>
    <cellStyle name="Linked Cell 10" xfId="3094" xr:uid="{00000000-0005-0000-0000-00008E500000}"/>
    <cellStyle name="Linked Cell 11" xfId="3095" xr:uid="{00000000-0005-0000-0000-00008F500000}"/>
    <cellStyle name="Linked Cell 12" xfId="3096" xr:uid="{00000000-0005-0000-0000-000090500000}"/>
    <cellStyle name="Linked Cell 13" xfId="3097" xr:uid="{00000000-0005-0000-0000-000091500000}"/>
    <cellStyle name="Linked Cell 14" xfId="3098" xr:uid="{00000000-0005-0000-0000-000092500000}"/>
    <cellStyle name="Linked Cell 15" xfId="3099" xr:uid="{00000000-0005-0000-0000-000093500000}"/>
    <cellStyle name="Linked Cell 16" xfId="3100" xr:uid="{00000000-0005-0000-0000-000094500000}"/>
    <cellStyle name="Linked Cell 17" xfId="3101" xr:uid="{00000000-0005-0000-0000-000095500000}"/>
    <cellStyle name="Linked Cell 18" xfId="3102" xr:uid="{00000000-0005-0000-0000-000096500000}"/>
    <cellStyle name="Linked Cell 19" xfId="3103" xr:uid="{00000000-0005-0000-0000-000097500000}"/>
    <cellStyle name="Linked Cell 2" xfId="3104" xr:uid="{00000000-0005-0000-0000-000098500000}"/>
    <cellStyle name="Linked Cell 2 2" xfId="24127" xr:uid="{00000000-0005-0000-0000-000099500000}"/>
    <cellStyle name="Linked Cell 2 3" xfId="24126" xr:uid="{00000000-0005-0000-0000-00009A500000}"/>
    <cellStyle name="Linked Cell 20" xfId="3105" xr:uid="{00000000-0005-0000-0000-00009B500000}"/>
    <cellStyle name="Linked Cell 21" xfId="3106" xr:uid="{00000000-0005-0000-0000-00009C500000}"/>
    <cellStyle name="Linked Cell 22" xfId="3107" xr:uid="{00000000-0005-0000-0000-00009D500000}"/>
    <cellStyle name="Linked Cell 23" xfId="3108" xr:uid="{00000000-0005-0000-0000-00009E500000}"/>
    <cellStyle name="Linked Cell 24" xfId="3109" xr:uid="{00000000-0005-0000-0000-00009F500000}"/>
    <cellStyle name="Linked Cell 25" xfId="3110" xr:uid="{00000000-0005-0000-0000-0000A0500000}"/>
    <cellStyle name="Linked Cell 26" xfId="3111" xr:uid="{00000000-0005-0000-0000-0000A1500000}"/>
    <cellStyle name="Linked Cell 27" xfId="3112" xr:uid="{00000000-0005-0000-0000-0000A2500000}"/>
    <cellStyle name="Linked Cell 28" xfId="3113" xr:uid="{00000000-0005-0000-0000-0000A3500000}"/>
    <cellStyle name="Linked Cell 29" xfId="3114" xr:uid="{00000000-0005-0000-0000-0000A4500000}"/>
    <cellStyle name="Linked Cell 3" xfId="3115" xr:uid="{00000000-0005-0000-0000-0000A5500000}"/>
    <cellStyle name="Linked Cell 3 2" xfId="24128" xr:uid="{00000000-0005-0000-0000-0000A6500000}"/>
    <cellStyle name="Linked Cell 30" xfId="3116" xr:uid="{00000000-0005-0000-0000-0000A7500000}"/>
    <cellStyle name="Linked Cell 31" xfId="3117" xr:uid="{00000000-0005-0000-0000-0000A8500000}"/>
    <cellStyle name="Linked Cell 32" xfId="3118" xr:uid="{00000000-0005-0000-0000-0000A9500000}"/>
    <cellStyle name="Linked Cell 33" xfId="3119" xr:uid="{00000000-0005-0000-0000-0000AA500000}"/>
    <cellStyle name="Linked Cell 34" xfId="3120" xr:uid="{00000000-0005-0000-0000-0000AB500000}"/>
    <cellStyle name="Linked Cell 35" xfId="3121" xr:uid="{00000000-0005-0000-0000-0000AC500000}"/>
    <cellStyle name="Linked Cell 36" xfId="3122" xr:uid="{00000000-0005-0000-0000-0000AD500000}"/>
    <cellStyle name="Linked Cell 37" xfId="3123" xr:uid="{00000000-0005-0000-0000-0000AE500000}"/>
    <cellStyle name="Linked Cell 38" xfId="3124" xr:uid="{00000000-0005-0000-0000-0000AF500000}"/>
    <cellStyle name="Linked Cell 39" xfId="3125" xr:uid="{00000000-0005-0000-0000-0000B0500000}"/>
    <cellStyle name="Linked Cell 4" xfId="3126" xr:uid="{00000000-0005-0000-0000-0000B1500000}"/>
    <cellStyle name="Linked Cell 4 2" xfId="24129" xr:uid="{00000000-0005-0000-0000-0000B2500000}"/>
    <cellStyle name="Linked Cell 40" xfId="3127" xr:uid="{00000000-0005-0000-0000-0000B3500000}"/>
    <cellStyle name="Linked Cell 41" xfId="3128" xr:uid="{00000000-0005-0000-0000-0000B4500000}"/>
    <cellStyle name="Linked Cell 42" xfId="3129" xr:uid="{00000000-0005-0000-0000-0000B5500000}"/>
    <cellStyle name="Linked Cell 43" xfId="3130" xr:uid="{00000000-0005-0000-0000-0000B6500000}"/>
    <cellStyle name="Linked Cell 44" xfId="3131" xr:uid="{00000000-0005-0000-0000-0000B7500000}"/>
    <cellStyle name="Linked Cell 45" xfId="3132" xr:uid="{00000000-0005-0000-0000-0000B8500000}"/>
    <cellStyle name="Linked Cell 46" xfId="3133" xr:uid="{00000000-0005-0000-0000-0000B9500000}"/>
    <cellStyle name="Linked Cell 47" xfId="3134" xr:uid="{00000000-0005-0000-0000-0000BA500000}"/>
    <cellStyle name="Linked Cell 48" xfId="3135" xr:uid="{00000000-0005-0000-0000-0000BB500000}"/>
    <cellStyle name="Linked Cell 49" xfId="3136" xr:uid="{00000000-0005-0000-0000-0000BC500000}"/>
    <cellStyle name="Linked Cell 5" xfId="3137" xr:uid="{00000000-0005-0000-0000-0000BD500000}"/>
    <cellStyle name="Linked Cell 50" xfId="3138" xr:uid="{00000000-0005-0000-0000-0000BE500000}"/>
    <cellStyle name="Linked Cell 51" xfId="3139" xr:uid="{00000000-0005-0000-0000-0000BF500000}"/>
    <cellStyle name="Linked Cell 52" xfId="3140" xr:uid="{00000000-0005-0000-0000-0000C0500000}"/>
    <cellStyle name="Linked Cell 53" xfId="3141" xr:uid="{00000000-0005-0000-0000-0000C1500000}"/>
    <cellStyle name="Linked Cell 54" xfId="3142" xr:uid="{00000000-0005-0000-0000-0000C2500000}"/>
    <cellStyle name="Linked Cell 55" xfId="3143" xr:uid="{00000000-0005-0000-0000-0000C3500000}"/>
    <cellStyle name="Linked Cell 56" xfId="3144" xr:uid="{00000000-0005-0000-0000-0000C4500000}"/>
    <cellStyle name="Linked Cell 57" xfId="3145" xr:uid="{00000000-0005-0000-0000-0000C5500000}"/>
    <cellStyle name="Linked Cell 58" xfId="3146" xr:uid="{00000000-0005-0000-0000-0000C6500000}"/>
    <cellStyle name="Linked Cell 59" xfId="3147" xr:uid="{00000000-0005-0000-0000-0000C7500000}"/>
    <cellStyle name="Linked Cell 6" xfId="3148" xr:uid="{00000000-0005-0000-0000-0000C8500000}"/>
    <cellStyle name="Linked Cell 60" xfId="3149" xr:uid="{00000000-0005-0000-0000-0000C9500000}"/>
    <cellStyle name="Linked Cell 61" xfId="3150" xr:uid="{00000000-0005-0000-0000-0000CA500000}"/>
    <cellStyle name="Linked Cell 62" xfId="3151" xr:uid="{00000000-0005-0000-0000-0000CB500000}"/>
    <cellStyle name="Linked Cell 63" xfId="3152" xr:uid="{00000000-0005-0000-0000-0000CC500000}"/>
    <cellStyle name="Linked Cell 64" xfId="3153" xr:uid="{00000000-0005-0000-0000-0000CD500000}"/>
    <cellStyle name="Linked Cell 65" xfId="3154" xr:uid="{00000000-0005-0000-0000-0000CE500000}"/>
    <cellStyle name="Linked Cell 66" xfId="3155" xr:uid="{00000000-0005-0000-0000-0000CF500000}"/>
    <cellStyle name="Linked Cell 67" xfId="3156" xr:uid="{00000000-0005-0000-0000-0000D0500000}"/>
    <cellStyle name="Linked Cell 68" xfId="3157" xr:uid="{00000000-0005-0000-0000-0000D1500000}"/>
    <cellStyle name="Linked Cell 69" xfId="3158" xr:uid="{00000000-0005-0000-0000-0000D2500000}"/>
    <cellStyle name="Linked Cell 7" xfId="3159" xr:uid="{00000000-0005-0000-0000-0000D3500000}"/>
    <cellStyle name="Linked Cell 70" xfId="3160" xr:uid="{00000000-0005-0000-0000-0000D4500000}"/>
    <cellStyle name="Linked Cell 71" xfId="3161" xr:uid="{00000000-0005-0000-0000-0000D5500000}"/>
    <cellStyle name="Linked Cell 72" xfId="3162" xr:uid="{00000000-0005-0000-0000-0000D6500000}"/>
    <cellStyle name="Linked Cell 8" xfId="3163" xr:uid="{00000000-0005-0000-0000-0000D7500000}"/>
    <cellStyle name="Linked Cell 9" xfId="3164" xr:uid="{00000000-0005-0000-0000-0000D8500000}"/>
    <cellStyle name="Manual-Input" xfId="3165" xr:uid="{00000000-0005-0000-0000-0000D9500000}"/>
    <cellStyle name="Marathon" xfId="46" xr:uid="{00000000-0005-0000-0000-0000DA500000}"/>
    <cellStyle name="MCP" xfId="47" xr:uid="{00000000-0005-0000-0000-0000DB500000}"/>
    <cellStyle name="Multiple" xfId="574" xr:uid="{00000000-0005-0000-0000-0000DC500000}"/>
    <cellStyle name="Multiple [1]" xfId="575" xr:uid="{00000000-0005-0000-0000-0000DD500000}"/>
    <cellStyle name="Multiple_10_21 A&amp;G Review" xfId="576" xr:uid="{00000000-0005-0000-0000-0000DE500000}"/>
    <cellStyle name="Neutral 10" xfId="3166" xr:uid="{00000000-0005-0000-0000-0000DF500000}"/>
    <cellStyle name="Neutral 11" xfId="3167" xr:uid="{00000000-0005-0000-0000-0000E0500000}"/>
    <cellStyle name="Neutral 12" xfId="3168" xr:uid="{00000000-0005-0000-0000-0000E1500000}"/>
    <cellStyle name="Neutral 13" xfId="3169" xr:uid="{00000000-0005-0000-0000-0000E2500000}"/>
    <cellStyle name="Neutral 14" xfId="3170" xr:uid="{00000000-0005-0000-0000-0000E3500000}"/>
    <cellStyle name="Neutral 15" xfId="3171" xr:uid="{00000000-0005-0000-0000-0000E4500000}"/>
    <cellStyle name="Neutral 16" xfId="3172" xr:uid="{00000000-0005-0000-0000-0000E5500000}"/>
    <cellStyle name="Neutral 17" xfId="3173" xr:uid="{00000000-0005-0000-0000-0000E6500000}"/>
    <cellStyle name="Neutral 18" xfId="3174" xr:uid="{00000000-0005-0000-0000-0000E7500000}"/>
    <cellStyle name="Neutral 19" xfId="3175" xr:uid="{00000000-0005-0000-0000-0000E8500000}"/>
    <cellStyle name="Neutral 2" xfId="3176" xr:uid="{00000000-0005-0000-0000-0000E9500000}"/>
    <cellStyle name="Neutral 2 2" xfId="24132" xr:uid="{00000000-0005-0000-0000-0000EA500000}"/>
    <cellStyle name="Neutral 2 3" xfId="24131" xr:uid="{00000000-0005-0000-0000-0000EB500000}"/>
    <cellStyle name="Neutral 20" xfId="3177" xr:uid="{00000000-0005-0000-0000-0000EC500000}"/>
    <cellStyle name="Neutral 21" xfId="3178" xr:uid="{00000000-0005-0000-0000-0000ED500000}"/>
    <cellStyle name="Neutral 22" xfId="3179" xr:uid="{00000000-0005-0000-0000-0000EE500000}"/>
    <cellStyle name="Neutral 23" xfId="3180" xr:uid="{00000000-0005-0000-0000-0000EF500000}"/>
    <cellStyle name="Neutral 24" xfId="3181" xr:uid="{00000000-0005-0000-0000-0000F0500000}"/>
    <cellStyle name="Neutral 25" xfId="3182" xr:uid="{00000000-0005-0000-0000-0000F1500000}"/>
    <cellStyle name="Neutral 26" xfId="3183" xr:uid="{00000000-0005-0000-0000-0000F2500000}"/>
    <cellStyle name="Neutral 27" xfId="3184" xr:uid="{00000000-0005-0000-0000-0000F3500000}"/>
    <cellStyle name="Neutral 28" xfId="3185" xr:uid="{00000000-0005-0000-0000-0000F4500000}"/>
    <cellStyle name="Neutral 29" xfId="3186" xr:uid="{00000000-0005-0000-0000-0000F5500000}"/>
    <cellStyle name="Neutral 3" xfId="3187" xr:uid="{00000000-0005-0000-0000-0000F6500000}"/>
    <cellStyle name="Neutral 3 2" xfId="24133" xr:uid="{00000000-0005-0000-0000-0000F7500000}"/>
    <cellStyle name="Neutral 30" xfId="3188" xr:uid="{00000000-0005-0000-0000-0000F8500000}"/>
    <cellStyle name="Neutral 31" xfId="3189" xr:uid="{00000000-0005-0000-0000-0000F9500000}"/>
    <cellStyle name="Neutral 32" xfId="3190" xr:uid="{00000000-0005-0000-0000-0000FA500000}"/>
    <cellStyle name="Neutral 33" xfId="3191" xr:uid="{00000000-0005-0000-0000-0000FB500000}"/>
    <cellStyle name="Neutral 34" xfId="3192" xr:uid="{00000000-0005-0000-0000-0000FC500000}"/>
    <cellStyle name="Neutral 35" xfId="3193" xr:uid="{00000000-0005-0000-0000-0000FD500000}"/>
    <cellStyle name="Neutral 36" xfId="3194" xr:uid="{00000000-0005-0000-0000-0000FE500000}"/>
    <cellStyle name="Neutral 37" xfId="3195" xr:uid="{00000000-0005-0000-0000-0000FF500000}"/>
    <cellStyle name="Neutral 38" xfId="3196" xr:uid="{00000000-0005-0000-0000-000000510000}"/>
    <cellStyle name="Neutral 39" xfId="3197" xr:uid="{00000000-0005-0000-0000-000001510000}"/>
    <cellStyle name="Neutral 4" xfId="3198" xr:uid="{00000000-0005-0000-0000-000002510000}"/>
    <cellStyle name="Neutral 4 2" xfId="24134" xr:uid="{00000000-0005-0000-0000-000003510000}"/>
    <cellStyle name="Neutral 40" xfId="3199" xr:uid="{00000000-0005-0000-0000-000004510000}"/>
    <cellStyle name="Neutral 41" xfId="3200" xr:uid="{00000000-0005-0000-0000-000005510000}"/>
    <cellStyle name="Neutral 42" xfId="3201" xr:uid="{00000000-0005-0000-0000-000006510000}"/>
    <cellStyle name="Neutral 43" xfId="3202" xr:uid="{00000000-0005-0000-0000-000007510000}"/>
    <cellStyle name="Neutral 44" xfId="3203" xr:uid="{00000000-0005-0000-0000-000008510000}"/>
    <cellStyle name="Neutral 45" xfId="3204" xr:uid="{00000000-0005-0000-0000-000009510000}"/>
    <cellStyle name="Neutral 46" xfId="3205" xr:uid="{00000000-0005-0000-0000-00000A510000}"/>
    <cellStyle name="Neutral 47" xfId="3206" xr:uid="{00000000-0005-0000-0000-00000B510000}"/>
    <cellStyle name="Neutral 48" xfId="3207" xr:uid="{00000000-0005-0000-0000-00000C510000}"/>
    <cellStyle name="Neutral 49" xfId="3208" xr:uid="{00000000-0005-0000-0000-00000D510000}"/>
    <cellStyle name="Neutral 5" xfId="3209" xr:uid="{00000000-0005-0000-0000-00000E510000}"/>
    <cellStyle name="Neutral 50" xfId="3210" xr:uid="{00000000-0005-0000-0000-00000F510000}"/>
    <cellStyle name="Neutral 51" xfId="3211" xr:uid="{00000000-0005-0000-0000-000010510000}"/>
    <cellStyle name="Neutral 52" xfId="3212" xr:uid="{00000000-0005-0000-0000-000011510000}"/>
    <cellStyle name="Neutral 53" xfId="3213" xr:uid="{00000000-0005-0000-0000-000012510000}"/>
    <cellStyle name="Neutral 54" xfId="3214" xr:uid="{00000000-0005-0000-0000-000013510000}"/>
    <cellStyle name="Neutral 55" xfId="3215" xr:uid="{00000000-0005-0000-0000-000014510000}"/>
    <cellStyle name="Neutral 56" xfId="3216" xr:uid="{00000000-0005-0000-0000-000015510000}"/>
    <cellStyle name="Neutral 57" xfId="3217" xr:uid="{00000000-0005-0000-0000-000016510000}"/>
    <cellStyle name="Neutral 58" xfId="3218" xr:uid="{00000000-0005-0000-0000-000017510000}"/>
    <cellStyle name="Neutral 59" xfId="3219" xr:uid="{00000000-0005-0000-0000-000018510000}"/>
    <cellStyle name="Neutral 6" xfId="3220" xr:uid="{00000000-0005-0000-0000-000019510000}"/>
    <cellStyle name="Neutral 60" xfId="3221" xr:uid="{00000000-0005-0000-0000-00001A510000}"/>
    <cellStyle name="Neutral 61" xfId="3222" xr:uid="{00000000-0005-0000-0000-00001B510000}"/>
    <cellStyle name="Neutral 62" xfId="3223" xr:uid="{00000000-0005-0000-0000-00001C510000}"/>
    <cellStyle name="Neutral 63" xfId="3224" xr:uid="{00000000-0005-0000-0000-00001D510000}"/>
    <cellStyle name="Neutral 64" xfId="3225" xr:uid="{00000000-0005-0000-0000-00001E510000}"/>
    <cellStyle name="Neutral 65" xfId="3226" xr:uid="{00000000-0005-0000-0000-00001F510000}"/>
    <cellStyle name="Neutral 66" xfId="3227" xr:uid="{00000000-0005-0000-0000-000020510000}"/>
    <cellStyle name="Neutral 67" xfId="3228" xr:uid="{00000000-0005-0000-0000-000021510000}"/>
    <cellStyle name="Neutral 68" xfId="3229" xr:uid="{00000000-0005-0000-0000-000022510000}"/>
    <cellStyle name="Neutral 69" xfId="3230" xr:uid="{00000000-0005-0000-0000-000023510000}"/>
    <cellStyle name="Neutral 7" xfId="3231" xr:uid="{00000000-0005-0000-0000-000024510000}"/>
    <cellStyle name="Neutral 70" xfId="3232" xr:uid="{00000000-0005-0000-0000-000025510000}"/>
    <cellStyle name="Neutral 71" xfId="3233" xr:uid="{00000000-0005-0000-0000-000026510000}"/>
    <cellStyle name="Neutral 72" xfId="3234" xr:uid="{00000000-0005-0000-0000-000027510000}"/>
    <cellStyle name="Neutral 8" xfId="3235" xr:uid="{00000000-0005-0000-0000-000028510000}"/>
    <cellStyle name="Neutral 9" xfId="3236" xr:uid="{00000000-0005-0000-0000-000029510000}"/>
    <cellStyle name="nONE" xfId="48" xr:uid="{00000000-0005-0000-0000-00002A510000}"/>
    <cellStyle name="nONE 2" xfId="201" xr:uid="{00000000-0005-0000-0000-00002B510000}"/>
    <cellStyle name="noninput" xfId="49" xr:uid="{00000000-0005-0000-0000-00002C510000}"/>
    <cellStyle name="Normal" xfId="0" builtinId="0"/>
    <cellStyle name="Normal - Style1" xfId="50" xr:uid="{00000000-0005-0000-0000-00002E510000}"/>
    <cellStyle name="Normal 10" xfId="309" xr:uid="{00000000-0005-0000-0000-00002F510000}"/>
    <cellStyle name="Normal 10 10" xfId="25766" xr:uid="{00000000-0005-0000-0000-000030510000}"/>
    <cellStyle name="Normal 10 11" xfId="25791" xr:uid="{00000000-0005-0000-0000-000031510000}"/>
    <cellStyle name="Normal 10 2" xfId="646" xr:uid="{00000000-0005-0000-0000-000032510000}"/>
    <cellStyle name="Normal 10 2 2" xfId="12453" xr:uid="{00000000-0005-0000-0000-000033510000}"/>
    <cellStyle name="Normal 10 2 2 2" xfId="23741" xr:uid="{00000000-0005-0000-0000-000034510000}"/>
    <cellStyle name="Normal 10 2 3" xfId="10459" xr:uid="{00000000-0005-0000-0000-000035510000}"/>
    <cellStyle name="Normal 10 2 3 2" xfId="21747" xr:uid="{00000000-0005-0000-0000-000036510000}"/>
    <cellStyle name="Normal 10 2 4" xfId="8465" xr:uid="{00000000-0005-0000-0000-000037510000}"/>
    <cellStyle name="Normal 10 2 4 2" xfId="19753" xr:uid="{00000000-0005-0000-0000-000038510000}"/>
    <cellStyle name="Normal 10 2 5" xfId="6471" xr:uid="{00000000-0005-0000-0000-000039510000}"/>
    <cellStyle name="Normal 10 2 5 2" xfId="17759" xr:uid="{00000000-0005-0000-0000-00003A510000}"/>
    <cellStyle name="Normal 10 2 6" xfId="4474" xr:uid="{00000000-0005-0000-0000-00003B510000}"/>
    <cellStyle name="Normal 10 2 6 2" xfId="15765" xr:uid="{00000000-0005-0000-0000-00003C510000}"/>
    <cellStyle name="Normal 10 2 7" xfId="24135" xr:uid="{00000000-0005-0000-0000-00003D510000}"/>
    <cellStyle name="Normal 10 3" xfId="11456" xr:uid="{00000000-0005-0000-0000-00003E510000}"/>
    <cellStyle name="Normal 10 3 2" xfId="22744" xr:uid="{00000000-0005-0000-0000-00003F510000}"/>
    <cellStyle name="Normal 10 4" xfId="9462" xr:uid="{00000000-0005-0000-0000-000040510000}"/>
    <cellStyle name="Normal 10 4 2" xfId="20750" xr:uid="{00000000-0005-0000-0000-000041510000}"/>
    <cellStyle name="Normal 10 5" xfId="7468" xr:uid="{00000000-0005-0000-0000-000042510000}"/>
    <cellStyle name="Normal 10 5 2" xfId="18756" xr:uid="{00000000-0005-0000-0000-000043510000}"/>
    <cellStyle name="Normal 10 6" xfId="5474" xr:uid="{00000000-0005-0000-0000-000044510000}"/>
    <cellStyle name="Normal 10 6 2" xfId="16762" xr:uid="{00000000-0005-0000-0000-000045510000}"/>
    <cellStyle name="Normal 10 7" xfId="3237" xr:uid="{00000000-0005-0000-0000-000046510000}"/>
    <cellStyle name="Normal 10 7 2" xfId="14768" xr:uid="{00000000-0005-0000-0000-000047510000}"/>
    <cellStyle name="Normal 10 8" xfId="13746" xr:uid="{00000000-0005-0000-0000-000048510000}"/>
    <cellStyle name="Normal 10 9" xfId="13454" xr:uid="{00000000-0005-0000-0000-000049510000}"/>
    <cellStyle name="Normal 100" xfId="25763" xr:uid="{00000000-0005-0000-0000-00004A510000}"/>
    <cellStyle name="Normal 101" xfId="25797" xr:uid="{01A8A0DD-09A5-4FF8-A0A6-3A0AF218B033}"/>
    <cellStyle name="Normal 11" xfId="167" xr:uid="{00000000-0005-0000-0000-00004B510000}"/>
    <cellStyle name="Normal 11 2" xfId="647" xr:uid="{00000000-0005-0000-0000-00004C510000}"/>
    <cellStyle name="Normal 11 2 2" xfId="12454" xr:uid="{00000000-0005-0000-0000-00004D510000}"/>
    <cellStyle name="Normal 11 2 2 2" xfId="23742" xr:uid="{00000000-0005-0000-0000-00004E510000}"/>
    <cellStyle name="Normal 11 2 3" xfId="10460" xr:uid="{00000000-0005-0000-0000-00004F510000}"/>
    <cellStyle name="Normal 11 2 3 2" xfId="21748" xr:uid="{00000000-0005-0000-0000-000050510000}"/>
    <cellStyle name="Normal 11 2 4" xfId="8466" xr:uid="{00000000-0005-0000-0000-000051510000}"/>
    <cellStyle name="Normal 11 2 4 2" xfId="19754" xr:uid="{00000000-0005-0000-0000-000052510000}"/>
    <cellStyle name="Normal 11 2 5" xfId="6472" xr:uid="{00000000-0005-0000-0000-000053510000}"/>
    <cellStyle name="Normal 11 2 5 2" xfId="17760" xr:uid="{00000000-0005-0000-0000-000054510000}"/>
    <cellStyle name="Normal 11 2 6" xfId="4475" xr:uid="{00000000-0005-0000-0000-000055510000}"/>
    <cellStyle name="Normal 11 2 6 2" xfId="15766" xr:uid="{00000000-0005-0000-0000-000056510000}"/>
    <cellStyle name="Normal 11 3" xfId="11457" xr:uid="{00000000-0005-0000-0000-000057510000}"/>
    <cellStyle name="Normal 11 3 2" xfId="22745" xr:uid="{00000000-0005-0000-0000-000058510000}"/>
    <cellStyle name="Normal 11 4" xfId="9463" xr:uid="{00000000-0005-0000-0000-000059510000}"/>
    <cellStyle name="Normal 11 4 2" xfId="20751" xr:uid="{00000000-0005-0000-0000-00005A510000}"/>
    <cellStyle name="Normal 11 5" xfId="7469" xr:uid="{00000000-0005-0000-0000-00005B510000}"/>
    <cellStyle name="Normal 11 5 2" xfId="18757" xr:uid="{00000000-0005-0000-0000-00005C510000}"/>
    <cellStyle name="Normal 11 6" xfId="5475" xr:uid="{00000000-0005-0000-0000-00005D510000}"/>
    <cellStyle name="Normal 11 6 2" xfId="16763" xr:uid="{00000000-0005-0000-0000-00005E510000}"/>
    <cellStyle name="Normal 11 7" xfId="3238" xr:uid="{00000000-0005-0000-0000-00005F510000}"/>
    <cellStyle name="Normal 11 7 2" xfId="14769" xr:uid="{00000000-0005-0000-0000-000060510000}"/>
    <cellStyle name="Normal 11 8" xfId="13683" xr:uid="{00000000-0005-0000-0000-000061510000}"/>
    <cellStyle name="Normal 11 9" xfId="13455" xr:uid="{00000000-0005-0000-0000-000062510000}"/>
    <cellStyle name="Normal 12" xfId="307" xr:uid="{00000000-0005-0000-0000-000063510000}"/>
    <cellStyle name="Normal 12 10" xfId="24136" xr:uid="{00000000-0005-0000-0000-000064510000}"/>
    <cellStyle name="Normal 12 2" xfId="648" xr:uid="{00000000-0005-0000-0000-000065510000}"/>
    <cellStyle name="Normal 12 2 2" xfId="12455" xr:uid="{00000000-0005-0000-0000-000066510000}"/>
    <cellStyle name="Normal 12 2 2 2" xfId="23743" xr:uid="{00000000-0005-0000-0000-000067510000}"/>
    <cellStyle name="Normal 12 2 3" xfId="10461" xr:uid="{00000000-0005-0000-0000-000068510000}"/>
    <cellStyle name="Normal 12 2 3 2" xfId="21749" xr:uid="{00000000-0005-0000-0000-000069510000}"/>
    <cellStyle name="Normal 12 2 4" xfId="8467" xr:uid="{00000000-0005-0000-0000-00006A510000}"/>
    <cellStyle name="Normal 12 2 4 2" xfId="19755" xr:uid="{00000000-0005-0000-0000-00006B510000}"/>
    <cellStyle name="Normal 12 2 5" xfId="6473" xr:uid="{00000000-0005-0000-0000-00006C510000}"/>
    <cellStyle name="Normal 12 2 5 2" xfId="17761" xr:uid="{00000000-0005-0000-0000-00006D510000}"/>
    <cellStyle name="Normal 12 2 6" xfId="4476" xr:uid="{00000000-0005-0000-0000-00006E510000}"/>
    <cellStyle name="Normal 12 2 6 2" xfId="15767" xr:uid="{00000000-0005-0000-0000-00006F510000}"/>
    <cellStyle name="Normal 12 2 7" xfId="24137" xr:uid="{00000000-0005-0000-0000-000070510000}"/>
    <cellStyle name="Normal 12 3" xfId="11458" xr:uid="{00000000-0005-0000-0000-000071510000}"/>
    <cellStyle name="Normal 12 3 2" xfId="22746" xr:uid="{00000000-0005-0000-0000-000072510000}"/>
    <cellStyle name="Normal 12 3 3" xfId="24301" xr:uid="{00000000-0005-0000-0000-000073510000}"/>
    <cellStyle name="Normal 12 4" xfId="9464" xr:uid="{00000000-0005-0000-0000-000074510000}"/>
    <cellStyle name="Normal 12 4 2" xfId="20752" xr:uid="{00000000-0005-0000-0000-000075510000}"/>
    <cellStyle name="Normal 12 5" xfId="7470" xr:uid="{00000000-0005-0000-0000-000076510000}"/>
    <cellStyle name="Normal 12 5 2" xfId="18758" xr:uid="{00000000-0005-0000-0000-000077510000}"/>
    <cellStyle name="Normal 12 6" xfId="5476" xr:uid="{00000000-0005-0000-0000-000078510000}"/>
    <cellStyle name="Normal 12 6 2" xfId="16764" xr:uid="{00000000-0005-0000-0000-000079510000}"/>
    <cellStyle name="Normal 12 7" xfId="3239" xr:uid="{00000000-0005-0000-0000-00007A510000}"/>
    <cellStyle name="Normal 12 7 2" xfId="14770" xr:uid="{00000000-0005-0000-0000-00007B510000}"/>
    <cellStyle name="Normal 12 8" xfId="13745" xr:uid="{00000000-0005-0000-0000-00007C510000}"/>
    <cellStyle name="Normal 12 9" xfId="13456" xr:uid="{00000000-0005-0000-0000-00007D510000}"/>
    <cellStyle name="Normal 13" xfId="324" xr:uid="{00000000-0005-0000-0000-00007E510000}"/>
    <cellStyle name="Normal 13 10" xfId="23930" xr:uid="{00000000-0005-0000-0000-00007F510000}"/>
    <cellStyle name="Normal 13 11" xfId="24557" xr:uid="{00000000-0005-0000-0000-000080510000}"/>
    <cellStyle name="Normal 13 12" xfId="24947" xr:uid="{00000000-0005-0000-0000-000081510000}"/>
    <cellStyle name="Normal 13 2" xfId="649" xr:uid="{00000000-0005-0000-0000-000082510000}"/>
    <cellStyle name="Normal 13 2 2" xfId="12456" xr:uid="{00000000-0005-0000-0000-000083510000}"/>
    <cellStyle name="Normal 13 2 2 2" xfId="23744" xr:uid="{00000000-0005-0000-0000-000084510000}"/>
    <cellStyle name="Normal 13 2 3" xfId="10462" xr:uid="{00000000-0005-0000-0000-000085510000}"/>
    <cellStyle name="Normal 13 2 3 2" xfId="21750" xr:uid="{00000000-0005-0000-0000-000086510000}"/>
    <cellStyle name="Normal 13 2 4" xfId="8468" xr:uid="{00000000-0005-0000-0000-000087510000}"/>
    <cellStyle name="Normal 13 2 4 2" xfId="19756" xr:uid="{00000000-0005-0000-0000-000088510000}"/>
    <cellStyle name="Normal 13 2 5" xfId="6474" xr:uid="{00000000-0005-0000-0000-000089510000}"/>
    <cellStyle name="Normal 13 2 5 2" xfId="17762" xr:uid="{00000000-0005-0000-0000-00008A510000}"/>
    <cellStyle name="Normal 13 2 6" xfId="4477" xr:uid="{00000000-0005-0000-0000-00008B510000}"/>
    <cellStyle name="Normal 13 2 6 2" xfId="15768" xr:uid="{00000000-0005-0000-0000-00008C510000}"/>
    <cellStyle name="Normal 13 2 7" xfId="24318" xr:uid="{00000000-0005-0000-0000-00008D510000}"/>
    <cellStyle name="Normal 13 2 8" xfId="24782" xr:uid="{00000000-0005-0000-0000-00008E510000}"/>
    <cellStyle name="Normal 13 2 9" xfId="25149" xr:uid="{00000000-0005-0000-0000-00008F510000}"/>
    <cellStyle name="Normal 13 3" xfId="11459" xr:uid="{00000000-0005-0000-0000-000090510000}"/>
    <cellStyle name="Normal 13 3 2" xfId="22747" xr:uid="{00000000-0005-0000-0000-000091510000}"/>
    <cellStyle name="Normal 13 4" xfId="9465" xr:uid="{00000000-0005-0000-0000-000092510000}"/>
    <cellStyle name="Normal 13 4 2" xfId="20753" xr:uid="{00000000-0005-0000-0000-000093510000}"/>
    <cellStyle name="Normal 13 5" xfId="7471" xr:uid="{00000000-0005-0000-0000-000094510000}"/>
    <cellStyle name="Normal 13 5 2" xfId="18759" xr:uid="{00000000-0005-0000-0000-000095510000}"/>
    <cellStyle name="Normal 13 6" xfId="5477" xr:uid="{00000000-0005-0000-0000-000096510000}"/>
    <cellStyle name="Normal 13 6 2" xfId="16765" xr:uid="{00000000-0005-0000-0000-000097510000}"/>
    <cellStyle name="Normal 13 7" xfId="3240" xr:uid="{00000000-0005-0000-0000-000098510000}"/>
    <cellStyle name="Normal 13 7 2" xfId="14771" xr:uid="{00000000-0005-0000-0000-000099510000}"/>
    <cellStyle name="Normal 13 8" xfId="13755" xr:uid="{00000000-0005-0000-0000-00009A510000}"/>
    <cellStyle name="Normal 13 9" xfId="13457" xr:uid="{00000000-0005-0000-0000-00009B510000}"/>
    <cellStyle name="Normal 14" xfId="333" xr:uid="{00000000-0005-0000-0000-00009C510000}"/>
    <cellStyle name="Normal 14 10" xfId="24138" xr:uid="{00000000-0005-0000-0000-00009D510000}"/>
    <cellStyle name="Normal 14 11" xfId="24714" xr:uid="{00000000-0005-0000-0000-00009E510000}"/>
    <cellStyle name="Normal 14 12" xfId="25031" xr:uid="{00000000-0005-0000-0000-00009F510000}"/>
    <cellStyle name="Normal 14 2" xfId="650" xr:uid="{00000000-0005-0000-0000-0000A0510000}"/>
    <cellStyle name="Normal 14 2 2" xfId="12457" xr:uid="{00000000-0005-0000-0000-0000A1510000}"/>
    <cellStyle name="Normal 14 2 2 2" xfId="23745" xr:uid="{00000000-0005-0000-0000-0000A2510000}"/>
    <cellStyle name="Normal 14 2 3" xfId="10463" xr:uid="{00000000-0005-0000-0000-0000A3510000}"/>
    <cellStyle name="Normal 14 2 3 2" xfId="21751" xr:uid="{00000000-0005-0000-0000-0000A4510000}"/>
    <cellStyle name="Normal 14 2 4" xfId="8469" xr:uid="{00000000-0005-0000-0000-0000A5510000}"/>
    <cellStyle name="Normal 14 2 4 2" xfId="19757" xr:uid="{00000000-0005-0000-0000-0000A6510000}"/>
    <cellStyle name="Normal 14 2 5" xfId="6475" xr:uid="{00000000-0005-0000-0000-0000A7510000}"/>
    <cellStyle name="Normal 14 2 5 2" xfId="17763" xr:uid="{00000000-0005-0000-0000-0000A8510000}"/>
    <cellStyle name="Normal 14 2 6" xfId="4478" xr:uid="{00000000-0005-0000-0000-0000A9510000}"/>
    <cellStyle name="Normal 14 2 6 2" xfId="15769" xr:uid="{00000000-0005-0000-0000-0000AA510000}"/>
    <cellStyle name="Normal 14 2 7" xfId="24417" xr:uid="{00000000-0005-0000-0000-0000AB510000}"/>
    <cellStyle name="Normal 14 2 8" xfId="24862" xr:uid="{00000000-0005-0000-0000-0000AC510000}"/>
    <cellStyle name="Normal 14 2 9" xfId="25225" xr:uid="{00000000-0005-0000-0000-0000AD510000}"/>
    <cellStyle name="Normal 14 3" xfId="11460" xr:uid="{00000000-0005-0000-0000-0000AE510000}"/>
    <cellStyle name="Normal 14 3 2" xfId="22748" xr:uid="{00000000-0005-0000-0000-0000AF510000}"/>
    <cellStyle name="Normal 14 4" xfId="9466" xr:uid="{00000000-0005-0000-0000-0000B0510000}"/>
    <cellStyle name="Normal 14 4 2" xfId="20754" xr:uid="{00000000-0005-0000-0000-0000B1510000}"/>
    <cellStyle name="Normal 14 5" xfId="7472" xr:uid="{00000000-0005-0000-0000-0000B2510000}"/>
    <cellStyle name="Normal 14 5 2" xfId="18760" xr:uid="{00000000-0005-0000-0000-0000B3510000}"/>
    <cellStyle name="Normal 14 6" xfId="5478" xr:uid="{00000000-0005-0000-0000-0000B4510000}"/>
    <cellStyle name="Normal 14 6 2" xfId="16766" xr:uid="{00000000-0005-0000-0000-0000B5510000}"/>
    <cellStyle name="Normal 14 7" xfId="3241" xr:uid="{00000000-0005-0000-0000-0000B6510000}"/>
    <cellStyle name="Normal 14 7 2" xfId="14772" xr:uid="{00000000-0005-0000-0000-0000B7510000}"/>
    <cellStyle name="Normal 14 8" xfId="13756" xr:uid="{00000000-0005-0000-0000-0000B8510000}"/>
    <cellStyle name="Normal 14 9" xfId="13458" xr:uid="{00000000-0005-0000-0000-0000B9510000}"/>
    <cellStyle name="Normal 15" xfId="166" xr:uid="{00000000-0005-0000-0000-0000BA510000}"/>
    <cellStyle name="Normal 15 2" xfId="651" xr:uid="{00000000-0005-0000-0000-0000BB510000}"/>
    <cellStyle name="Normal 15 2 2" xfId="12458" xr:uid="{00000000-0005-0000-0000-0000BC510000}"/>
    <cellStyle name="Normal 15 2 2 2" xfId="23746" xr:uid="{00000000-0005-0000-0000-0000BD510000}"/>
    <cellStyle name="Normal 15 2 3" xfId="10464" xr:uid="{00000000-0005-0000-0000-0000BE510000}"/>
    <cellStyle name="Normal 15 2 3 2" xfId="21752" xr:uid="{00000000-0005-0000-0000-0000BF510000}"/>
    <cellStyle name="Normal 15 2 4" xfId="8470" xr:uid="{00000000-0005-0000-0000-0000C0510000}"/>
    <cellStyle name="Normal 15 2 4 2" xfId="19758" xr:uid="{00000000-0005-0000-0000-0000C1510000}"/>
    <cellStyle name="Normal 15 2 5" xfId="6476" xr:uid="{00000000-0005-0000-0000-0000C2510000}"/>
    <cellStyle name="Normal 15 2 5 2" xfId="17764" xr:uid="{00000000-0005-0000-0000-0000C3510000}"/>
    <cellStyle name="Normal 15 2 6" xfId="4479" xr:uid="{00000000-0005-0000-0000-0000C4510000}"/>
    <cellStyle name="Normal 15 2 6 2" xfId="15770" xr:uid="{00000000-0005-0000-0000-0000C5510000}"/>
    <cellStyle name="Normal 15 3" xfId="11461" xr:uid="{00000000-0005-0000-0000-0000C6510000}"/>
    <cellStyle name="Normal 15 3 2" xfId="22749" xr:uid="{00000000-0005-0000-0000-0000C7510000}"/>
    <cellStyle name="Normal 15 4" xfId="9467" xr:uid="{00000000-0005-0000-0000-0000C8510000}"/>
    <cellStyle name="Normal 15 4 2" xfId="20755" xr:uid="{00000000-0005-0000-0000-0000C9510000}"/>
    <cellStyle name="Normal 15 5" xfId="7473" xr:uid="{00000000-0005-0000-0000-0000CA510000}"/>
    <cellStyle name="Normal 15 5 2" xfId="18761" xr:uid="{00000000-0005-0000-0000-0000CB510000}"/>
    <cellStyle name="Normal 15 6" xfId="5479" xr:uid="{00000000-0005-0000-0000-0000CC510000}"/>
    <cellStyle name="Normal 15 6 2" xfId="16767" xr:uid="{00000000-0005-0000-0000-0000CD510000}"/>
    <cellStyle name="Normal 15 7" xfId="3242" xr:uid="{00000000-0005-0000-0000-0000CE510000}"/>
    <cellStyle name="Normal 15 7 2" xfId="14773" xr:uid="{00000000-0005-0000-0000-0000CF510000}"/>
    <cellStyle name="Normal 15 8" xfId="13682" xr:uid="{00000000-0005-0000-0000-0000D0510000}"/>
    <cellStyle name="Normal 15 9" xfId="13459" xr:uid="{00000000-0005-0000-0000-0000D1510000}"/>
    <cellStyle name="Normal 16" xfId="335" xr:uid="{00000000-0005-0000-0000-0000D2510000}"/>
    <cellStyle name="Normal 16 10" xfId="24298" xr:uid="{00000000-0005-0000-0000-0000D3510000}"/>
    <cellStyle name="Normal 16 2" xfId="4480" xr:uid="{00000000-0005-0000-0000-0000D4510000}"/>
    <cellStyle name="Normal 16 2 2" xfId="12459" xr:uid="{00000000-0005-0000-0000-0000D5510000}"/>
    <cellStyle name="Normal 16 2 2 2" xfId="23747" xr:uid="{00000000-0005-0000-0000-0000D6510000}"/>
    <cellStyle name="Normal 16 2 3" xfId="10465" xr:uid="{00000000-0005-0000-0000-0000D7510000}"/>
    <cellStyle name="Normal 16 2 3 2" xfId="21753" xr:uid="{00000000-0005-0000-0000-0000D8510000}"/>
    <cellStyle name="Normal 16 2 4" xfId="8471" xr:uid="{00000000-0005-0000-0000-0000D9510000}"/>
    <cellStyle name="Normal 16 2 4 2" xfId="19759" xr:uid="{00000000-0005-0000-0000-0000DA510000}"/>
    <cellStyle name="Normal 16 2 5" xfId="6477" xr:uid="{00000000-0005-0000-0000-0000DB510000}"/>
    <cellStyle name="Normal 16 2 5 2" xfId="17765" xr:uid="{00000000-0005-0000-0000-0000DC510000}"/>
    <cellStyle name="Normal 16 2 6" xfId="15771" xr:uid="{00000000-0005-0000-0000-0000DD510000}"/>
    <cellStyle name="Normal 16 3" xfId="11462" xr:uid="{00000000-0005-0000-0000-0000DE510000}"/>
    <cellStyle name="Normal 16 3 2" xfId="22750" xr:uid="{00000000-0005-0000-0000-0000DF510000}"/>
    <cellStyle name="Normal 16 4" xfId="9468" xr:uid="{00000000-0005-0000-0000-0000E0510000}"/>
    <cellStyle name="Normal 16 4 2" xfId="20756" xr:uid="{00000000-0005-0000-0000-0000E1510000}"/>
    <cellStyle name="Normal 16 5" xfId="7474" xr:uid="{00000000-0005-0000-0000-0000E2510000}"/>
    <cellStyle name="Normal 16 5 2" xfId="18762" xr:uid="{00000000-0005-0000-0000-0000E3510000}"/>
    <cellStyle name="Normal 16 6" xfId="5480" xr:uid="{00000000-0005-0000-0000-0000E4510000}"/>
    <cellStyle name="Normal 16 6 2" xfId="16768" xr:uid="{00000000-0005-0000-0000-0000E5510000}"/>
    <cellStyle name="Normal 16 7" xfId="3243" xr:uid="{00000000-0005-0000-0000-0000E6510000}"/>
    <cellStyle name="Normal 16 7 2" xfId="14774" xr:uid="{00000000-0005-0000-0000-0000E7510000}"/>
    <cellStyle name="Normal 16 8" xfId="13757" xr:uid="{00000000-0005-0000-0000-0000E8510000}"/>
    <cellStyle name="Normal 16 9" xfId="13460" xr:uid="{00000000-0005-0000-0000-0000E9510000}"/>
    <cellStyle name="Normal 17" xfId="343" xr:uid="{00000000-0005-0000-0000-0000EA510000}"/>
    <cellStyle name="Normal 17 10" xfId="23928" xr:uid="{00000000-0005-0000-0000-0000EB510000}"/>
    <cellStyle name="Normal 17 11" xfId="24556" xr:uid="{00000000-0005-0000-0000-0000EC510000}"/>
    <cellStyle name="Normal 17 12" xfId="24946" xr:uid="{00000000-0005-0000-0000-0000ED510000}"/>
    <cellStyle name="Normal 17 2" xfId="4481" xr:uid="{00000000-0005-0000-0000-0000EE510000}"/>
    <cellStyle name="Normal 17 2 2" xfId="12460" xr:uid="{00000000-0005-0000-0000-0000EF510000}"/>
    <cellStyle name="Normal 17 2 2 2" xfId="23748" xr:uid="{00000000-0005-0000-0000-0000F0510000}"/>
    <cellStyle name="Normal 17 2 3" xfId="10466" xr:uid="{00000000-0005-0000-0000-0000F1510000}"/>
    <cellStyle name="Normal 17 2 3 2" xfId="21754" xr:uid="{00000000-0005-0000-0000-0000F2510000}"/>
    <cellStyle name="Normal 17 2 4" xfId="8472" xr:uid="{00000000-0005-0000-0000-0000F3510000}"/>
    <cellStyle name="Normal 17 2 4 2" xfId="19760" xr:uid="{00000000-0005-0000-0000-0000F4510000}"/>
    <cellStyle name="Normal 17 2 5" xfId="6478" xr:uid="{00000000-0005-0000-0000-0000F5510000}"/>
    <cellStyle name="Normal 17 2 5 2" xfId="17766" xr:uid="{00000000-0005-0000-0000-0000F6510000}"/>
    <cellStyle name="Normal 17 2 6" xfId="15772" xr:uid="{00000000-0005-0000-0000-0000F7510000}"/>
    <cellStyle name="Normal 17 2 7" xfId="24316" xr:uid="{00000000-0005-0000-0000-0000F8510000}"/>
    <cellStyle name="Normal 17 2 8" xfId="24781" xr:uid="{00000000-0005-0000-0000-0000F9510000}"/>
    <cellStyle name="Normal 17 2 9" xfId="25148" xr:uid="{00000000-0005-0000-0000-0000FA510000}"/>
    <cellStyle name="Normal 17 3" xfId="11463" xr:uid="{00000000-0005-0000-0000-0000FB510000}"/>
    <cellStyle name="Normal 17 3 2" xfId="22751" xr:uid="{00000000-0005-0000-0000-0000FC510000}"/>
    <cellStyle name="Normal 17 4" xfId="9469" xr:uid="{00000000-0005-0000-0000-0000FD510000}"/>
    <cellStyle name="Normal 17 4 2" xfId="20757" xr:uid="{00000000-0005-0000-0000-0000FE510000}"/>
    <cellStyle name="Normal 17 5" xfId="7475" xr:uid="{00000000-0005-0000-0000-0000FF510000}"/>
    <cellStyle name="Normal 17 5 2" xfId="18763" xr:uid="{00000000-0005-0000-0000-000000520000}"/>
    <cellStyle name="Normal 17 6" xfId="5481" xr:uid="{00000000-0005-0000-0000-000001520000}"/>
    <cellStyle name="Normal 17 6 2" xfId="16769" xr:uid="{00000000-0005-0000-0000-000002520000}"/>
    <cellStyle name="Normal 17 7" xfId="3244" xr:uid="{00000000-0005-0000-0000-000003520000}"/>
    <cellStyle name="Normal 17 7 2" xfId="14775" xr:uid="{00000000-0005-0000-0000-000004520000}"/>
    <cellStyle name="Normal 17 8" xfId="13762" xr:uid="{00000000-0005-0000-0000-000005520000}"/>
    <cellStyle name="Normal 17 9" xfId="13461" xr:uid="{00000000-0005-0000-0000-000006520000}"/>
    <cellStyle name="Normal 18" xfId="350" xr:uid="{00000000-0005-0000-0000-000007520000}"/>
    <cellStyle name="Normal 18 2" xfId="4482" xr:uid="{00000000-0005-0000-0000-000008520000}"/>
    <cellStyle name="Normal 18 2 2" xfId="12461" xr:uid="{00000000-0005-0000-0000-000009520000}"/>
    <cellStyle name="Normal 18 2 2 2" xfId="23749" xr:uid="{00000000-0005-0000-0000-00000A520000}"/>
    <cellStyle name="Normal 18 2 3" xfId="10467" xr:uid="{00000000-0005-0000-0000-00000B520000}"/>
    <cellStyle name="Normal 18 2 3 2" xfId="21755" xr:uid="{00000000-0005-0000-0000-00000C520000}"/>
    <cellStyle name="Normal 18 2 4" xfId="8473" xr:uid="{00000000-0005-0000-0000-00000D520000}"/>
    <cellStyle name="Normal 18 2 4 2" xfId="19761" xr:uid="{00000000-0005-0000-0000-00000E520000}"/>
    <cellStyle name="Normal 18 2 5" xfId="6479" xr:uid="{00000000-0005-0000-0000-00000F520000}"/>
    <cellStyle name="Normal 18 2 5 2" xfId="17767" xr:uid="{00000000-0005-0000-0000-000010520000}"/>
    <cellStyle name="Normal 18 2 6" xfId="15773" xr:uid="{00000000-0005-0000-0000-000011520000}"/>
    <cellStyle name="Normal 18 3" xfId="11464" xr:uid="{00000000-0005-0000-0000-000012520000}"/>
    <cellStyle name="Normal 18 3 2" xfId="22752" xr:uid="{00000000-0005-0000-0000-000013520000}"/>
    <cellStyle name="Normal 18 4" xfId="9470" xr:uid="{00000000-0005-0000-0000-000014520000}"/>
    <cellStyle name="Normal 18 4 2" xfId="20758" xr:uid="{00000000-0005-0000-0000-000015520000}"/>
    <cellStyle name="Normal 18 5" xfId="7476" xr:uid="{00000000-0005-0000-0000-000016520000}"/>
    <cellStyle name="Normal 18 5 2" xfId="18764" xr:uid="{00000000-0005-0000-0000-000017520000}"/>
    <cellStyle name="Normal 18 6" xfId="5482" xr:uid="{00000000-0005-0000-0000-000018520000}"/>
    <cellStyle name="Normal 18 6 2" xfId="16770" xr:uid="{00000000-0005-0000-0000-000019520000}"/>
    <cellStyle name="Normal 18 7" xfId="3245" xr:uid="{00000000-0005-0000-0000-00001A520000}"/>
    <cellStyle name="Normal 18 7 2" xfId="14776" xr:uid="{00000000-0005-0000-0000-00001B520000}"/>
    <cellStyle name="Normal 18 8" xfId="13763" xr:uid="{00000000-0005-0000-0000-00001C520000}"/>
    <cellStyle name="Normal 18 9" xfId="13462" xr:uid="{00000000-0005-0000-0000-00001D520000}"/>
    <cellStyle name="Normal 19" xfId="359" xr:uid="{00000000-0005-0000-0000-00001E520000}"/>
    <cellStyle name="Normal 19 2" xfId="4483" xr:uid="{00000000-0005-0000-0000-00001F520000}"/>
    <cellStyle name="Normal 19 2 2" xfId="12462" xr:uid="{00000000-0005-0000-0000-000020520000}"/>
    <cellStyle name="Normal 19 2 2 2" xfId="23750" xr:uid="{00000000-0005-0000-0000-000021520000}"/>
    <cellStyle name="Normal 19 2 3" xfId="10468" xr:uid="{00000000-0005-0000-0000-000022520000}"/>
    <cellStyle name="Normal 19 2 3 2" xfId="21756" xr:uid="{00000000-0005-0000-0000-000023520000}"/>
    <cellStyle name="Normal 19 2 4" xfId="8474" xr:uid="{00000000-0005-0000-0000-000024520000}"/>
    <cellStyle name="Normal 19 2 4 2" xfId="19762" xr:uid="{00000000-0005-0000-0000-000025520000}"/>
    <cellStyle name="Normal 19 2 5" xfId="6480" xr:uid="{00000000-0005-0000-0000-000026520000}"/>
    <cellStyle name="Normal 19 2 5 2" xfId="17768" xr:uid="{00000000-0005-0000-0000-000027520000}"/>
    <cellStyle name="Normal 19 2 6" xfId="15774" xr:uid="{00000000-0005-0000-0000-000028520000}"/>
    <cellStyle name="Normal 19 3" xfId="11465" xr:uid="{00000000-0005-0000-0000-000029520000}"/>
    <cellStyle name="Normal 19 3 2" xfId="22753" xr:uid="{00000000-0005-0000-0000-00002A520000}"/>
    <cellStyle name="Normal 19 4" xfId="9471" xr:uid="{00000000-0005-0000-0000-00002B520000}"/>
    <cellStyle name="Normal 19 4 2" xfId="20759" xr:uid="{00000000-0005-0000-0000-00002C520000}"/>
    <cellStyle name="Normal 19 5" xfId="7477" xr:uid="{00000000-0005-0000-0000-00002D520000}"/>
    <cellStyle name="Normal 19 5 2" xfId="18765" xr:uid="{00000000-0005-0000-0000-00002E520000}"/>
    <cellStyle name="Normal 19 6" xfId="5483" xr:uid="{00000000-0005-0000-0000-00002F520000}"/>
    <cellStyle name="Normal 19 6 2" xfId="16771" xr:uid="{00000000-0005-0000-0000-000030520000}"/>
    <cellStyle name="Normal 19 7" xfId="3246" xr:uid="{00000000-0005-0000-0000-000031520000}"/>
    <cellStyle name="Normal 19 7 2" xfId="14777" xr:uid="{00000000-0005-0000-0000-000032520000}"/>
    <cellStyle name="Normal 19 8" xfId="13769" xr:uid="{00000000-0005-0000-0000-000033520000}"/>
    <cellStyle name="Normal 19 9" xfId="13463" xr:uid="{00000000-0005-0000-0000-000034520000}"/>
    <cellStyle name="Normal 2" xfId="9" xr:uid="{00000000-0005-0000-0000-000035520000}"/>
    <cellStyle name="Normal 2 10" xfId="24139" xr:uid="{00000000-0005-0000-0000-000036520000}"/>
    <cellStyle name="Normal 2 11" xfId="25752" xr:uid="{00000000-0005-0000-0000-000037520000}"/>
    <cellStyle name="Normal 2 2" xfId="51" xr:uid="{00000000-0005-0000-0000-000038520000}"/>
    <cellStyle name="Normal 2 2 2" xfId="202" xr:uid="{00000000-0005-0000-0000-000039520000}"/>
    <cellStyle name="Normal 2 2 2 2" xfId="348" xr:uid="{00000000-0005-0000-0000-00003A520000}"/>
    <cellStyle name="Normal 2 2 2 2 2" xfId="654" xr:uid="{00000000-0005-0000-0000-00003B520000}"/>
    <cellStyle name="Normal 2 2 2 2 3" xfId="653" xr:uid="{00000000-0005-0000-0000-00003C520000}"/>
    <cellStyle name="Normal 2 2 2 3" xfId="366" xr:uid="{00000000-0005-0000-0000-00003D520000}"/>
    <cellStyle name="Normal 2 2 2 3 2" xfId="448" xr:uid="{00000000-0005-0000-0000-00003E520000}"/>
    <cellStyle name="Normal 2 2 2 3 2 2" xfId="534" xr:uid="{00000000-0005-0000-0000-00003F520000}"/>
    <cellStyle name="Normal 2 2 2 3 2 2 2" xfId="13897" xr:uid="{00000000-0005-0000-0000-000040520000}"/>
    <cellStyle name="Normal 2 2 2 3 2 3" xfId="13820" xr:uid="{00000000-0005-0000-0000-000041520000}"/>
    <cellStyle name="Normal 2 2 2 3 3" xfId="497" xr:uid="{00000000-0005-0000-0000-000042520000}"/>
    <cellStyle name="Normal 2 2 2 3 3 2" xfId="13860" xr:uid="{00000000-0005-0000-0000-000043520000}"/>
    <cellStyle name="Normal 2 2 2 3 4" xfId="13776" xr:uid="{00000000-0005-0000-0000-000044520000}"/>
    <cellStyle name="Normal 2 2 2 4" xfId="428" xr:uid="{00000000-0005-0000-0000-000045520000}"/>
    <cellStyle name="Normal 2 2 2 4 2" xfId="519" xr:uid="{00000000-0005-0000-0000-000046520000}"/>
    <cellStyle name="Normal 2 2 2 4 2 2" xfId="13882" xr:uid="{00000000-0005-0000-0000-000047520000}"/>
    <cellStyle name="Normal 2 2 2 4 3" xfId="13805" xr:uid="{00000000-0005-0000-0000-000048520000}"/>
    <cellStyle name="Normal 2 2 2 5" xfId="482" xr:uid="{00000000-0005-0000-0000-000049520000}"/>
    <cellStyle name="Normal 2 2 2 5 2" xfId="13845" xr:uid="{00000000-0005-0000-0000-00004A520000}"/>
    <cellStyle name="Normal 2 2 2 6" xfId="652" xr:uid="{00000000-0005-0000-0000-00004B520000}"/>
    <cellStyle name="Normal 2 2 2 7" xfId="13702" xr:uid="{00000000-0005-0000-0000-00004C520000}"/>
    <cellStyle name="Normal 2 2 3" xfId="406" xr:uid="{00000000-0005-0000-0000-00004D520000}"/>
    <cellStyle name="Normal 2 2 4" xfId="384" xr:uid="{00000000-0005-0000-0000-00004E520000}"/>
    <cellStyle name="Normal 2 3" xfId="165" xr:uid="{00000000-0005-0000-0000-00004F520000}"/>
    <cellStyle name="Normal 2 3 2" xfId="421" xr:uid="{00000000-0005-0000-0000-000050520000}"/>
    <cellStyle name="Normal 2 3 2 2" xfId="25785" xr:uid="{00000000-0005-0000-0000-000051520000}"/>
    <cellStyle name="Normal 2 3 3" xfId="385" xr:uid="{00000000-0005-0000-0000-000052520000}"/>
    <cellStyle name="Normal 2 3 4" xfId="655" xr:uid="{00000000-0005-0000-0000-000053520000}"/>
    <cellStyle name="Normal 2 3 4 2" xfId="13910" xr:uid="{00000000-0005-0000-0000-000054520000}"/>
    <cellStyle name="Normal 2 4" xfId="656" xr:uid="{00000000-0005-0000-0000-000055520000}"/>
    <cellStyle name="Normal 2 4 2" xfId="3248" xr:uid="{00000000-0005-0000-0000-000056520000}"/>
    <cellStyle name="Normal 2 4 2 2" xfId="25786" xr:uid="{00000000-0005-0000-0000-000057520000}"/>
    <cellStyle name="Normal 2 4 3" xfId="25772" xr:uid="{00000000-0005-0000-0000-000058520000}"/>
    <cellStyle name="Normal 2 5" xfId="657" xr:uid="{00000000-0005-0000-0000-000059520000}"/>
    <cellStyle name="Normal 2 5 2" xfId="11466" xr:uid="{00000000-0005-0000-0000-00005A520000}"/>
    <cellStyle name="Normal 2 5 2 2" xfId="22754" xr:uid="{00000000-0005-0000-0000-00005B520000}"/>
    <cellStyle name="Normal 2 5 3" xfId="9472" xr:uid="{00000000-0005-0000-0000-00005C520000}"/>
    <cellStyle name="Normal 2 5 3 2" xfId="20760" xr:uid="{00000000-0005-0000-0000-00005D520000}"/>
    <cellStyle name="Normal 2 5 4" xfId="7478" xr:uid="{00000000-0005-0000-0000-00005E520000}"/>
    <cellStyle name="Normal 2 5 4 2" xfId="18766" xr:uid="{00000000-0005-0000-0000-00005F520000}"/>
    <cellStyle name="Normal 2 5 5" xfId="5484" xr:uid="{00000000-0005-0000-0000-000060520000}"/>
    <cellStyle name="Normal 2 5 5 2" xfId="16772" xr:uid="{00000000-0005-0000-0000-000061520000}"/>
    <cellStyle name="Normal 2 5 6" xfId="3249" xr:uid="{00000000-0005-0000-0000-000062520000}"/>
    <cellStyle name="Normal 2 5 6 2" xfId="14778" xr:uid="{00000000-0005-0000-0000-000063520000}"/>
    <cellStyle name="Normal 2 5 7" xfId="24140" xr:uid="{00000000-0005-0000-0000-000064520000}"/>
    <cellStyle name="Normal 2 6" xfId="4484" xr:uid="{00000000-0005-0000-0000-000065520000}"/>
    <cellStyle name="Normal 2 6 2" xfId="12463" xr:uid="{00000000-0005-0000-0000-000066520000}"/>
    <cellStyle name="Normal 2 6 2 2" xfId="23751" xr:uid="{00000000-0005-0000-0000-000067520000}"/>
    <cellStyle name="Normal 2 6 3" xfId="10469" xr:uid="{00000000-0005-0000-0000-000068520000}"/>
    <cellStyle name="Normal 2 6 3 2" xfId="21757" xr:uid="{00000000-0005-0000-0000-000069520000}"/>
    <cellStyle name="Normal 2 6 4" xfId="8475" xr:uid="{00000000-0005-0000-0000-00006A520000}"/>
    <cellStyle name="Normal 2 6 4 2" xfId="19763" xr:uid="{00000000-0005-0000-0000-00006B520000}"/>
    <cellStyle name="Normal 2 6 5" xfId="6481" xr:uid="{00000000-0005-0000-0000-00006C520000}"/>
    <cellStyle name="Normal 2 6 5 2" xfId="17769" xr:uid="{00000000-0005-0000-0000-00006D520000}"/>
    <cellStyle name="Normal 2 6 6" xfId="15775" xr:uid="{00000000-0005-0000-0000-00006E520000}"/>
    <cellStyle name="Normal 2 6 7" xfId="24141" xr:uid="{00000000-0005-0000-0000-00006F520000}"/>
    <cellStyle name="Normal 2 6 8" xfId="25780" xr:uid="{00000000-0005-0000-0000-000070520000}"/>
    <cellStyle name="Normal 2 7" xfId="3247" xr:uid="{00000000-0005-0000-0000-000071520000}"/>
    <cellStyle name="Normal 2 7 2" xfId="24142" xr:uid="{00000000-0005-0000-0000-000072520000}"/>
    <cellStyle name="Normal 2 8" xfId="13604" xr:uid="{00000000-0005-0000-0000-000073520000}"/>
    <cellStyle name="Normal 2 9" xfId="23906" xr:uid="{00000000-0005-0000-0000-000074520000}"/>
    <cellStyle name="Normal 20" xfId="393" xr:uid="{00000000-0005-0000-0000-000075520000}"/>
    <cellStyle name="Normal 20 2" xfId="4485" xr:uid="{00000000-0005-0000-0000-000076520000}"/>
    <cellStyle name="Normal 20 2 2" xfId="12464" xr:uid="{00000000-0005-0000-0000-000077520000}"/>
    <cellStyle name="Normal 20 2 2 2" xfId="23752" xr:uid="{00000000-0005-0000-0000-000078520000}"/>
    <cellStyle name="Normal 20 2 3" xfId="10470" xr:uid="{00000000-0005-0000-0000-000079520000}"/>
    <cellStyle name="Normal 20 2 3 2" xfId="21758" xr:uid="{00000000-0005-0000-0000-00007A520000}"/>
    <cellStyle name="Normal 20 2 4" xfId="8476" xr:uid="{00000000-0005-0000-0000-00007B520000}"/>
    <cellStyle name="Normal 20 2 4 2" xfId="19764" xr:uid="{00000000-0005-0000-0000-00007C520000}"/>
    <cellStyle name="Normal 20 2 5" xfId="6482" xr:uid="{00000000-0005-0000-0000-00007D520000}"/>
    <cellStyle name="Normal 20 2 5 2" xfId="17770" xr:uid="{00000000-0005-0000-0000-00007E520000}"/>
    <cellStyle name="Normal 20 2 6" xfId="15776" xr:uid="{00000000-0005-0000-0000-00007F520000}"/>
    <cellStyle name="Normal 20 3" xfId="11467" xr:uid="{00000000-0005-0000-0000-000080520000}"/>
    <cellStyle name="Normal 20 3 2" xfId="22755" xr:uid="{00000000-0005-0000-0000-000081520000}"/>
    <cellStyle name="Normal 20 4" xfId="9473" xr:uid="{00000000-0005-0000-0000-000082520000}"/>
    <cellStyle name="Normal 20 4 2" xfId="20761" xr:uid="{00000000-0005-0000-0000-000083520000}"/>
    <cellStyle name="Normal 20 5" xfId="7479" xr:uid="{00000000-0005-0000-0000-000084520000}"/>
    <cellStyle name="Normal 20 5 2" xfId="18767" xr:uid="{00000000-0005-0000-0000-000085520000}"/>
    <cellStyle name="Normal 20 6" xfId="5485" xr:uid="{00000000-0005-0000-0000-000086520000}"/>
    <cellStyle name="Normal 20 6 2" xfId="16773" xr:uid="{00000000-0005-0000-0000-000087520000}"/>
    <cellStyle name="Normal 20 7" xfId="3250" xr:uid="{00000000-0005-0000-0000-000088520000}"/>
    <cellStyle name="Normal 20 7 2" xfId="14779" xr:uid="{00000000-0005-0000-0000-000089520000}"/>
    <cellStyle name="Normal 20 8" xfId="13787" xr:uid="{00000000-0005-0000-0000-00008A520000}"/>
    <cellStyle name="Normal 20 9" xfId="13464" xr:uid="{00000000-0005-0000-0000-00008B520000}"/>
    <cellStyle name="Normal 21" xfId="370" xr:uid="{00000000-0005-0000-0000-00008C520000}"/>
    <cellStyle name="Normal 21 10" xfId="24130" xr:uid="{00000000-0005-0000-0000-00008D520000}"/>
    <cellStyle name="Normal 21 2" xfId="500" xr:uid="{00000000-0005-0000-0000-00008E520000}"/>
    <cellStyle name="Normal 21 2 2" xfId="12465" xr:uid="{00000000-0005-0000-0000-00008F520000}"/>
    <cellStyle name="Normal 21 2 2 2" xfId="23753" xr:uid="{00000000-0005-0000-0000-000090520000}"/>
    <cellStyle name="Normal 21 2 3" xfId="10471" xr:uid="{00000000-0005-0000-0000-000091520000}"/>
    <cellStyle name="Normal 21 2 3 2" xfId="21759" xr:uid="{00000000-0005-0000-0000-000092520000}"/>
    <cellStyle name="Normal 21 2 4" xfId="8477" xr:uid="{00000000-0005-0000-0000-000093520000}"/>
    <cellStyle name="Normal 21 2 4 2" xfId="19765" xr:uid="{00000000-0005-0000-0000-000094520000}"/>
    <cellStyle name="Normal 21 2 5" xfId="6483" xr:uid="{00000000-0005-0000-0000-000095520000}"/>
    <cellStyle name="Normal 21 2 5 2" xfId="17771" xr:uid="{00000000-0005-0000-0000-000096520000}"/>
    <cellStyle name="Normal 21 2 6" xfId="4486" xr:uid="{00000000-0005-0000-0000-000097520000}"/>
    <cellStyle name="Normal 21 2 6 2" xfId="15777" xr:uid="{00000000-0005-0000-0000-000098520000}"/>
    <cellStyle name="Normal 21 2 7" xfId="13863" xr:uid="{00000000-0005-0000-0000-000099520000}"/>
    <cellStyle name="Normal 21 3" xfId="11468" xr:uid="{00000000-0005-0000-0000-00009A520000}"/>
    <cellStyle name="Normal 21 3 2" xfId="22756" xr:uid="{00000000-0005-0000-0000-00009B520000}"/>
    <cellStyle name="Normal 21 4" xfId="9474" xr:uid="{00000000-0005-0000-0000-00009C520000}"/>
    <cellStyle name="Normal 21 4 2" xfId="20762" xr:uid="{00000000-0005-0000-0000-00009D520000}"/>
    <cellStyle name="Normal 21 5" xfId="7480" xr:uid="{00000000-0005-0000-0000-00009E520000}"/>
    <cellStyle name="Normal 21 5 2" xfId="18768" xr:uid="{00000000-0005-0000-0000-00009F520000}"/>
    <cellStyle name="Normal 21 6" xfId="5486" xr:uid="{00000000-0005-0000-0000-0000A0520000}"/>
    <cellStyle name="Normal 21 6 2" xfId="16774" xr:uid="{00000000-0005-0000-0000-0000A1520000}"/>
    <cellStyle name="Normal 21 7" xfId="3251" xr:uid="{00000000-0005-0000-0000-0000A2520000}"/>
    <cellStyle name="Normal 21 7 2" xfId="14780" xr:uid="{00000000-0005-0000-0000-0000A3520000}"/>
    <cellStyle name="Normal 21 8" xfId="13779" xr:uid="{00000000-0005-0000-0000-0000A4520000}"/>
    <cellStyle name="Normal 21 9" xfId="13465" xr:uid="{00000000-0005-0000-0000-0000A5520000}"/>
    <cellStyle name="Normal 22" xfId="419" xr:uid="{00000000-0005-0000-0000-0000A6520000}"/>
    <cellStyle name="Normal 22 10" xfId="24314" xr:uid="{00000000-0005-0000-0000-0000A7520000}"/>
    <cellStyle name="Normal 22 2" xfId="512" xr:uid="{00000000-0005-0000-0000-0000A8520000}"/>
    <cellStyle name="Normal 22 2 2" xfId="12466" xr:uid="{00000000-0005-0000-0000-0000A9520000}"/>
    <cellStyle name="Normal 22 2 2 2" xfId="23754" xr:uid="{00000000-0005-0000-0000-0000AA520000}"/>
    <cellStyle name="Normal 22 2 3" xfId="10472" xr:uid="{00000000-0005-0000-0000-0000AB520000}"/>
    <cellStyle name="Normal 22 2 3 2" xfId="21760" xr:uid="{00000000-0005-0000-0000-0000AC520000}"/>
    <cellStyle name="Normal 22 2 4" xfId="8478" xr:uid="{00000000-0005-0000-0000-0000AD520000}"/>
    <cellStyle name="Normal 22 2 4 2" xfId="19766" xr:uid="{00000000-0005-0000-0000-0000AE520000}"/>
    <cellStyle name="Normal 22 2 5" xfId="6484" xr:uid="{00000000-0005-0000-0000-0000AF520000}"/>
    <cellStyle name="Normal 22 2 5 2" xfId="17772" xr:uid="{00000000-0005-0000-0000-0000B0520000}"/>
    <cellStyle name="Normal 22 2 6" xfId="4487" xr:uid="{00000000-0005-0000-0000-0000B1520000}"/>
    <cellStyle name="Normal 22 2 6 2" xfId="15778" xr:uid="{00000000-0005-0000-0000-0000B2520000}"/>
    <cellStyle name="Normal 22 2 7" xfId="13875" xr:uid="{00000000-0005-0000-0000-0000B3520000}"/>
    <cellStyle name="Normal 22 3" xfId="11469" xr:uid="{00000000-0005-0000-0000-0000B4520000}"/>
    <cellStyle name="Normal 22 3 2" xfId="22757" xr:uid="{00000000-0005-0000-0000-0000B5520000}"/>
    <cellStyle name="Normal 22 4" xfId="9475" xr:uid="{00000000-0005-0000-0000-0000B6520000}"/>
    <cellStyle name="Normal 22 4 2" xfId="20763" xr:uid="{00000000-0005-0000-0000-0000B7520000}"/>
    <cellStyle name="Normal 22 5" xfId="7481" xr:uid="{00000000-0005-0000-0000-0000B8520000}"/>
    <cellStyle name="Normal 22 5 2" xfId="18769" xr:uid="{00000000-0005-0000-0000-0000B9520000}"/>
    <cellStyle name="Normal 22 6" xfId="5487" xr:uid="{00000000-0005-0000-0000-0000BA520000}"/>
    <cellStyle name="Normal 22 6 2" xfId="16775" xr:uid="{00000000-0005-0000-0000-0000BB520000}"/>
    <cellStyle name="Normal 22 7" xfId="3252" xr:uid="{00000000-0005-0000-0000-0000BC520000}"/>
    <cellStyle name="Normal 22 7 2" xfId="14781" xr:uid="{00000000-0005-0000-0000-0000BD520000}"/>
    <cellStyle name="Normal 22 8" xfId="13798" xr:uid="{00000000-0005-0000-0000-0000BE520000}"/>
    <cellStyle name="Normal 22 9" xfId="13466" xr:uid="{00000000-0005-0000-0000-0000BF520000}"/>
    <cellStyle name="Normal 23" xfId="52" xr:uid="{00000000-0005-0000-0000-0000C0520000}"/>
    <cellStyle name="Normal 23 10" xfId="24478" xr:uid="{00000000-0005-0000-0000-0000C1520000}"/>
    <cellStyle name="Normal 23 2" xfId="4488" xr:uid="{00000000-0005-0000-0000-0000C2520000}"/>
    <cellStyle name="Normal 23 2 2" xfId="12467" xr:uid="{00000000-0005-0000-0000-0000C3520000}"/>
    <cellStyle name="Normal 23 2 2 2" xfId="23755" xr:uid="{00000000-0005-0000-0000-0000C4520000}"/>
    <cellStyle name="Normal 23 2 3" xfId="10473" xr:uid="{00000000-0005-0000-0000-0000C5520000}"/>
    <cellStyle name="Normal 23 2 3 2" xfId="21761" xr:uid="{00000000-0005-0000-0000-0000C6520000}"/>
    <cellStyle name="Normal 23 2 4" xfId="8479" xr:uid="{00000000-0005-0000-0000-0000C7520000}"/>
    <cellStyle name="Normal 23 2 4 2" xfId="19767" xr:uid="{00000000-0005-0000-0000-0000C8520000}"/>
    <cellStyle name="Normal 23 2 5" xfId="6485" xr:uid="{00000000-0005-0000-0000-0000C9520000}"/>
    <cellStyle name="Normal 23 2 5 2" xfId="17773" xr:uid="{00000000-0005-0000-0000-0000CA520000}"/>
    <cellStyle name="Normal 23 2 6" xfId="15779" xr:uid="{00000000-0005-0000-0000-0000CB520000}"/>
    <cellStyle name="Normal 23 3" xfId="4619" xr:uid="{00000000-0005-0000-0000-0000CC520000}"/>
    <cellStyle name="Normal 23 3 2" xfId="11470" xr:uid="{00000000-0005-0000-0000-0000CD520000}"/>
    <cellStyle name="Normal 23 3 2 2" xfId="22758" xr:uid="{00000000-0005-0000-0000-0000CE520000}"/>
    <cellStyle name="Normal 23 4" xfId="9476" xr:uid="{00000000-0005-0000-0000-0000CF520000}"/>
    <cellStyle name="Normal 23 4 2" xfId="20764" xr:uid="{00000000-0005-0000-0000-0000D0520000}"/>
    <cellStyle name="Normal 23 5" xfId="7482" xr:uid="{00000000-0005-0000-0000-0000D1520000}"/>
    <cellStyle name="Normal 23 5 2" xfId="18770" xr:uid="{00000000-0005-0000-0000-0000D2520000}"/>
    <cellStyle name="Normal 23 6" xfId="5488" xr:uid="{00000000-0005-0000-0000-0000D3520000}"/>
    <cellStyle name="Normal 23 6 2" xfId="16776" xr:uid="{00000000-0005-0000-0000-0000D4520000}"/>
    <cellStyle name="Normal 23 7" xfId="3253" xr:uid="{00000000-0005-0000-0000-0000D5520000}"/>
    <cellStyle name="Normal 23 7 2" xfId="14782" xr:uid="{00000000-0005-0000-0000-0000D6520000}"/>
    <cellStyle name="Normal 23 8" xfId="13611" xr:uid="{00000000-0005-0000-0000-0000D7520000}"/>
    <cellStyle name="Normal 23 9" xfId="13467" xr:uid="{00000000-0005-0000-0000-0000D8520000}"/>
    <cellStyle name="Normal 24" xfId="409" xr:uid="{00000000-0005-0000-0000-0000D9520000}"/>
    <cellStyle name="Normal 24 10" xfId="24500" xr:uid="{00000000-0005-0000-0000-0000DA520000}"/>
    <cellStyle name="Normal 24 2" xfId="509" xr:uid="{00000000-0005-0000-0000-0000DB520000}"/>
    <cellStyle name="Normal 24 2 2" xfId="12468" xr:uid="{00000000-0005-0000-0000-0000DC520000}"/>
    <cellStyle name="Normal 24 2 2 2" xfId="23756" xr:uid="{00000000-0005-0000-0000-0000DD520000}"/>
    <cellStyle name="Normal 24 2 3" xfId="10474" xr:uid="{00000000-0005-0000-0000-0000DE520000}"/>
    <cellStyle name="Normal 24 2 3 2" xfId="21762" xr:uid="{00000000-0005-0000-0000-0000DF520000}"/>
    <cellStyle name="Normal 24 2 4" xfId="8480" xr:uid="{00000000-0005-0000-0000-0000E0520000}"/>
    <cellStyle name="Normal 24 2 4 2" xfId="19768" xr:uid="{00000000-0005-0000-0000-0000E1520000}"/>
    <cellStyle name="Normal 24 2 5" xfId="6486" xr:uid="{00000000-0005-0000-0000-0000E2520000}"/>
    <cellStyle name="Normal 24 2 5 2" xfId="17774" xr:uid="{00000000-0005-0000-0000-0000E3520000}"/>
    <cellStyle name="Normal 24 2 6" xfId="4489" xr:uid="{00000000-0005-0000-0000-0000E4520000}"/>
    <cellStyle name="Normal 24 2 6 2" xfId="15780" xr:uid="{00000000-0005-0000-0000-0000E5520000}"/>
    <cellStyle name="Normal 24 2 7" xfId="13872" xr:uid="{00000000-0005-0000-0000-0000E6520000}"/>
    <cellStyle name="Normal 24 3" xfId="11471" xr:uid="{00000000-0005-0000-0000-0000E7520000}"/>
    <cellStyle name="Normal 24 3 2" xfId="22759" xr:uid="{00000000-0005-0000-0000-0000E8520000}"/>
    <cellStyle name="Normal 24 4" xfId="9477" xr:uid="{00000000-0005-0000-0000-0000E9520000}"/>
    <cellStyle name="Normal 24 4 2" xfId="20765" xr:uid="{00000000-0005-0000-0000-0000EA520000}"/>
    <cellStyle name="Normal 24 5" xfId="7483" xr:uid="{00000000-0005-0000-0000-0000EB520000}"/>
    <cellStyle name="Normal 24 5 2" xfId="18771" xr:uid="{00000000-0005-0000-0000-0000EC520000}"/>
    <cellStyle name="Normal 24 6" xfId="5489" xr:uid="{00000000-0005-0000-0000-0000ED520000}"/>
    <cellStyle name="Normal 24 6 2" xfId="16777" xr:uid="{00000000-0005-0000-0000-0000EE520000}"/>
    <cellStyle name="Normal 24 7" xfId="3254" xr:uid="{00000000-0005-0000-0000-0000EF520000}"/>
    <cellStyle name="Normal 24 7 2" xfId="14783" xr:uid="{00000000-0005-0000-0000-0000F0520000}"/>
    <cellStyle name="Normal 24 8" xfId="13791" xr:uid="{00000000-0005-0000-0000-0000F1520000}"/>
    <cellStyle name="Normal 24 9" xfId="13468" xr:uid="{00000000-0005-0000-0000-0000F2520000}"/>
    <cellStyle name="Normal 25" xfId="451" xr:uid="{00000000-0005-0000-0000-0000F3520000}"/>
    <cellStyle name="Normal 25 10" xfId="24476" xr:uid="{00000000-0005-0000-0000-0000F4520000}"/>
    <cellStyle name="Normal 25 2" xfId="537" xr:uid="{00000000-0005-0000-0000-0000F5520000}"/>
    <cellStyle name="Normal 25 2 2" xfId="12469" xr:uid="{00000000-0005-0000-0000-0000F6520000}"/>
    <cellStyle name="Normal 25 2 2 2" xfId="23757" xr:uid="{00000000-0005-0000-0000-0000F7520000}"/>
    <cellStyle name="Normal 25 2 3" xfId="10475" xr:uid="{00000000-0005-0000-0000-0000F8520000}"/>
    <cellStyle name="Normal 25 2 3 2" xfId="21763" xr:uid="{00000000-0005-0000-0000-0000F9520000}"/>
    <cellStyle name="Normal 25 2 4" xfId="8481" xr:uid="{00000000-0005-0000-0000-0000FA520000}"/>
    <cellStyle name="Normal 25 2 4 2" xfId="19769" xr:uid="{00000000-0005-0000-0000-0000FB520000}"/>
    <cellStyle name="Normal 25 2 5" xfId="6487" xr:uid="{00000000-0005-0000-0000-0000FC520000}"/>
    <cellStyle name="Normal 25 2 5 2" xfId="17775" xr:uid="{00000000-0005-0000-0000-0000FD520000}"/>
    <cellStyle name="Normal 25 2 6" xfId="4490" xr:uid="{00000000-0005-0000-0000-0000FE520000}"/>
    <cellStyle name="Normal 25 2 6 2" xfId="15781" xr:uid="{00000000-0005-0000-0000-0000FF520000}"/>
    <cellStyle name="Normal 25 2 7" xfId="13900" xr:uid="{00000000-0005-0000-0000-000000530000}"/>
    <cellStyle name="Normal 25 3" xfId="11472" xr:uid="{00000000-0005-0000-0000-000001530000}"/>
    <cellStyle name="Normal 25 3 2" xfId="22760" xr:uid="{00000000-0005-0000-0000-000002530000}"/>
    <cellStyle name="Normal 25 4" xfId="9478" xr:uid="{00000000-0005-0000-0000-000003530000}"/>
    <cellStyle name="Normal 25 4 2" xfId="20766" xr:uid="{00000000-0005-0000-0000-000004530000}"/>
    <cellStyle name="Normal 25 5" xfId="7484" xr:uid="{00000000-0005-0000-0000-000005530000}"/>
    <cellStyle name="Normal 25 5 2" xfId="18772" xr:uid="{00000000-0005-0000-0000-000006530000}"/>
    <cellStyle name="Normal 25 6" xfId="5490" xr:uid="{00000000-0005-0000-0000-000007530000}"/>
    <cellStyle name="Normal 25 6 2" xfId="16778" xr:uid="{00000000-0005-0000-0000-000008530000}"/>
    <cellStyle name="Normal 25 7" xfId="3255" xr:uid="{00000000-0005-0000-0000-000009530000}"/>
    <cellStyle name="Normal 25 7 2" xfId="14784" xr:uid="{00000000-0005-0000-0000-00000A530000}"/>
    <cellStyle name="Normal 25 8" xfId="13823" xr:uid="{00000000-0005-0000-0000-00000B530000}"/>
    <cellStyle name="Normal 25 9" xfId="13469" xr:uid="{00000000-0005-0000-0000-00000C530000}"/>
    <cellStyle name="Normal 26" xfId="454" xr:uid="{00000000-0005-0000-0000-00000D530000}"/>
    <cellStyle name="Normal 26 2" xfId="4491" xr:uid="{00000000-0005-0000-0000-00000E530000}"/>
    <cellStyle name="Normal 26 2 2" xfId="12470" xr:uid="{00000000-0005-0000-0000-00000F530000}"/>
    <cellStyle name="Normal 26 2 2 2" xfId="23758" xr:uid="{00000000-0005-0000-0000-000010530000}"/>
    <cellStyle name="Normal 26 2 3" xfId="10476" xr:uid="{00000000-0005-0000-0000-000011530000}"/>
    <cellStyle name="Normal 26 2 3 2" xfId="21764" xr:uid="{00000000-0005-0000-0000-000012530000}"/>
    <cellStyle name="Normal 26 2 4" xfId="8482" xr:uid="{00000000-0005-0000-0000-000013530000}"/>
    <cellStyle name="Normal 26 2 4 2" xfId="19770" xr:uid="{00000000-0005-0000-0000-000014530000}"/>
    <cellStyle name="Normal 26 2 5" xfId="6488" xr:uid="{00000000-0005-0000-0000-000015530000}"/>
    <cellStyle name="Normal 26 2 5 2" xfId="17776" xr:uid="{00000000-0005-0000-0000-000016530000}"/>
    <cellStyle name="Normal 26 2 6" xfId="15782" xr:uid="{00000000-0005-0000-0000-000017530000}"/>
    <cellStyle name="Normal 26 3" xfId="11473" xr:uid="{00000000-0005-0000-0000-000018530000}"/>
    <cellStyle name="Normal 26 3 2" xfId="22761" xr:uid="{00000000-0005-0000-0000-000019530000}"/>
    <cellStyle name="Normal 26 4" xfId="9479" xr:uid="{00000000-0005-0000-0000-00001A530000}"/>
    <cellStyle name="Normal 26 4 2" xfId="20767" xr:uid="{00000000-0005-0000-0000-00001B530000}"/>
    <cellStyle name="Normal 26 5" xfId="7485" xr:uid="{00000000-0005-0000-0000-00001C530000}"/>
    <cellStyle name="Normal 26 5 2" xfId="18773" xr:uid="{00000000-0005-0000-0000-00001D530000}"/>
    <cellStyle name="Normal 26 6" xfId="5491" xr:uid="{00000000-0005-0000-0000-00001E530000}"/>
    <cellStyle name="Normal 26 6 2" xfId="16779" xr:uid="{00000000-0005-0000-0000-00001F530000}"/>
    <cellStyle name="Normal 26 7" xfId="3256" xr:uid="{00000000-0005-0000-0000-000020530000}"/>
    <cellStyle name="Normal 26 7 2" xfId="14785" xr:uid="{00000000-0005-0000-0000-000021530000}"/>
    <cellStyle name="Normal 26 8" xfId="13826" xr:uid="{00000000-0005-0000-0000-000022530000}"/>
    <cellStyle name="Normal 26 9" xfId="13470" xr:uid="{00000000-0005-0000-0000-000023530000}"/>
    <cellStyle name="Normal 27" xfId="465" xr:uid="{00000000-0005-0000-0000-000024530000}"/>
    <cellStyle name="Normal 27 2" xfId="4492" xr:uid="{00000000-0005-0000-0000-000025530000}"/>
    <cellStyle name="Normal 27 2 2" xfId="12471" xr:uid="{00000000-0005-0000-0000-000026530000}"/>
    <cellStyle name="Normal 27 2 2 2" xfId="23759" xr:uid="{00000000-0005-0000-0000-000027530000}"/>
    <cellStyle name="Normal 27 2 3" xfId="10477" xr:uid="{00000000-0005-0000-0000-000028530000}"/>
    <cellStyle name="Normal 27 2 3 2" xfId="21765" xr:uid="{00000000-0005-0000-0000-000029530000}"/>
    <cellStyle name="Normal 27 2 4" xfId="8483" xr:uid="{00000000-0005-0000-0000-00002A530000}"/>
    <cellStyle name="Normal 27 2 4 2" xfId="19771" xr:uid="{00000000-0005-0000-0000-00002B530000}"/>
    <cellStyle name="Normal 27 2 5" xfId="6489" xr:uid="{00000000-0005-0000-0000-00002C530000}"/>
    <cellStyle name="Normal 27 2 5 2" xfId="17777" xr:uid="{00000000-0005-0000-0000-00002D530000}"/>
    <cellStyle name="Normal 27 2 6" xfId="15783" xr:uid="{00000000-0005-0000-0000-00002E530000}"/>
    <cellStyle name="Normal 27 3" xfId="11474" xr:uid="{00000000-0005-0000-0000-00002F530000}"/>
    <cellStyle name="Normal 27 3 2" xfId="22762" xr:uid="{00000000-0005-0000-0000-000030530000}"/>
    <cellStyle name="Normal 27 4" xfId="9480" xr:uid="{00000000-0005-0000-0000-000031530000}"/>
    <cellStyle name="Normal 27 4 2" xfId="20768" xr:uid="{00000000-0005-0000-0000-000032530000}"/>
    <cellStyle name="Normal 27 5" xfId="7486" xr:uid="{00000000-0005-0000-0000-000033530000}"/>
    <cellStyle name="Normal 27 5 2" xfId="18774" xr:uid="{00000000-0005-0000-0000-000034530000}"/>
    <cellStyle name="Normal 27 6" xfId="5492" xr:uid="{00000000-0005-0000-0000-000035530000}"/>
    <cellStyle name="Normal 27 6 2" xfId="16780" xr:uid="{00000000-0005-0000-0000-000036530000}"/>
    <cellStyle name="Normal 27 7" xfId="3257" xr:uid="{00000000-0005-0000-0000-000037530000}"/>
    <cellStyle name="Normal 27 7 2" xfId="14786" xr:uid="{00000000-0005-0000-0000-000038530000}"/>
    <cellStyle name="Normal 27 8" xfId="13829" xr:uid="{00000000-0005-0000-0000-000039530000}"/>
    <cellStyle name="Normal 27 9" xfId="13471" xr:uid="{00000000-0005-0000-0000-00003A530000}"/>
    <cellStyle name="Normal 28" xfId="469" xr:uid="{00000000-0005-0000-0000-00003B530000}"/>
    <cellStyle name="Normal 28 2" xfId="4493" xr:uid="{00000000-0005-0000-0000-00003C530000}"/>
    <cellStyle name="Normal 28 2 2" xfId="12472" xr:uid="{00000000-0005-0000-0000-00003D530000}"/>
    <cellStyle name="Normal 28 2 2 2" xfId="23760" xr:uid="{00000000-0005-0000-0000-00003E530000}"/>
    <cellStyle name="Normal 28 2 3" xfId="10478" xr:uid="{00000000-0005-0000-0000-00003F530000}"/>
    <cellStyle name="Normal 28 2 3 2" xfId="21766" xr:uid="{00000000-0005-0000-0000-000040530000}"/>
    <cellStyle name="Normal 28 2 4" xfId="8484" xr:uid="{00000000-0005-0000-0000-000041530000}"/>
    <cellStyle name="Normal 28 2 4 2" xfId="19772" xr:uid="{00000000-0005-0000-0000-000042530000}"/>
    <cellStyle name="Normal 28 2 5" xfId="6490" xr:uid="{00000000-0005-0000-0000-000043530000}"/>
    <cellStyle name="Normal 28 2 5 2" xfId="17778" xr:uid="{00000000-0005-0000-0000-000044530000}"/>
    <cellStyle name="Normal 28 2 6" xfId="15784" xr:uid="{00000000-0005-0000-0000-000045530000}"/>
    <cellStyle name="Normal 28 3" xfId="11475" xr:uid="{00000000-0005-0000-0000-000046530000}"/>
    <cellStyle name="Normal 28 3 2" xfId="22763" xr:uid="{00000000-0005-0000-0000-000047530000}"/>
    <cellStyle name="Normal 28 4" xfId="9481" xr:uid="{00000000-0005-0000-0000-000048530000}"/>
    <cellStyle name="Normal 28 4 2" xfId="20769" xr:uid="{00000000-0005-0000-0000-000049530000}"/>
    <cellStyle name="Normal 28 5" xfId="7487" xr:uid="{00000000-0005-0000-0000-00004A530000}"/>
    <cellStyle name="Normal 28 5 2" xfId="18775" xr:uid="{00000000-0005-0000-0000-00004B530000}"/>
    <cellStyle name="Normal 28 6" xfId="5493" xr:uid="{00000000-0005-0000-0000-00004C530000}"/>
    <cellStyle name="Normal 28 6 2" xfId="16781" xr:uid="{00000000-0005-0000-0000-00004D530000}"/>
    <cellStyle name="Normal 28 7" xfId="3258" xr:uid="{00000000-0005-0000-0000-00004E530000}"/>
    <cellStyle name="Normal 28 7 2" xfId="14787" xr:uid="{00000000-0005-0000-0000-00004F530000}"/>
    <cellStyle name="Normal 28 8" xfId="13832" xr:uid="{00000000-0005-0000-0000-000050530000}"/>
    <cellStyle name="Normal 28 9" xfId="13472" xr:uid="{00000000-0005-0000-0000-000051530000}"/>
    <cellStyle name="Normal 29" xfId="464" xr:uid="{00000000-0005-0000-0000-000052530000}"/>
    <cellStyle name="Normal 29 2" xfId="4494" xr:uid="{00000000-0005-0000-0000-000053530000}"/>
    <cellStyle name="Normal 29 2 2" xfId="12473" xr:uid="{00000000-0005-0000-0000-000054530000}"/>
    <cellStyle name="Normal 29 2 2 2" xfId="23761" xr:uid="{00000000-0005-0000-0000-000055530000}"/>
    <cellStyle name="Normal 29 2 3" xfId="10479" xr:uid="{00000000-0005-0000-0000-000056530000}"/>
    <cellStyle name="Normal 29 2 3 2" xfId="21767" xr:uid="{00000000-0005-0000-0000-000057530000}"/>
    <cellStyle name="Normal 29 2 4" xfId="8485" xr:uid="{00000000-0005-0000-0000-000058530000}"/>
    <cellStyle name="Normal 29 2 4 2" xfId="19773" xr:uid="{00000000-0005-0000-0000-000059530000}"/>
    <cellStyle name="Normal 29 2 5" xfId="6491" xr:uid="{00000000-0005-0000-0000-00005A530000}"/>
    <cellStyle name="Normal 29 2 5 2" xfId="17779" xr:uid="{00000000-0005-0000-0000-00005B530000}"/>
    <cellStyle name="Normal 29 2 6" xfId="15785" xr:uid="{00000000-0005-0000-0000-00005C530000}"/>
    <cellStyle name="Normal 29 3" xfId="11476" xr:uid="{00000000-0005-0000-0000-00005D530000}"/>
    <cellStyle name="Normal 29 3 2" xfId="22764" xr:uid="{00000000-0005-0000-0000-00005E530000}"/>
    <cellStyle name="Normal 29 4" xfId="9482" xr:uid="{00000000-0005-0000-0000-00005F530000}"/>
    <cellStyle name="Normal 29 4 2" xfId="20770" xr:uid="{00000000-0005-0000-0000-000060530000}"/>
    <cellStyle name="Normal 29 5" xfId="7488" xr:uid="{00000000-0005-0000-0000-000061530000}"/>
    <cellStyle name="Normal 29 5 2" xfId="18776" xr:uid="{00000000-0005-0000-0000-000062530000}"/>
    <cellStyle name="Normal 29 6" xfId="5494" xr:uid="{00000000-0005-0000-0000-000063530000}"/>
    <cellStyle name="Normal 29 6 2" xfId="16782" xr:uid="{00000000-0005-0000-0000-000064530000}"/>
    <cellStyle name="Normal 29 7" xfId="3259" xr:uid="{00000000-0005-0000-0000-000065530000}"/>
    <cellStyle name="Normal 29 7 2" xfId="14788" xr:uid="{00000000-0005-0000-0000-000066530000}"/>
    <cellStyle name="Normal 29 8" xfId="13828" xr:uid="{00000000-0005-0000-0000-000067530000}"/>
    <cellStyle name="Normal 29 9" xfId="13473" xr:uid="{00000000-0005-0000-0000-000068530000}"/>
    <cellStyle name="Normal 3" xfId="53" xr:uid="{00000000-0005-0000-0000-000069530000}"/>
    <cellStyle name="Normal 3 10" xfId="24143" xr:uid="{00000000-0005-0000-0000-00006A530000}"/>
    <cellStyle name="Normal 3 11" xfId="25773" xr:uid="{00000000-0005-0000-0000-00006B530000}"/>
    <cellStyle name="Normal 3 2" xfId="54" xr:uid="{00000000-0005-0000-0000-00006C530000}"/>
    <cellStyle name="Normal 3 2 2" xfId="11477" xr:uid="{00000000-0005-0000-0000-00006D530000}"/>
    <cellStyle name="Normal 3 2 2 2" xfId="22765" xr:uid="{00000000-0005-0000-0000-00006E530000}"/>
    <cellStyle name="Normal 3 2 3" xfId="9483" xr:uid="{00000000-0005-0000-0000-00006F530000}"/>
    <cellStyle name="Normal 3 2 3 2" xfId="20771" xr:uid="{00000000-0005-0000-0000-000070530000}"/>
    <cellStyle name="Normal 3 2 4" xfId="7489" xr:uid="{00000000-0005-0000-0000-000071530000}"/>
    <cellStyle name="Normal 3 2 4 2" xfId="18777" xr:uid="{00000000-0005-0000-0000-000072530000}"/>
    <cellStyle name="Normal 3 2 5" xfId="5495" xr:uid="{00000000-0005-0000-0000-000073530000}"/>
    <cellStyle name="Normal 3 2 5 2" xfId="16783" xr:uid="{00000000-0005-0000-0000-000074530000}"/>
    <cellStyle name="Normal 3 2 6" xfId="3260" xr:uid="{00000000-0005-0000-0000-000075530000}"/>
    <cellStyle name="Normal 3 2 6 2" xfId="14789" xr:uid="{00000000-0005-0000-0000-000076530000}"/>
    <cellStyle name="Normal 3 2 7" xfId="25787" xr:uid="{00000000-0005-0000-0000-000077530000}"/>
    <cellStyle name="Normal 3 3" xfId="355" xr:uid="{00000000-0005-0000-0000-000078530000}"/>
    <cellStyle name="Normal 3 3 2" xfId="438" xr:uid="{00000000-0005-0000-0000-000079530000}"/>
    <cellStyle name="Normal 3 3 2 2" xfId="524" xr:uid="{00000000-0005-0000-0000-00007A530000}"/>
    <cellStyle name="Normal 3 3 2 2 2" xfId="13887" xr:uid="{00000000-0005-0000-0000-00007B530000}"/>
    <cellStyle name="Normal 3 3 2 3" xfId="12474" xr:uid="{00000000-0005-0000-0000-00007C530000}"/>
    <cellStyle name="Normal 3 3 2 3 2" xfId="23762" xr:uid="{00000000-0005-0000-0000-00007D530000}"/>
    <cellStyle name="Normal 3 3 2 4" xfId="13810" xr:uid="{00000000-0005-0000-0000-00007E530000}"/>
    <cellStyle name="Normal 3 3 3" xfId="487" xr:uid="{00000000-0005-0000-0000-00007F530000}"/>
    <cellStyle name="Normal 3 3 3 2" xfId="10480" xr:uid="{00000000-0005-0000-0000-000080530000}"/>
    <cellStyle name="Normal 3 3 3 2 2" xfId="21768" xr:uid="{00000000-0005-0000-0000-000081530000}"/>
    <cellStyle name="Normal 3 3 3 3" xfId="13850" xr:uid="{00000000-0005-0000-0000-000082530000}"/>
    <cellStyle name="Normal 3 3 4" xfId="8486" xr:uid="{00000000-0005-0000-0000-000083530000}"/>
    <cellStyle name="Normal 3 3 4 2" xfId="19774" xr:uid="{00000000-0005-0000-0000-000084530000}"/>
    <cellStyle name="Normal 3 3 5" xfId="6492" xr:uid="{00000000-0005-0000-0000-000085530000}"/>
    <cellStyle name="Normal 3 3 5 2" xfId="17780" xr:uid="{00000000-0005-0000-0000-000086530000}"/>
    <cellStyle name="Normal 3 3 6" xfId="4495" xr:uid="{00000000-0005-0000-0000-000087530000}"/>
    <cellStyle name="Normal 3 3 6 2" xfId="15786" xr:uid="{00000000-0005-0000-0000-000088530000}"/>
    <cellStyle name="Normal 3 3 7" xfId="13765" xr:uid="{00000000-0005-0000-0000-000089530000}"/>
    <cellStyle name="Normal 3 3 8" xfId="24144" xr:uid="{00000000-0005-0000-0000-00008A530000}"/>
    <cellStyle name="Normal 3 4" xfId="407" xr:uid="{00000000-0005-0000-0000-00008B530000}"/>
    <cellStyle name="Normal 3 4 2" xfId="507" xr:uid="{00000000-0005-0000-0000-00008C530000}"/>
    <cellStyle name="Normal 3 4 2 2" xfId="13870" xr:uid="{00000000-0005-0000-0000-00008D530000}"/>
    <cellStyle name="Normal 3 4 2 3" xfId="24419" xr:uid="{00000000-0005-0000-0000-00008E530000}"/>
    <cellStyle name="Normal 3 4 2 4" xfId="24863" xr:uid="{00000000-0005-0000-0000-00008F530000}"/>
    <cellStyle name="Normal 3 4 2 5" xfId="25226" xr:uid="{00000000-0005-0000-0000-000090530000}"/>
    <cellStyle name="Normal 3 4 3" xfId="13789" xr:uid="{00000000-0005-0000-0000-000091530000}"/>
    <cellStyle name="Normal 3 4 4" xfId="24145" xr:uid="{00000000-0005-0000-0000-000092530000}"/>
    <cellStyle name="Normal 3 4 5" xfId="24716" xr:uid="{00000000-0005-0000-0000-000093530000}"/>
    <cellStyle name="Normal 3 4 6" xfId="25032" xr:uid="{00000000-0005-0000-0000-000094530000}"/>
    <cellStyle name="Normal 3 5" xfId="386" xr:uid="{00000000-0005-0000-0000-000095530000}"/>
    <cellStyle name="Normal 3 6" xfId="472" xr:uid="{00000000-0005-0000-0000-000096530000}"/>
    <cellStyle name="Normal 3 6 2" xfId="13835" xr:uid="{00000000-0005-0000-0000-000097530000}"/>
    <cellStyle name="Normal 3 7" xfId="658" xr:uid="{00000000-0005-0000-0000-000098530000}"/>
    <cellStyle name="Normal 3 7 2" xfId="13911" xr:uid="{00000000-0005-0000-0000-000099530000}"/>
    <cellStyle name="Normal 3 8" xfId="13612" xr:uid="{00000000-0005-0000-0000-00009A530000}"/>
    <cellStyle name="Normal 3 9" xfId="12599" xr:uid="{00000000-0005-0000-0000-00009B530000}"/>
    <cellStyle name="Normal 30" xfId="470" xr:uid="{00000000-0005-0000-0000-00009C530000}"/>
    <cellStyle name="Normal 30 2" xfId="4496" xr:uid="{00000000-0005-0000-0000-00009D530000}"/>
    <cellStyle name="Normal 30 2 2" xfId="12475" xr:uid="{00000000-0005-0000-0000-00009E530000}"/>
    <cellStyle name="Normal 30 2 2 2" xfId="23763" xr:uid="{00000000-0005-0000-0000-00009F530000}"/>
    <cellStyle name="Normal 30 2 3" xfId="10481" xr:uid="{00000000-0005-0000-0000-0000A0530000}"/>
    <cellStyle name="Normal 30 2 3 2" xfId="21769" xr:uid="{00000000-0005-0000-0000-0000A1530000}"/>
    <cellStyle name="Normal 30 2 4" xfId="8487" xr:uid="{00000000-0005-0000-0000-0000A2530000}"/>
    <cellStyle name="Normal 30 2 4 2" xfId="19775" xr:uid="{00000000-0005-0000-0000-0000A3530000}"/>
    <cellStyle name="Normal 30 2 5" xfId="6493" xr:uid="{00000000-0005-0000-0000-0000A4530000}"/>
    <cellStyle name="Normal 30 2 5 2" xfId="17781" xr:uid="{00000000-0005-0000-0000-0000A5530000}"/>
    <cellStyle name="Normal 30 2 6" xfId="15787" xr:uid="{00000000-0005-0000-0000-0000A6530000}"/>
    <cellStyle name="Normal 30 3" xfId="11478" xr:uid="{00000000-0005-0000-0000-0000A7530000}"/>
    <cellStyle name="Normal 30 3 2" xfId="22766" xr:uid="{00000000-0005-0000-0000-0000A8530000}"/>
    <cellStyle name="Normal 30 4" xfId="9484" xr:uid="{00000000-0005-0000-0000-0000A9530000}"/>
    <cellStyle name="Normal 30 4 2" xfId="20772" xr:uid="{00000000-0005-0000-0000-0000AA530000}"/>
    <cellStyle name="Normal 30 5" xfId="7490" xr:uid="{00000000-0005-0000-0000-0000AB530000}"/>
    <cellStyle name="Normal 30 5 2" xfId="18778" xr:uid="{00000000-0005-0000-0000-0000AC530000}"/>
    <cellStyle name="Normal 30 6" xfId="5496" xr:uid="{00000000-0005-0000-0000-0000AD530000}"/>
    <cellStyle name="Normal 30 6 2" xfId="16784" xr:uid="{00000000-0005-0000-0000-0000AE530000}"/>
    <cellStyle name="Normal 30 7" xfId="3261" xr:uid="{00000000-0005-0000-0000-0000AF530000}"/>
    <cellStyle name="Normal 30 7 2" xfId="14790" xr:uid="{00000000-0005-0000-0000-0000B0530000}"/>
    <cellStyle name="Normal 30 8" xfId="13833" xr:uid="{00000000-0005-0000-0000-0000B1530000}"/>
    <cellStyle name="Normal 30 9" xfId="13474" xr:uid="{00000000-0005-0000-0000-0000B2530000}"/>
    <cellStyle name="Normal 31" xfId="3262" xr:uid="{00000000-0005-0000-0000-0000B3530000}"/>
    <cellStyle name="Normal 31 2" xfId="4497" xr:uid="{00000000-0005-0000-0000-0000B4530000}"/>
    <cellStyle name="Normal 31 2 2" xfId="12476" xr:uid="{00000000-0005-0000-0000-0000B5530000}"/>
    <cellStyle name="Normal 31 2 2 2" xfId="23764" xr:uid="{00000000-0005-0000-0000-0000B6530000}"/>
    <cellStyle name="Normal 31 2 3" xfId="10482" xr:uid="{00000000-0005-0000-0000-0000B7530000}"/>
    <cellStyle name="Normal 31 2 3 2" xfId="21770" xr:uid="{00000000-0005-0000-0000-0000B8530000}"/>
    <cellStyle name="Normal 31 2 4" xfId="8488" xr:uid="{00000000-0005-0000-0000-0000B9530000}"/>
    <cellStyle name="Normal 31 2 4 2" xfId="19776" xr:uid="{00000000-0005-0000-0000-0000BA530000}"/>
    <cellStyle name="Normal 31 2 5" xfId="6494" xr:uid="{00000000-0005-0000-0000-0000BB530000}"/>
    <cellStyle name="Normal 31 2 5 2" xfId="17782" xr:uid="{00000000-0005-0000-0000-0000BC530000}"/>
    <cellStyle name="Normal 31 2 6" xfId="15788" xr:uid="{00000000-0005-0000-0000-0000BD530000}"/>
    <cellStyle name="Normal 31 3" xfId="11479" xr:uid="{00000000-0005-0000-0000-0000BE530000}"/>
    <cellStyle name="Normal 31 3 2" xfId="22767" xr:uid="{00000000-0005-0000-0000-0000BF530000}"/>
    <cellStyle name="Normal 31 4" xfId="9485" xr:uid="{00000000-0005-0000-0000-0000C0530000}"/>
    <cellStyle name="Normal 31 4 2" xfId="20773" xr:uid="{00000000-0005-0000-0000-0000C1530000}"/>
    <cellStyle name="Normal 31 5" xfId="7491" xr:uid="{00000000-0005-0000-0000-0000C2530000}"/>
    <cellStyle name="Normal 31 5 2" xfId="18779" xr:uid="{00000000-0005-0000-0000-0000C3530000}"/>
    <cellStyle name="Normal 31 6" xfId="5497" xr:uid="{00000000-0005-0000-0000-0000C4530000}"/>
    <cellStyle name="Normal 31 6 2" xfId="16785" xr:uid="{00000000-0005-0000-0000-0000C5530000}"/>
    <cellStyle name="Normal 31 7" xfId="14791" xr:uid="{00000000-0005-0000-0000-0000C6530000}"/>
    <cellStyle name="Normal 31 8" xfId="13475" xr:uid="{00000000-0005-0000-0000-0000C7530000}"/>
    <cellStyle name="Normal 31 9" xfId="24471" xr:uid="{00000000-0005-0000-0000-0000C8530000}"/>
    <cellStyle name="Normal 32" xfId="3263" xr:uid="{00000000-0005-0000-0000-0000C9530000}"/>
    <cellStyle name="Normal 32 2" xfId="4498" xr:uid="{00000000-0005-0000-0000-0000CA530000}"/>
    <cellStyle name="Normal 32 2 2" xfId="12477" xr:uid="{00000000-0005-0000-0000-0000CB530000}"/>
    <cellStyle name="Normal 32 2 2 2" xfId="23765" xr:uid="{00000000-0005-0000-0000-0000CC530000}"/>
    <cellStyle name="Normal 32 2 3" xfId="10483" xr:uid="{00000000-0005-0000-0000-0000CD530000}"/>
    <cellStyle name="Normal 32 2 3 2" xfId="21771" xr:uid="{00000000-0005-0000-0000-0000CE530000}"/>
    <cellStyle name="Normal 32 2 4" xfId="8489" xr:uid="{00000000-0005-0000-0000-0000CF530000}"/>
    <cellStyle name="Normal 32 2 4 2" xfId="19777" xr:uid="{00000000-0005-0000-0000-0000D0530000}"/>
    <cellStyle name="Normal 32 2 5" xfId="6495" xr:uid="{00000000-0005-0000-0000-0000D1530000}"/>
    <cellStyle name="Normal 32 2 5 2" xfId="17783" xr:uid="{00000000-0005-0000-0000-0000D2530000}"/>
    <cellStyle name="Normal 32 2 6" xfId="15789" xr:uid="{00000000-0005-0000-0000-0000D3530000}"/>
    <cellStyle name="Normal 32 3" xfId="11480" xr:uid="{00000000-0005-0000-0000-0000D4530000}"/>
    <cellStyle name="Normal 32 3 2" xfId="22768" xr:uid="{00000000-0005-0000-0000-0000D5530000}"/>
    <cellStyle name="Normal 32 4" xfId="9486" xr:uid="{00000000-0005-0000-0000-0000D6530000}"/>
    <cellStyle name="Normal 32 4 2" xfId="20774" xr:uid="{00000000-0005-0000-0000-0000D7530000}"/>
    <cellStyle name="Normal 32 5" xfId="7492" xr:uid="{00000000-0005-0000-0000-0000D8530000}"/>
    <cellStyle name="Normal 32 5 2" xfId="18780" xr:uid="{00000000-0005-0000-0000-0000D9530000}"/>
    <cellStyle name="Normal 32 6" xfId="5498" xr:uid="{00000000-0005-0000-0000-0000DA530000}"/>
    <cellStyle name="Normal 32 6 2" xfId="16786" xr:uid="{00000000-0005-0000-0000-0000DB530000}"/>
    <cellStyle name="Normal 32 7" xfId="14792" xr:uid="{00000000-0005-0000-0000-0000DC530000}"/>
    <cellStyle name="Normal 32 8" xfId="13476" xr:uid="{00000000-0005-0000-0000-0000DD530000}"/>
    <cellStyle name="Normal 32 9" xfId="24392" xr:uid="{00000000-0005-0000-0000-0000DE530000}"/>
    <cellStyle name="Normal 33" xfId="3264" xr:uid="{00000000-0005-0000-0000-0000DF530000}"/>
    <cellStyle name="Normal 33 2" xfId="4499" xr:uid="{00000000-0005-0000-0000-0000E0530000}"/>
    <cellStyle name="Normal 33 2 2" xfId="12478" xr:uid="{00000000-0005-0000-0000-0000E1530000}"/>
    <cellStyle name="Normal 33 2 2 2" xfId="23766" xr:uid="{00000000-0005-0000-0000-0000E2530000}"/>
    <cellStyle name="Normal 33 2 3" xfId="10484" xr:uid="{00000000-0005-0000-0000-0000E3530000}"/>
    <cellStyle name="Normal 33 2 3 2" xfId="21772" xr:uid="{00000000-0005-0000-0000-0000E4530000}"/>
    <cellStyle name="Normal 33 2 4" xfId="8490" xr:uid="{00000000-0005-0000-0000-0000E5530000}"/>
    <cellStyle name="Normal 33 2 4 2" xfId="19778" xr:uid="{00000000-0005-0000-0000-0000E6530000}"/>
    <cellStyle name="Normal 33 2 5" xfId="6496" xr:uid="{00000000-0005-0000-0000-0000E7530000}"/>
    <cellStyle name="Normal 33 2 5 2" xfId="17784" xr:uid="{00000000-0005-0000-0000-0000E8530000}"/>
    <cellStyle name="Normal 33 2 6" xfId="15790" xr:uid="{00000000-0005-0000-0000-0000E9530000}"/>
    <cellStyle name="Normal 33 3" xfId="11481" xr:uid="{00000000-0005-0000-0000-0000EA530000}"/>
    <cellStyle name="Normal 33 3 2" xfId="22769" xr:uid="{00000000-0005-0000-0000-0000EB530000}"/>
    <cellStyle name="Normal 33 4" xfId="9487" xr:uid="{00000000-0005-0000-0000-0000EC530000}"/>
    <cellStyle name="Normal 33 4 2" xfId="20775" xr:uid="{00000000-0005-0000-0000-0000ED530000}"/>
    <cellStyle name="Normal 33 5" xfId="7493" xr:uid="{00000000-0005-0000-0000-0000EE530000}"/>
    <cellStyle name="Normal 33 5 2" xfId="18781" xr:uid="{00000000-0005-0000-0000-0000EF530000}"/>
    <cellStyle name="Normal 33 6" xfId="5499" xr:uid="{00000000-0005-0000-0000-0000F0530000}"/>
    <cellStyle name="Normal 33 6 2" xfId="16787" xr:uid="{00000000-0005-0000-0000-0000F1530000}"/>
    <cellStyle name="Normal 33 7" xfId="14793" xr:uid="{00000000-0005-0000-0000-0000F2530000}"/>
    <cellStyle name="Normal 33 8" xfId="13477" xr:uid="{00000000-0005-0000-0000-0000F3530000}"/>
    <cellStyle name="Normal 33 9" xfId="24487" xr:uid="{00000000-0005-0000-0000-0000F4530000}"/>
    <cellStyle name="Normal 34" xfId="3265" xr:uid="{00000000-0005-0000-0000-0000F5530000}"/>
    <cellStyle name="Normal 34 2" xfId="4500" xr:uid="{00000000-0005-0000-0000-0000F6530000}"/>
    <cellStyle name="Normal 34 2 2" xfId="12479" xr:uid="{00000000-0005-0000-0000-0000F7530000}"/>
    <cellStyle name="Normal 34 2 2 2" xfId="23767" xr:uid="{00000000-0005-0000-0000-0000F8530000}"/>
    <cellStyle name="Normal 34 2 3" xfId="10485" xr:uid="{00000000-0005-0000-0000-0000F9530000}"/>
    <cellStyle name="Normal 34 2 3 2" xfId="21773" xr:uid="{00000000-0005-0000-0000-0000FA530000}"/>
    <cellStyle name="Normal 34 2 4" xfId="8491" xr:uid="{00000000-0005-0000-0000-0000FB530000}"/>
    <cellStyle name="Normal 34 2 4 2" xfId="19779" xr:uid="{00000000-0005-0000-0000-0000FC530000}"/>
    <cellStyle name="Normal 34 2 5" xfId="6497" xr:uid="{00000000-0005-0000-0000-0000FD530000}"/>
    <cellStyle name="Normal 34 2 5 2" xfId="17785" xr:uid="{00000000-0005-0000-0000-0000FE530000}"/>
    <cellStyle name="Normal 34 2 6" xfId="15791" xr:uid="{00000000-0005-0000-0000-0000FF530000}"/>
    <cellStyle name="Normal 34 3" xfId="11482" xr:uid="{00000000-0005-0000-0000-000000540000}"/>
    <cellStyle name="Normal 34 3 2" xfId="22770" xr:uid="{00000000-0005-0000-0000-000001540000}"/>
    <cellStyle name="Normal 34 4" xfId="9488" xr:uid="{00000000-0005-0000-0000-000002540000}"/>
    <cellStyle name="Normal 34 4 2" xfId="20776" xr:uid="{00000000-0005-0000-0000-000003540000}"/>
    <cellStyle name="Normal 34 5" xfId="7494" xr:uid="{00000000-0005-0000-0000-000004540000}"/>
    <cellStyle name="Normal 34 5 2" xfId="18782" xr:uid="{00000000-0005-0000-0000-000005540000}"/>
    <cellStyle name="Normal 34 6" xfId="5500" xr:uid="{00000000-0005-0000-0000-000006540000}"/>
    <cellStyle name="Normal 34 6 2" xfId="16788" xr:uid="{00000000-0005-0000-0000-000007540000}"/>
    <cellStyle name="Normal 34 7" xfId="14794" xr:uid="{00000000-0005-0000-0000-000008540000}"/>
    <cellStyle name="Normal 34 8" xfId="13478" xr:uid="{00000000-0005-0000-0000-000009540000}"/>
    <cellStyle name="Normal 34 9" xfId="24470" xr:uid="{00000000-0005-0000-0000-00000A540000}"/>
    <cellStyle name="Normal 35" xfId="3266" xr:uid="{00000000-0005-0000-0000-00000B540000}"/>
    <cellStyle name="Normal 35 2" xfId="4501" xr:uid="{00000000-0005-0000-0000-00000C540000}"/>
    <cellStyle name="Normal 35 2 2" xfId="12480" xr:uid="{00000000-0005-0000-0000-00000D540000}"/>
    <cellStyle name="Normal 35 2 2 2" xfId="23768" xr:uid="{00000000-0005-0000-0000-00000E540000}"/>
    <cellStyle name="Normal 35 2 3" xfId="10486" xr:uid="{00000000-0005-0000-0000-00000F540000}"/>
    <cellStyle name="Normal 35 2 3 2" xfId="21774" xr:uid="{00000000-0005-0000-0000-000010540000}"/>
    <cellStyle name="Normal 35 2 4" xfId="8492" xr:uid="{00000000-0005-0000-0000-000011540000}"/>
    <cellStyle name="Normal 35 2 4 2" xfId="19780" xr:uid="{00000000-0005-0000-0000-000012540000}"/>
    <cellStyle name="Normal 35 2 5" xfId="6498" xr:uid="{00000000-0005-0000-0000-000013540000}"/>
    <cellStyle name="Normal 35 2 5 2" xfId="17786" xr:uid="{00000000-0005-0000-0000-000014540000}"/>
    <cellStyle name="Normal 35 2 6" xfId="15792" xr:uid="{00000000-0005-0000-0000-000015540000}"/>
    <cellStyle name="Normal 35 3" xfId="11483" xr:uid="{00000000-0005-0000-0000-000016540000}"/>
    <cellStyle name="Normal 35 3 2" xfId="22771" xr:uid="{00000000-0005-0000-0000-000017540000}"/>
    <cellStyle name="Normal 35 4" xfId="9489" xr:uid="{00000000-0005-0000-0000-000018540000}"/>
    <cellStyle name="Normal 35 4 2" xfId="20777" xr:uid="{00000000-0005-0000-0000-000019540000}"/>
    <cellStyle name="Normal 35 5" xfId="7495" xr:uid="{00000000-0005-0000-0000-00001A540000}"/>
    <cellStyle name="Normal 35 5 2" xfId="18783" xr:uid="{00000000-0005-0000-0000-00001B540000}"/>
    <cellStyle name="Normal 35 6" xfId="5501" xr:uid="{00000000-0005-0000-0000-00001C540000}"/>
    <cellStyle name="Normal 35 6 2" xfId="16789" xr:uid="{00000000-0005-0000-0000-00001D540000}"/>
    <cellStyle name="Normal 35 7" xfId="14795" xr:uid="{00000000-0005-0000-0000-00001E540000}"/>
    <cellStyle name="Normal 35 8" xfId="13479" xr:uid="{00000000-0005-0000-0000-00001F540000}"/>
    <cellStyle name="Normal 35 9" xfId="24501" xr:uid="{00000000-0005-0000-0000-000020540000}"/>
    <cellStyle name="Normal 36" xfId="3267" xr:uid="{00000000-0005-0000-0000-000021540000}"/>
    <cellStyle name="Normal 36 2" xfId="4502" xr:uid="{00000000-0005-0000-0000-000022540000}"/>
    <cellStyle name="Normal 36 2 2" xfId="12481" xr:uid="{00000000-0005-0000-0000-000023540000}"/>
    <cellStyle name="Normal 36 2 2 2" xfId="23769" xr:uid="{00000000-0005-0000-0000-000024540000}"/>
    <cellStyle name="Normal 36 2 3" xfId="10487" xr:uid="{00000000-0005-0000-0000-000025540000}"/>
    <cellStyle name="Normal 36 2 3 2" xfId="21775" xr:uid="{00000000-0005-0000-0000-000026540000}"/>
    <cellStyle name="Normal 36 2 4" xfId="8493" xr:uid="{00000000-0005-0000-0000-000027540000}"/>
    <cellStyle name="Normal 36 2 4 2" xfId="19781" xr:uid="{00000000-0005-0000-0000-000028540000}"/>
    <cellStyle name="Normal 36 2 5" xfId="6499" xr:uid="{00000000-0005-0000-0000-000029540000}"/>
    <cellStyle name="Normal 36 2 5 2" xfId="17787" xr:uid="{00000000-0005-0000-0000-00002A540000}"/>
    <cellStyle name="Normal 36 2 6" xfId="15793" xr:uid="{00000000-0005-0000-0000-00002B540000}"/>
    <cellStyle name="Normal 36 3" xfId="11484" xr:uid="{00000000-0005-0000-0000-00002C540000}"/>
    <cellStyle name="Normal 36 3 2" xfId="22772" xr:uid="{00000000-0005-0000-0000-00002D540000}"/>
    <cellStyle name="Normal 36 4" xfId="9490" xr:uid="{00000000-0005-0000-0000-00002E540000}"/>
    <cellStyle name="Normal 36 4 2" xfId="20778" xr:uid="{00000000-0005-0000-0000-00002F540000}"/>
    <cellStyle name="Normal 36 5" xfId="7496" xr:uid="{00000000-0005-0000-0000-000030540000}"/>
    <cellStyle name="Normal 36 5 2" xfId="18784" xr:uid="{00000000-0005-0000-0000-000031540000}"/>
    <cellStyle name="Normal 36 6" xfId="5502" xr:uid="{00000000-0005-0000-0000-000032540000}"/>
    <cellStyle name="Normal 36 6 2" xfId="16790" xr:uid="{00000000-0005-0000-0000-000033540000}"/>
    <cellStyle name="Normal 36 7" xfId="14796" xr:uid="{00000000-0005-0000-0000-000034540000}"/>
    <cellStyle name="Normal 36 8" xfId="13480" xr:uid="{00000000-0005-0000-0000-000035540000}"/>
    <cellStyle name="Normal 36 9" xfId="24485" xr:uid="{00000000-0005-0000-0000-000036540000}"/>
    <cellStyle name="Normal 37" xfId="3268" xr:uid="{00000000-0005-0000-0000-000037540000}"/>
    <cellStyle name="Normal 37 2" xfId="4503" xr:uid="{00000000-0005-0000-0000-000038540000}"/>
    <cellStyle name="Normal 37 2 2" xfId="12482" xr:uid="{00000000-0005-0000-0000-000039540000}"/>
    <cellStyle name="Normal 37 2 2 2" xfId="23770" xr:uid="{00000000-0005-0000-0000-00003A540000}"/>
    <cellStyle name="Normal 37 2 3" xfId="10488" xr:uid="{00000000-0005-0000-0000-00003B540000}"/>
    <cellStyle name="Normal 37 2 3 2" xfId="21776" xr:uid="{00000000-0005-0000-0000-00003C540000}"/>
    <cellStyle name="Normal 37 2 4" xfId="8494" xr:uid="{00000000-0005-0000-0000-00003D540000}"/>
    <cellStyle name="Normal 37 2 4 2" xfId="19782" xr:uid="{00000000-0005-0000-0000-00003E540000}"/>
    <cellStyle name="Normal 37 2 5" xfId="6500" xr:uid="{00000000-0005-0000-0000-00003F540000}"/>
    <cellStyle name="Normal 37 2 5 2" xfId="17788" xr:uid="{00000000-0005-0000-0000-000040540000}"/>
    <cellStyle name="Normal 37 2 6" xfId="15794" xr:uid="{00000000-0005-0000-0000-000041540000}"/>
    <cellStyle name="Normal 37 3" xfId="11485" xr:uid="{00000000-0005-0000-0000-000042540000}"/>
    <cellStyle name="Normal 37 3 2" xfId="22773" xr:uid="{00000000-0005-0000-0000-000043540000}"/>
    <cellStyle name="Normal 37 4" xfId="9491" xr:uid="{00000000-0005-0000-0000-000044540000}"/>
    <cellStyle name="Normal 37 4 2" xfId="20779" xr:uid="{00000000-0005-0000-0000-000045540000}"/>
    <cellStyle name="Normal 37 5" xfId="7497" xr:uid="{00000000-0005-0000-0000-000046540000}"/>
    <cellStyle name="Normal 37 5 2" xfId="18785" xr:uid="{00000000-0005-0000-0000-000047540000}"/>
    <cellStyle name="Normal 37 6" xfId="5503" xr:uid="{00000000-0005-0000-0000-000048540000}"/>
    <cellStyle name="Normal 37 6 2" xfId="16791" xr:uid="{00000000-0005-0000-0000-000049540000}"/>
    <cellStyle name="Normal 37 7" xfId="14797" xr:uid="{00000000-0005-0000-0000-00004A540000}"/>
    <cellStyle name="Normal 37 8" xfId="13481" xr:uid="{00000000-0005-0000-0000-00004B540000}"/>
    <cellStyle name="Normal 37 9" xfId="24498" xr:uid="{00000000-0005-0000-0000-00004C540000}"/>
    <cellStyle name="Normal 38" xfId="3269" xr:uid="{00000000-0005-0000-0000-00004D540000}"/>
    <cellStyle name="Normal 38 2" xfId="4504" xr:uid="{00000000-0005-0000-0000-00004E540000}"/>
    <cellStyle name="Normal 38 2 2" xfId="12483" xr:uid="{00000000-0005-0000-0000-00004F540000}"/>
    <cellStyle name="Normal 38 2 2 2" xfId="23771" xr:uid="{00000000-0005-0000-0000-000050540000}"/>
    <cellStyle name="Normal 38 2 3" xfId="10489" xr:uid="{00000000-0005-0000-0000-000051540000}"/>
    <cellStyle name="Normal 38 2 3 2" xfId="21777" xr:uid="{00000000-0005-0000-0000-000052540000}"/>
    <cellStyle name="Normal 38 2 4" xfId="8495" xr:uid="{00000000-0005-0000-0000-000053540000}"/>
    <cellStyle name="Normal 38 2 4 2" xfId="19783" xr:uid="{00000000-0005-0000-0000-000054540000}"/>
    <cellStyle name="Normal 38 2 5" xfId="6501" xr:uid="{00000000-0005-0000-0000-000055540000}"/>
    <cellStyle name="Normal 38 2 5 2" xfId="17789" xr:uid="{00000000-0005-0000-0000-000056540000}"/>
    <cellStyle name="Normal 38 2 6" xfId="15795" xr:uid="{00000000-0005-0000-0000-000057540000}"/>
    <cellStyle name="Normal 38 3" xfId="11486" xr:uid="{00000000-0005-0000-0000-000058540000}"/>
    <cellStyle name="Normal 38 3 2" xfId="22774" xr:uid="{00000000-0005-0000-0000-000059540000}"/>
    <cellStyle name="Normal 38 4" xfId="9492" xr:uid="{00000000-0005-0000-0000-00005A540000}"/>
    <cellStyle name="Normal 38 4 2" xfId="20780" xr:uid="{00000000-0005-0000-0000-00005B540000}"/>
    <cellStyle name="Normal 38 5" xfId="7498" xr:uid="{00000000-0005-0000-0000-00005C540000}"/>
    <cellStyle name="Normal 38 5 2" xfId="18786" xr:uid="{00000000-0005-0000-0000-00005D540000}"/>
    <cellStyle name="Normal 38 6" xfId="5504" xr:uid="{00000000-0005-0000-0000-00005E540000}"/>
    <cellStyle name="Normal 38 6 2" xfId="16792" xr:uid="{00000000-0005-0000-0000-00005F540000}"/>
    <cellStyle name="Normal 38 7" xfId="14798" xr:uid="{00000000-0005-0000-0000-000060540000}"/>
    <cellStyle name="Normal 38 8" xfId="13482" xr:uid="{00000000-0005-0000-0000-000061540000}"/>
    <cellStyle name="Normal 38 9" xfId="24459" xr:uid="{00000000-0005-0000-0000-000062540000}"/>
    <cellStyle name="Normal 39" xfId="3270" xr:uid="{00000000-0005-0000-0000-000063540000}"/>
    <cellStyle name="Normal 39 2" xfId="4505" xr:uid="{00000000-0005-0000-0000-000064540000}"/>
    <cellStyle name="Normal 39 2 2" xfId="12484" xr:uid="{00000000-0005-0000-0000-000065540000}"/>
    <cellStyle name="Normal 39 2 2 2" xfId="23772" xr:uid="{00000000-0005-0000-0000-000066540000}"/>
    <cellStyle name="Normal 39 2 3" xfId="10490" xr:uid="{00000000-0005-0000-0000-000067540000}"/>
    <cellStyle name="Normal 39 2 3 2" xfId="21778" xr:uid="{00000000-0005-0000-0000-000068540000}"/>
    <cellStyle name="Normal 39 2 4" xfId="8496" xr:uid="{00000000-0005-0000-0000-000069540000}"/>
    <cellStyle name="Normal 39 2 4 2" xfId="19784" xr:uid="{00000000-0005-0000-0000-00006A540000}"/>
    <cellStyle name="Normal 39 2 5" xfId="6502" xr:uid="{00000000-0005-0000-0000-00006B540000}"/>
    <cellStyle name="Normal 39 2 5 2" xfId="17790" xr:uid="{00000000-0005-0000-0000-00006C540000}"/>
    <cellStyle name="Normal 39 2 6" xfId="15796" xr:uid="{00000000-0005-0000-0000-00006D540000}"/>
    <cellStyle name="Normal 39 3" xfId="11487" xr:uid="{00000000-0005-0000-0000-00006E540000}"/>
    <cellStyle name="Normal 39 3 2" xfId="22775" xr:uid="{00000000-0005-0000-0000-00006F540000}"/>
    <cellStyle name="Normal 39 4" xfId="9493" xr:uid="{00000000-0005-0000-0000-000070540000}"/>
    <cellStyle name="Normal 39 4 2" xfId="20781" xr:uid="{00000000-0005-0000-0000-000071540000}"/>
    <cellStyle name="Normal 39 5" xfId="7499" xr:uid="{00000000-0005-0000-0000-000072540000}"/>
    <cellStyle name="Normal 39 5 2" xfId="18787" xr:uid="{00000000-0005-0000-0000-000073540000}"/>
    <cellStyle name="Normal 39 6" xfId="5505" xr:uid="{00000000-0005-0000-0000-000074540000}"/>
    <cellStyle name="Normal 39 6 2" xfId="16793" xr:uid="{00000000-0005-0000-0000-000075540000}"/>
    <cellStyle name="Normal 39 7" xfId="14799" xr:uid="{00000000-0005-0000-0000-000076540000}"/>
    <cellStyle name="Normal 39 8" xfId="13483" xr:uid="{00000000-0005-0000-0000-000077540000}"/>
    <cellStyle name="Normal 39 9" xfId="24494" xr:uid="{00000000-0005-0000-0000-000078540000}"/>
    <cellStyle name="Normal 4" xfId="55" xr:uid="{00000000-0005-0000-0000-000079540000}"/>
    <cellStyle name="Normal 4 10" xfId="24146" xr:uid="{00000000-0005-0000-0000-00007A540000}"/>
    <cellStyle name="Normal 4 11" xfId="24717" xr:uid="{00000000-0005-0000-0000-00007B540000}"/>
    <cellStyle name="Normal 4 12" xfId="25033" xr:uid="{00000000-0005-0000-0000-00007C540000}"/>
    <cellStyle name="Normal 4 13" xfId="25774" xr:uid="{00000000-0005-0000-0000-00007D540000}"/>
    <cellStyle name="Normal 4 2" xfId="164" xr:uid="{00000000-0005-0000-0000-00007E540000}"/>
    <cellStyle name="Normal 4 2 10" xfId="25788" xr:uid="{00000000-0005-0000-0000-00007F540000}"/>
    <cellStyle name="Normal 4 2 2" xfId="420" xr:uid="{00000000-0005-0000-0000-000080540000}"/>
    <cellStyle name="Normal 4 2 2 2" xfId="12485" xr:uid="{00000000-0005-0000-0000-000081540000}"/>
    <cellStyle name="Normal 4 2 2 2 2" xfId="23773" xr:uid="{00000000-0005-0000-0000-000082540000}"/>
    <cellStyle name="Normal 4 2 2 2 3" xfId="24422" xr:uid="{00000000-0005-0000-0000-000083540000}"/>
    <cellStyle name="Normal 4 2 2 2 4" xfId="24866" xr:uid="{00000000-0005-0000-0000-000084540000}"/>
    <cellStyle name="Normal 4 2 2 2 5" xfId="25229" xr:uid="{00000000-0005-0000-0000-000085540000}"/>
    <cellStyle name="Normal 4 2 2 3" xfId="24148" xr:uid="{00000000-0005-0000-0000-000086540000}"/>
    <cellStyle name="Normal 4 2 2 4" xfId="24719" xr:uid="{00000000-0005-0000-0000-000087540000}"/>
    <cellStyle name="Normal 4 2 2 5" xfId="25035" xr:uid="{00000000-0005-0000-0000-000088540000}"/>
    <cellStyle name="Normal 4 2 3" xfId="387" xr:uid="{00000000-0005-0000-0000-000089540000}"/>
    <cellStyle name="Normal 4 2 3 2" xfId="503" xr:uid="{00000000-0005-0000-0000-00008A540000}"/>
    <cellStyle name="Normal 4 2 3 2 2" xfId="13866" xr:uid="{00000000-0005-0000-0000-00008B540000}"/>
    <cellStyle name="Normal 4 2 3 3" xfId="10491" xr:uid="{00000000-0005-0000-0000-00008C540000}"/>
    <cellStyle name="Normal 4 2 3 3 2" xfId="21779" xr:uid="{00000000-0005-0000-0000-00008D540000}"/>
    <cellStyle name="Normal 4 2 3 4" xfId="13783" xr:uid="{00000000-0005-0000-0000-00008E540000}"/>
    <cellStyle name="Normal 4 2 3 5" xfId="24421" xr:uid="{00000000-0005-0000-0000-00008F540000}"/>
    <cellStyle name="Normal 4 2 3 6" xfId="24865" xr:uid="{00000000-0005-0000-0000-000090540000}"/>
    <cellStyle name="Normal 4 2 3 7" xfId="25228" xr:uid="{00000000-0005-0000-0000-000091540000}"/>
    <cellStyle name="Normal 4 2 4" xfId="8497" xr:uid="{00000000-0005-0000-0000-000092540000}"/>
    <cellStyle name="Normal 4 2 4 2" xfId="19785" xr:uid="{00000000-0005-0000-0000-000093540000}"/>
    <cellStyle name="Normal 4 2 5" xfId="6503" xr:uid="{00000000-0005-0000-0000-000094540000}"/>
    <cellStyle name="Normal 4 2 5 2" xfId="17791" xr:uid="{00000000-0005-0000-0000-000095540000}"/>
    <cellStyle name="Normal 4 2 6" xfId="4506" xr:uid="{00000000-0005-0000-0000-000096540000}"/>
    <cellStyle name="Normal 4 2 6 2" xfId="15797" xr:uid="{00000000-0005-0000-0000-000097540000}"/>
    <cellStyle name="Normal 4 2 7" xfId="24147" xr:uid="{00000000-0005-0000-0000-000098540000}"/>
    <cellStyle name="Normal 4 2 8" xfId="24718" xr:uid="{00000000-0005-0000-0000-000099540000}"/>
    <cellStyle name="Normal 4 2 9" xfId="25034" xr:uid="{00000000-0005-0000-0000-00009A540000}"/>
    <cellStyle name="Normal 4 3" xfId="170" xr:uid="{00000000-0005-0000-0000-00009B540000}"/>
    <cellStyle name="Normal 4 3 2" xfId="361" xr:uid="{00000000-0005-0000-0000-00009C540000}"/>
    <cellStyle name="Normal 4 3 2 2" xfId="443" xr:uid="{00000000-0005-0000-0000-00009D540000}"/>
    <cellStyle name="Normal 4 3 2 2 2" xfId="529" xr:uid="{00000000-0005-0000-0000-00009E540000}"/>
    <cellStyle name="Normal 4 3 2 2 2 2" xfId="13892" xr:uid="{00000000-0005-0000-0000-00009F540000}"/>
    <cellStyle name="Normal 4 3 2 2 3" xfId="13815" xr:uid="{00000000-0005-0000-0000-0000A0540000}"/>
    <cellStyle name="Normal 4 3 2 2 4" xfId="24424" xr:uid="{00000000-0005-0000-0000-0000A1540000}"/>
    <cellStyle name="Normal 4 3 2 2 5" xfId="24868" xr:uid="{00000000-0005-0000-0000-0000A2540000}"/>
    <cellStyle name="Normal 4 3 2 2 6" xfId="25231" xr:uid="{00000000-0005-0000-0000-0000A3540000}"/>
    <cellStyle name="Normal 4 3 2 3" xfId="492" xr:uid="{00000000-0005-0000-0000-0000A4540000}"/>
    <cellStyle name="Normal 4 3 2 3 2" xfId="13855" xr:uid="{00000000-0005-0000-0000-0000A5540000}"/>
    <cellStyle name="Normal 4 3 2 4" xfId="13771" xr:uid="{00000000-0005-0000-0000-0000A6540000}"/>
    <cellStyle name="Normal 4 3 2 5" xfId="24150" xr:uid="{00000000-0005-0000-0000-0000A7540000}"/>
    <cellStyle name="Normal 4 3 2 6" xfId="24721" xr:uid="{00000000-0005-0000-0000-0000A8540000}"/>
    <cellStyle name="Normal 4 3 2 7" xfId="25037" xr:uid="{00000000-0005-0000-0000-0000A9540000}"/>
    <cellStyle name="Normal 4 3 3" xfId="423" xr:uid="{00000000-0005-0000-0000-0000AA540000}"/>
    <cellStyle name="Normal 4 3 3 2" xfId="514" xr:uid="{00000000-0005-0000-0000-0000AB540000}"/>
    <cellStyle name="Normal 4 3 3 2 2" xfId="13877" xr:uid="{00000000-0005-0000-0000-0000AC540000}"/>
    <cellStyle name="Normal 4 3 3 3" xfId="13800" xr:uid="{00000000-0005-0000-0000-0000AD540000}"/>
    <cellStyle name="Normal 4 3 3 4" xfId="24423" xr:uid="{00000000-0005-0000-0000-0000AE540000}"/>
    <cellStyle name="Normal 4 3 3 5" xfId="24867" xr:uid="{00000000-0005-0000-0000-0000AF540000}"/>
    <cellStyle name="Normal 4 3 3 6" xfId="25230" xr:uid="{00000000-0005-0000-0000-0000B0540000}"/>
    <cellStyle name="Normal 4 3 4" xfId="477" xr:uid="{00000000-0005-0000-0000-0000B1540000}"/>
    <cellStyle name="Normal 4 3 4 2" xfId="13840" xr:uid="{00000000-0005-0000-0000-0000B2540000}"/>
    <cellStyle name="Normal 4 3 5" xfId="11488" xr:uid="{00000000-0005-0000-0000-0000B3540000}"/>
    <cellStyle name="Normal 4 3 5 2" xfId="22776" xr:uid="{00000000-0005-0000-0000-0000B4540000}"/>
    <cellStyle name="Normal 4 3 6" xfId="13685" xr:uid="{00000000-0005-0000-0000-0000B5540000}"/>
    <cellStyle name="Normal 4 3 7" xfId="24149" xr:uid="{00000000-0005-0000-0000-0000B6540000}"/>
    <cellStyle name="Normal 4 3 8" xfId="24720" xr:uid="{00000000-0005-0000-0000-0000B7540000}"/>
    <cellStyle name="Normal 4 3 9" xfId="25036" xr:uid="{00000000-0005-0000-0000-0000B8540000}"/>
    <cellStyle name="Normal 4 4" xfId="356" xr:uid="{00000000-0005-0000-0000-0000B9540000}"/>
    <cellStyle name="Normal 4 4 2" xfId="439" xr:uid="{00000000-0005-0000-0000-0000BA540000}"/>
    <cellStyle name="Normal 4 4 2 2" xfId="525" xr:uid="{00000000-0005-0000-0000-0000BB540000}"/>
    <cellStyle name="Normal 4 4 2 2 2" xfId="13888" xr:uid="{00000000-0005-0000-0000-0000BC540000}"/>
    <cellStyle name="Normal 4 4 2 3" xfId="13811" xr:uid="{00000000-0005-0000-0000-0000BD540000}"/>
    <cellStyle name="Normal 4 4 3" xfId="488" xr:uid="{00000000-0005-0000-0000-0000BE540000}"/>
    <cellStyle name="Normal 4 4 3 2" xfId="13851" xr:uid="{00000000-0005-0000-0000-0000BF540000}"/>
    <cellStyle name="Normal 4 4 4" xfId="9494" xr:uid="{00000000-0005-0000-0000-0000C0540000}"/>
    <cellStyle name="Normal 4 4 4 2" xfId="20782" xr:uid="{00000000-0005-0000-0000-0000C1540000}"/>
    <cellStyle name="Normal 4 4 5" xfId="13766" xr:uid="{00000000-0005-0000-0000-0000C2540000}"/>
    <cellStyle name="Normal 4 4 6" xfId="24151" xr:uid="{00000000-0005-0000-0000-0000C3540000}"/>
    <cellStyle name="Normal 4 5" xfId="473" xr:uid="{00000000-0005-0000-0000-0000C4540000}"/>
    <cellStyle name="Normal 4 5 2" xfId="7500" xr:uid="{00000000-0005-0000-0000-0000C5540000}"/>
    <cellStyle name="Normal 4 5 2 2" xfId="18788" xr:uid="{00000000-0005-0000-0000-0000C6540000}"/>
    <cellStyle name="Normal 4 5 3" xfId="13836" xr:uid="{00000000-0005-0000-0000-0000C7540000}"/>
    <cellStyle name="Normal 4 5 4" xfId="24152" xr:uid="{00000000-0005-0000-0000-0000C8540000}"/>
    <cellStyle name="Normal 4 6" xfId="659" xr:uid="{00000000-0005-0000-0000-0000C9540000}"/>
    <cellStyle name="Normal 4 6 2" xfId="5506" xr:uid="{00000000-0005-0000-0000-0000CA540000}"/>
    <cellStyle name="Normal 4 6 2 2" xfId="16794" xr:uid="{00000000-0005-0000-0000-0000CB540000}"/>
    <cellStyle name="Normal 4 6 2 3" xfId="24425" xr:uid="{00000000-0005-0000-0000-0000CC540000}"/>
    <cellStyle name="Normal 4 6 2 4" xfId="24869" xr:uid="{00000000-0005-0000-0000-0000CD540000}"/>
    <cellStyle name="Normal 4 6 2 5" xfId="25232" xr:uid="{00000000-0005-0000-0000-0000CE540000}"/>
    <cellStyle name="Normal 4 6 3" xfId="13912" xr:uid="{00000000-0005-0000-0000-0000CF540000}"/>
    <cellStyle name="Normal 4 6 4" xfId="24153" xr:uid="{00000000-0005-0000-0000-0000D0540000}"/>
    <cellStyle name="Normal 4 6 5" xfId="24722" xr:uid="{00000000-0005-0000-0000-0000D1540000}"/>
    <cellStyle name="Normal 4 6 6" xfId="25038" xr:uid="{00000000-0005-0000-0000-0000D2540000}"/>
    <cellStyle name="Normal 4 7" xfId="3271" xr:uid="{00000000-0005-0000-0000-0000D3540000}"/>
    <cellStyle name="Normal 4 7 2" xfId="14800" xr:uid="{00000000-0005-0000-0000-0000D4540000}"/>
    <cellStyle name="Normal 4 7 3" xfId="24420" xr:uid="{00000000-0005-0000-0000-0000D5540000}"/>
    <cellStyle name="Normal 4 7 4" xfId="24864" xr:uid="{00000000-0005-0000-0000-0000D6540000}"/>
    <cellStyle name="Normal 4 7 5" xfId="25227" xr:uid="{00000000-0005-0000-0000-0000D7540000}"/>
    <cellStyle name="Normal 4 8" xfId="13613" xr:uid="{00000000-0005-0000-0000-0000D8540000}"/>
    <cellStyle name="Normal 4 9" xfId="13484" xr:uid="{00000000-0005-0000-0000-0000D9540000}"/>
    <cellStyle name="Normal 40" xfId="3272" xr:uid="{00000000-0005-0000-0000-0000DA540000}"/>
    <cellStyle name="Normal 40 10" xfId="24479" xr:uid="{00000000-0005-0000-0000-0000DB540000}"/>
    <cellStyle name="Normal 40 2" xfId="3273" xr:uid="{00000000-0005-0000-0000-0000DC540000}"/>
    <cellStyle name="Normal 40 2 2" xfId="4508" xr:uid="{00000000-0005-0000-0000-0000DD540000}"/>
    <cellStyle name="Normal 40 2 2 2" xfId="12487" xr:uid="{00000000-0005-0000-0000-0000DE540000}"/>
    <cellStyle name="Normal 40 2 2 2 2" xfId="23775" xr:uid="{00000000-0005-0000-0000-0000DF540000}"/>
    <cellStyle name="Normal 40 2 2 3" xfId="10493" xr:uid="{00000000-0005-0000-0000-0000E0540000}"/>
    <cellStyle name="Normal 40 2 2 3 2" xfId="21781" xr:uid="{00000000-0005-0000-0000-0000E1540000}"/>
    <cellStyle name="Normal 40 2 2 4" xfId="8499" xr:uid="{00000000-0005-0000-0000-0000E2540000}"/>
    <cellStyle name="Normal 40 2 2 4 2" xfId="19787" xr:uid="{00000000-0005-0000-0000-0000E3540000}"/>
    <cellStyle name="Normal 40 2 2 5" xfId="6505" xr:uid="{00000000-0005-0000-0000-0000E4540000}"/>
    <cellStyle name="Normal 40 2 2 5 2" xfId="17793" xr:uid="{00000000-0005-0000-0000-0000E5540000}"/>
    <cellStyle name="Normal 40 2 2 6" xfId="15799" xr:uid="{00000000-0005-0000-0000-0000E6540000}"/>
    <cellStyle name="Normal 40 2 3" xfId="11490" xr:uid="{00000000-0005-0000-0000-0000E7540000}"/>
    <cellStyle name="Normal 40 2 3 2" xfId="22778" xr:uid="{00000000-0005-0000-0000-0000E8540000}"/>
    <cellStyle name="Normal 40 2 4" xfId="9496" xr:uid="{00000000-0005-0000-0000-0000E9540000}"/>
    <cellStyle name="Normal 40 2 4 2" xfId="20784" xr:uid="{00000000-0005-0000-0000-0000EA540000}"/>
    <cellStyle name="Normal 40 2 5" xfId="7502" xr:uid="{00000000-0005-0000-0000-0000EB540000}"/>
    <cellStyle name="Normal 40 2 5 2" xfId="18790" xr:uid="{00000000-0005-0000-0000-0000EC540000}"/>
    <cellStyle name="Normal 40 2 6" xfId="5508" xr:uid="{00000000-0005-0000-0000-0000ED540000}"/>
    <cellStyle name="Normal 40 2 6 2" xfId="16796" xr:uid="{00000000-0005-0000-0000-0000EE540000}"/>
    <cellStyle name="Normal 40 2 7" xfId="14802" xr:uid="{00000000-0005-0000-0000-0000EF540000}"/>
    <cellStyle name="Normal 40 2 8" xfId="13486" xr:uid="{00000000-0005-0000-0000-0000F0540000}"/>
    <cellStyle name="Normal 40 3" xfId="4507" xr:uid="{00000000-0005-0000-0000-0000F1540000}"/>
    <cellStyle name="Normal 40 3 2" xfId="12486" xr:uid="{00000000-0005-0000-0000-0000F2540000}"/>
    <cellStyle name="Normal 40 3 2 2" xfId="23774" xr:uid="{00000000-0005-0000-0000-0000F3540000}"/>
    <cellStyle name="Normal 40 3 3" xfId="10492" xr:uid="{00000000-0005-0000-0000-0000F4540000}"/>
    <cellStyle name="Normal 40 3 3 2" xfId="21780" xr:uid="{00000000-0005-0000-0000-0000F5540000}"/>
    <cellStyle name="Normal 40 3 4" xfId="8498" xr:uid="{00000000-0005-0000-0000-0000F6540000}"/>
    <cellStyle name="Normal 40 3 4 2" xfId="19786" xr:uid="{00000000-0005-0000-0000-0000F7540000}"/>
    <cellStyle name="Normal 40 3 5" xfId="6504" xr:uid="{00000000-0005-0000-0000-0000F8540000}"/>
    <cellStyle name="Normal 40 3 5 2" xfId="17792" xr:uid="{00000000-0005-0000-0000-0000F9540000}"/>
    <cellStyle name="Normal 40 3 6" xfId="15798" xr:uid="{00000000-0005-0000-0000-0000FA540000}"/>
    <cellStyle name="Normal 40 4" xfId="11489" xr:uid="{00000000-0005-0000-0000-0000FB540000}"/>
    <cellStyle name="Normal 40 4 2" xfId="22777" xr:uid="{00000000-0005-0000-0000-0000FC540000}"/>
    <cellStyle name="Normal 40 5" xfId="9495" xr:uid="{00000000-0005-0000-0000-0000FD540000}"/>
    <cellStyle name="Normal 40 5 2" xfId="20783" xr:uid="{00000000-0005-0000-0000-0000FE540000}"/>
    <cellStyle name="Normal 40 6" xfId="7501" xr:uid="{00000000-0005-0000-0000-0000FF540000}"/>
    <cellStyle name="Normal 40 6 2" xfId="18789" xr:uid="{00000000-0005-0000-0000-000000550000}"/>
    <cellStyle name="Normal 40 7" xfId="5507" xr:uid="{00000000-0005-0000-0000-000001550000}"/>
    <cellStyle name="Normal 40 7 2" xfId="16795" xr:uid="{00000000-0005-0000-0000-000002550000}"/>
    <cellStyle name="Normal 40 8" xfId="14801" xr:uid="{00000000-0005-0000-0000-000003550000}"/>
    <cellStyle name="Normal 40 9" xfId="13485" xr:uid="{00000000-0005-0000-0000-000004550000}"/>
    <cellStyle name="Normal 41" xfId="3274" xr:uid="{00000000-0005-0000-0000-000005550000}"/>
    <cellStyle name="Normal 41 2" xfId="4509" xr:uid="{00000000-0005-0000-0000-000006550000}"/>
    <cellStyle name="Normal 41 2 2" xfId="12488" xr:uid="{00000000-0005-0000-0000-000007550000}"/>
    <cellStyle name="Normal 41 2 2 2" xfId="23776" xr:uid="{00000000-0005-0000-0000-000008550000}"/>
    <cellStyle name="Normal 41 2 3" xfId="10494" xr:uid="{00000000-0005-0000-0000-000009550000}"/>
    <cellStyle name="Normal 41 2 3 2" xfId="21782" xr:uid="{00000000-0005-0000-0000-00000A550000}"/>
    <cellStyle name="Normal 41 2 4" xfId="8500" xr:uid="{00000000-0005-0000-0000-00000B550000}"/>
    <cellStyle name="Normal 41 2 4 2" xfId="19788" xr:uid="{00000000-0005-0000-0000-00000C550000}"/>
    <cellStyle name="Normal 41 2 5" xfId="6506" xr:uid="{00000000-0005-0000-0000-00000D550000}"/>
    <cellStyle name="Normal 41 2 5 2" xfId="17794" xr:uid="{00000000-0005-0000-0000-00000E550000}"/>
    <cellStyle name="Normal 41 2 6" xfId="15800" xr:uid="{00000000-0005-0000-0000-00000F550000}"/>
    <cellStyle name="Normal 41 3" xfId="11491" xr:uid="{00000000-0005-0000-0000-000010550000}"/>
    <cellStyle name="Normal 41 3 2" xfId="22779" xr:uid="{00000000-0005-0000-0000-000011550000}"/>
    <cellStyle name="Normal 41 4" xfId="9497" xr:uid="{00000000-0005-0000-0000-000012550000}"/>
    <cellStyle name="Normal 41 4 2" xfId="20785" xr:uid="{00000000-0005-0000-0000-000013550000}"/>
    <cellStyle name="Normal 41 5" xfId="7503" xr:uid="{00000000-0005-0000-0000-000014550000}"/>
    <cellStyle name="Normal 41 5 2" xfId="18791" xr:uid="{00000000-0005-0000-0000-000015550000}"/>
    <cellStyle name="Normal 41 6" xfId="5509" xr:uid="{00000000-0005-0000-0000-000016550000}"/>
    <cellStyle name="Normal 41 6 2" xfId="16797" xr:uid="{00000000-0005-0000-0000-000017550000}"/>
    <cellStyle name="Normal 41 7" xfId="14803" xr:uid="{00000000-0005-0000-0000-000018550000}"/>
    <cellStyle name="Normal 41 8" xfId="13487" xr:uid="{00000000-0005-0000-0000-000019550000}"/>
    <cellStyle name="Normal 41 9" xfId="24490" xr:uid="{00000000-0005-0000-0000-00001A550000}"/>
    <cellStyle name="Normal 42" xfId="3275" xr:uid="{00000000-0005-0000-0000-00001B550000}"/>
    <cellStyle name="Normal 42 2" xfId="4510" xr:uid="{00000000-0005-0000-0000-00001C550000}"/>
    <cellStyle name="Normal 42 2 2" xfId="12489" xr:uid="{00000000-0005-0000-0000-00001D550000}"/>
    <cellStyle name="Normal 42 2 2 2" xfId="23777" xr:uid="{00000000-0005-0000-0000-00001E550000}"/>
    <cellStyle name="Normal 42 2 3" xfId="10495" xr:uid="{00000000-0005-0000-0000-00001F550000}"/>
    <cellStyle name="Normal 42 2 3 2" xfId="21783" xr:uid="{00000000-0005-0000-0000-000020550000}"/>
    <cellStyle name="Normal 42 2 4" xfId="8501" xr:uid="{00000000-0005-0000-0000-000021550000}"/>
    <cellStyle name="Normal 42 2 4 2" xfId="19789" xr:uid="{00000000-0005-0000-0000-000022550000}"/>
    <cellStyle name="Normal 42 2 5" xfId="6507" xr:uid="{00000000-0005-0000-0000-000023550000}"/>
    <cellStyle name="Normal 42 2 5 2" xfId="17795" xr:uid="{00000000-0005-0000-0000-000024550000}"/>
    <cellStyle name="Normal 42 2 6" xfId="15801" xr:uid="{00000000-0005-0000-0000-000025550000}"/>
    <cellStyle name="Normal 42 3" xfId="11492" xr:uid="{00000000-0005-0000-0000-000026550000}"/>
    <cellStyle name="Normal 42 3 2" xfId="22780" xr:uid="{00000000-0005-0000-0000-000027550000}"/>
    <cellStyle name="Normal 42 4" xfId="9498" xr:uid="{00000000-0005-0000-0000-000028550000}"/>
    <cellStyle name="Normal 42 4 2" xfId="20786" xr:uid="{00000000-0005-0000-0000-000029550000}"/>
    <cellStyle name="Normal 42 5" xfId="7504" xr:uid="{00000000-0005-0000-0000-00002A550000}"/>
    <cellStyle name="Normal 42 5 2" xfId="18792" xr:uid="{00000000-0005-0000-0000-00002B550000}"/>
    <cellStyle name="Normal 42 6" xfId="5510" xr:uid="{00000000-0005-0000-0000-00002C550000}"/>
    <cellStyle name="Normal 42 6 2" xfId="16798" xr:uid="{00000000-0005-0000-0000-00002D550000}"/>
    <cellStyle name="Normal 42 7" xfId="14804" xr:uid="{00000000-0005-0000-0000-00002E550000}"/>
    <cellStyle name="Normal 42 8" xfId="13488" xr:uid="{00000000-0005-0000-0000-00002F550000}"/>
    <cellStyle name="Normal 42 9" xfId="24506" xr:uid="{00000000-0005-0000-0000-000030550000}"/>
    <cellStyle name="Normal 43" xfId="3276" xr:uid="{00000000-0005-0000-0000-000031550000}"/>
    <cellStyle name="Normal 43 2" xfId="4511" xr:uid="{00000000-0005-0000-0000-000032550000}"/>
    <cellStyle name="Normal 43 2 2" xfId="12490" xr:uid="{00000000-0005-0000-0000-000033550000}"/>
    <cellStyle name="Normal 43 2 2 2" xfId="23778" xr:uid="{00000000-0005-0000-0000-000034550000}"/>
    <cellStyle name="Normal 43 2 3" xfId="10496" xr:uid="{00000000-0005-0000-0000-000035550000}"/>
    <cellStyle name="Normal 43 2 3 2" xfId="21784" xr:uid="{00000000-0005-0000-0000-000036550000}"/>
    <cellStyle name="Normal 43 2 4" xfId="8502" xr:uid="{00000000-0005-0000-0000-000037550000}"/>
    <cellStyle name="Normal 43 2 4 2" xfId="19790" xr:uid="{00000000-0005-0000-0000-000038550000}"/>
    <cellStyle name="Normal 43 2 5" xfId="6508" xr:uid="{00000000-0005-0000-0000-000039550000}"/>
    <cellStyle name="Normal 43 2 5 2" xfId="17796" xr:uid="{00000000-0005-0000-0000-00003A550000}"/>
    <cellStyle name="Normal 43 2 6" xfId="15802" xr:uid="{00000000-0005-0000-0000-00003B550000}"/>
    <cellStyle name="Normal 43 3" xfId="11493" xr:uid="{00000000-0005-0000-0000-00003C550000}"/>
    <cellStyle name="Normal 43 3 2" xfId="22781" xr:uid="{00000000-0005-0000-0000-00003D550000}"/>
    <cellStyle name="Normal 43 4" xfId="9499" xr:uid="{00000000-0005-0000-0000-00003E550000}"/>
    <cellStyle name="Normal 43 4 2" xfId="20787" xr:uid="{00000000-0005-0000-0000-00003F550000}"/>
    <cellStyle name="Normal 43 5" xfId="7505" xr:uid="{00000000-0005-0000-0000-000040550000}"/>
    <cellStyle name="Normal 43 5 2" xfId="18793" xr:uid="{00000000-0005-0000-0000-000041550000}"/>
    <cellStyle name="Normal 43 6" xfId="5511" xr:uid="{00000000-0005-0000-0000-000042550000}"/>
    <cellStyle name="Normal 43 6 2" xfId="16799" xr:uid="{00000000-0005-0000-0000-000043550000}"/>
    <cellStyle name="Normal 43 7" xfId="14805" xr:uid="{00000000-0005-0000-0000-000044550000}"/>
    <cellStyle name="Normal 43 8" xfId="13489" xr:uid="{00000000-0005-0000-0000-000045550000}"/>
    <cellStyle name="Normal 43 9" xfId="24511" xr:uid="{00000000-0005-0000-0000-000046550000}"/>
    <cellStyle name="Normal 44" xfId="3277" xr:uid="{00000000-0005-0000-0000-000047550000}"/>
    <cellStyle name="Normal 44 2" xfId="4512" xr:uid="{00000000-0005-0000-0000-000048550000}"/>
    <cellStyle name="Normal 44 2 2" xfId="12491" xr:uid="{00000000-0005-0000-0000-000049550000}"/>
    <cellStyle name="Normal 44 2 2 2" xfId="23779" xr:uid="{00000000-0005-0000-0000-00004A550000}"/>
    <cellStyle name="Normal 44 2 3" xfId="10497" xr:uid="{00000000-0005-0000-0000-00004B550000}"/>
    <cellStyle name="Normal 44 2 3 2" xfId="21785" xr:uid="{00000000-0005-0000-0000-00004C550000}"/>
    <cellStyle name="Normal 44 2 4" xfId="8503" xr:uid="{00000000-0005-0000-0000-00004D550000}"/>
    <cellStyle name="Normal 44 2 4 2" xfId="19791" xr:uid="{00000000-0005-0000-0000-00004E550000}"/>
    <cellStyle name="Normal 44 2 5" xfId="6509" xr:uid="{00000000-0005-0000-0000-00004F550000}"/>
    <cellStyle name="Normal 44 2 5 2" xfId="17797" xr:uid="{00000000-0005-0000-0000-000050550000}"/>
    <cellStyle name="Normal 44 2 6" xfId="15803" xr:uid="{00000000-0005-0000-0000-000051550000}"/>
    <cellStyle name="Normal 44 3" xfId="11494" xr:uid="{00000000-0005-0000-0000-000052550000}"/>
    <cellStyle name="Normal 44 3 2" xfId="22782" xr:uid="{00000000-0005-0000-0000-000053550000}"/>
    <cellStyle name="Normal 44 4" xfId="9500" xr:uid="{00000000-0005-0000-0000-000054550000}"/>
    <cellStyle name="Normal 44 4 2" xfId="20788" xr:uid="{00000000-0005-0000-0000-000055550000}"/>
    <cellStyle name="Normal 44 5" xfId="7506" xr:uid="{00000000-0005-0000-0000-000056550000}"/>
    <cellStyle name="Normal 44 5 2" xfId="18794" xr:uid="{00000000-0005-0000-0000-000057550000}"/>
    <cellStyle name="Normal 44 6" xfId="5512" xr:uid="{00000000-0005-0000-0000-000058550000}"/>
    <cellStyle name="Normal 44 6 2" xfId="16800" xr:uid="{00000000-0005-0000-0000-000059550000}"/>
    <cellStyle name="Normal 44 7" xfId="14806" xr:uid="{00000000-0005-0000-0000-00005A550000}"/>
    <cellStyle name="Normal 44 8" xfId="13490" xr:uid="{00000000-0005-0000-0000-00005B550000}"/>
    <cellStyle name="Normal 45" xfId="3278" xr:uid="{00000000-0005-0000-0000-00005C550000}"/>
    <cellStyle name="Normal 45 2" xfId="4513" xr:uid="{00000000-0005-0000-0000-00005D550000}"/>
    <cellStyle name="Normal 45 2 2" xfId="12492" xr:uid="{00000000-0005-0000-0000-00005E550000}"/>
    <cellStyle name="Normal 45 2 2 2" xfId="23780" xr:uid="{00000000-0005-0000-0000-00005F550000}"/>
    <cellStyle name="Normal 45 2 3" xfId="10498" xr:uid="{00000000-0005-0000-0000-000060550000}"/>
    <cellStyle name="Normal 45 2 3 2" xfId="21786" xr:uid="{00000000-0005-0000-0000-000061550000}"/>
    <cellStyle name="Normal 45 2 4" xfId="8504" xr:uid="{00000000-0005-0000-0000-000062550000}"/>
    <cellStyle name="Normal 45 2 4 2" xfId="19792" xr:uid="{00000000-0005-0000-0000-000063550000}"/>
    <cellStyle name="Normal 45 2 5" xfId="6510" xr:uid="{00000000-0005-0000-0000-000064550000}"/>
    <cellStyle name="Normal 45 2 5 2" xfId="17798" xr:uid="{00000000-0005-0000-0000-000065550000}"/>
    <cellStyle name="Normal 45 2 6" xfId="15804" xr:uid="{00000000-0005-0000-0000-000066550000}"/>
    <cellStyle name="Normal 45 3" xfId="11495" xr:uid="{00000000-0005-0000-0000-000067550000}"/>
    <cellStyle name="Normal 45 3 2" xfId="22783" xr:uid="{00000000-0005-0000-0000-000068550000}"/>
    <cellStyle name="Normal 45 4" xfId="9501" xr:uid="{00000000-0005-0000-0000-000069550000}"/>
    <cellStyle name="Normal 45 4 2" xfId="20789" xr:uid="{00000000-0005-0000-0000-00006A550000}"/>
    <cellStyle name="Normal 45 5" xfId="7507" xr:uid="{00000000-0005-0000-0000-00006B550000}"/>
    <cellStyle name="Normal 45 5 2" xfId="18795" xr:uid="{00000000-0005-0000-0000-00006C550000}"/>
    <cellStyle name="Normal 45 6" xfId="5513" xr:uid="{00000000-0005-0000-0000-00006D550000}"/>
    <cellStyle name="Normal 45 6 2" xfId="16801" xr:uid="{00000000-0005-0000-0000-00006E550000}"/>
    <cellStyle name="Normal 45 7" xfId="14807" xr:uid="{00000000-0005-0000-0000-00006F550000}"/>
    <cellStyle name="Normal 45 8" xfId="13491" xr:uid="{00000000-0005-0000-0000-000070550000}"/>
    <cellStyle name="Normal 46" xfId="3279" xr:uid="{00000000-0005-0000-0000-000071550000}"/>
    <cellStyle name="Normal 46 2" xfId="4514" xr:uid="{00000000-0005-0000-0000-000072550000}"/>
    <cellStyle name="Normal 46 2 2" xfId="12493" xr:uid="{00000000-0005-0000-0000-000073550000}"/>
    <cellStyle name="Normal 46 2 2 2" xfId="23781" xr:uid="{00000000-0005-0000-0000-000074550000}"/>
    <cellStyle name="Normal 46 2 3" xfId="10499" xr:uid="{00000000-0005-0000-0000-000075550000}"/>
    <cellStyle name="Normal 46 2 3 2" xfId="21787" xr:uid="{00000000-0005-0000-0000-000076550000}"/>
    <cellStyle name="Normal 46 2 4" xfId="8505" xr:uid="{00000000-0005-0000-0000-000077550000}"/>
    <cellStyle name="Normal 46 2 4 2" xfId="19793" xr:uid="{00000000-0005-0000-0000-000078550000}"/>
    <cellStyle name="Normal 46 2 5" xfId="6511" xr:uid="{00000000-0005-0000-0000-000079550000}"/>
    <cellStyle name="Normal 46 2 5 2" xfId="17799" xr:uid="{00000000-0005-0000-0000-00007A550000}"/>
    <cellStyle name="Normal 46 2 6" xfId="15805" xr:uid="{00000000-0005-0000-0000-00007B550000}"/>
    <cellStyle name="Normal 46 3" xfId="11496" xr:uid="{00000000-0005-0000-0000-00007C550000}"/>
    <cellStyle name="Normal 46 3 2" xfId="22784" xr:uid="{00000000-0005-0000-0000-00007D550000}"/>
    <cellStyle name="Normal 46 4" xfId="9502" xr:uid="{00000000-0005-0000-0000-00007E550000}"/>
    <cellStyle name="Normal 46 4 2" xfId="20790" xr:uid="{00000000-0005-0000-0000-00007F550000}"/>
    <cellStyle name="Normal 46 5" xfId="7508" xr:uid="{00000000-0005-0000-0000-000080550000}"/>
    <cellStyle name="Normal 46 5 2" xfId="18796" xr:uid="{00000000-0005-0000-0000-000081550000}"/>
    <cellStyle name="Normal 46 6" xfId="5514" xr:uid="{00000000-0005-0000-0000-000082550000}"/>
    <cellStyle name="Normal 46 6 2" xfId="16802" xr:uid="{00000000-0005-0000-0000-000083550000}"/>
    <cellStyle name="Normal 46 7" xfId="14808" xr:uid="{00000000-0005-0000-0000-000084550000}"/>
    <cellStyle name="Normal 46 8" xfId="13492" xr:uid="{00000000-0005-0000-0000-000085550000}"/>
    <cellStyle name="Normal 47" xfId="3280" xr:uid="{00000000-0005-0000-0000-000086550000}"/>
    <cellStyle name="Normal 47 2" xfId="4515" xr:uid="{00000000-0005-0000-0000-000087550000}"/>
    <cellStyle name="Normal 47 2 2" xfId="12494" xr:uid="{00000000-0005-0000-0000-000088550000}"/>
    <cellStyle name="Normal 47 2 2 2" xfId="23782" xr:uid="{00000000-0005-0000-0000-000089550000}"/>
    <cellStyle name="Normal 47 2 3" xfId="10500" xr:uid="{00000000-0005-0000-0000-00008A550000}"/>
    <cellStyle name="Normal 47 2 3 2" xfId="21788" xr:uid="{00000000-0005-0000-0000-00008B550000}"/>
    <cellStyle name="Normal 47 2 4" xfId="8506" xr:uid="{00000000-0005-0000-0000-00008C550000}"/>
    <cellStyle name="Normal 47 2 4 2" xfId="19794" xr:uid="{00000000-0005-0000-0000-00008D550000}"/>
    <cellStyle name="Normal 47 2 5" xfId="6512" xr:uid="{00000000-0005-0000-0000-00008E550000}"/>
    <cellStyle name="Normal 47 2 5 2" xfId="17800" xr:uid="{00000000-0005-0000-0000-00008F550000}"/>
    <cellStyle name="Normal 47 2 6" xfId="15806" xr:uid="{00000000-0005-0000-0000-000090550000}"/>
    <cellStyle name="Normal 47 3" xfId="11497" xr:uid="{00000000-0005-0000-0000-000091550000}"/>
    <cellStyle name="Normal 47 3 2" xfId="22785" xr:uid="{00000000-0005-0000-0000-000092550000}"/>
    <cellStyle name="Normal 47 4" xfId="9503" xr:uid="{00000000-0005-0000-0000-000093550000}"/>
    <cellStyle name="Normal 47 4 2" xfId="20791" xr:uid="{00000000-0005-0000-0000-000094550000}"/>
    <cellStyle name="Normal 47 5" xfId="7509" xr:uid="{00000000-0005-0000-0000-000095550000}"/>
    <cellStyle name="Normal 47 5 2" xfId="18797" xr:uid="{00000000-0005-0000-0000-000096550000}"/>
    <cellStyle name="Normal 47 6" xfId="5515" xr:uid="{00000000-0005-0000-0000-000097550000}"/>
    <cellStyle name="Normal 47 6 2" xfId="16803" xr:uid="{00000000-0005-0000-0000-000098550000}"/>
    <cellStyle name="Normal 47 7" xfId="14809" xr:uid="{00000000-0005-0000-0000-000099550000}"/>
    <cellStyle name="Normal 47 8" xfId="13493" xr:uid="{00000000-0005-0000-0000-00009A550000}"/>
    <cellStyle name="Normal 48" xfId="3281" xr:uid="{00000000-0005-0000-0000-00009B550000}"/>
    <cellStyle name="Normal 48 2" xfId="4516" xr:uid="{00000000-0005-0000-0000-00009C550000}"/>
    <cellStyle name="Normal 48 2 2" xfId="12495" xr:uid="{00000000-0005-0000-0000-00009D550000}"/>
    <cellStyle name="Normal 48 2 2 2" xfId="23783" xr:uid="{00000000-0005-0000-0000-00009E550000}"/>
    <cellStyle name="Normal 48 2 3" xfId="10501" xr:uid="{00000000-0005-0000-0000-00009F550000}"/>
    <cellStyle name="Normal 48 2 3 2" xfId="21789" xr:uid="{00000000-0005-0000-0000-0000A0550000}"/>
    <cellStyle name="Normal 48 2 4" xfId="8507" xr:uid="{00000000-0005-0000-0000-0000A1550000}"/>
    <cellStyle name="Normal 48 2 4 2" xfId="19795" xr:uid="{00000000-0005-0000-0000-0000A2550000}"/>
    <cellStyle name="Normal 48 2 5" xfId="6513" xr:uid="{00000000-0005-0000-0000-0000A3550000}"/>
    <cellStyle name="Normal 48 2 5 2" xfId="17801" xr:uid="{00000000-0005-0000-0000-0000A4550000}"/>
    <cellStyle name="Normal 48 2 6" xfId="15807" xr:uid="{00000000-0005-0000-0000-0000A5550000}"/>
    <cellStyle name="Normal 48 3" xfId="11498" xr:uid="{00000000-0005-0000-0000-0000A6550000}"/>
    <cellStyle name="Normal 48 3 2" xfId="22786" xr:uid="{00000000-0005-0000-0000-0000A7550000}"/>
    <cellStyle name="Normal 48 4" xfId="9504" xr:uid="{00000000-0005-0000-0000-0000A8550000}"/>
    <cellStyle name="Normal 48 4 2" xfId="20792" xr:uid="{00000000-0005-0000-0000-0000A9550000}"/>
    <cellStyle name="Normal 48 5" xfId="7510" xr:uid="{00000000-0005-0000-0000-0000AA550000}"/>
    <cellStyle name="Normal 48 5 2" xfId="18798" xr:uid="{00000000-0005-0000-0000-0000AB550000}"/>
    <cellStyle name="Normal 48 6" xfId="5516" xr:uid="{00000000-0005-0000-0000-0000AC550000}"/>
    <cellStyle name="Normal 48 6 2" xfId="16804" xr:uid="{00000000-0005-0000-0000-0000AD550000}"/>
    <cellStyle name="Normal 48 7" xfId="14810" xr:uid="{00000000-0005-0000-0000-0000AE550000}"/>
    <cellStyle name="Normal 48 8" xfId="13494" xr:uid="{00000000-0005-0000-0000-0000AF550000}"/>
    <cellStyle name="Normal 49" xfId="3282" xr:uid="{00000000-0005-0000-0000-0000B0550000}"/>
    <cellStyle name="Normal 49 2" xfId="4517" xr:uid="{00000000-0005-0000-0000-0000B1550000}"/>
    <cellStyle name="Normal 49 2 2" xfId="12496" xr:uid="{00000000-0005-0000-0000-0000B2550000}"/>
    <cellStyle name="Normal 49 2 2 2" xfId="23784" xr:uid="{00000000-0005-0000-0000-0000B3550000}"/>
    <cellStyle name="Normal 49 2 3" xfId="10502" xr:uid="{00000000-0005-0000-0000-0000B4550000}"/>
    <cellStyle name="Normal 49 2 3 2" xfId="21790" xr:uid="{00000000-0005-0000-0000-0000B5550000}"/>
    <cellStyle name="Normal 49 2 4" xfId="8508" xr:uid="{00000000-0005-0000-0000-0000B6550000}"/>
    <cellStyle name="Normal 49 2 4 2" xfId="19796" xr:uid="{00000000-0005-0000-0000-0000B7550000}"/>
    <cellStyle name="Normal 49 2 5" xfId="6514" xr:uid="{00000000-0005-0000-0000-0000B8550000}"/>
    <cellStyle name="Normal 49 2 5 2" xfId="17802" xr:uid="{00000000-0005-0000-0000-0000B9550000}"/>
    <cellStyle name="Normal 49 2 6" xfId="15808" xr:uid="{00000000-0005-0000-0000-0000BA550000}"/>
    <cellStyle name="Normal 49 3" xfId="11499" xr:uid="{00000000-0005-0000-0000-0000BB550000}"/>
    <cellStyle name="Normal 49 3 2" xfId="22787" xr:uid="{00000000-0005-0000-0000-0000BC550000}"/>
    <cellStyle name="Normal 49 4" xfId="9505" xr:uid="{00000000-0005-0000-0000-0000BD550000}"/>
    <cellStyle name="Normal 49 4 2" xfId="20793" xr:uid="{00000000-0005-0000-0000-0000BE550000}"/>
    <cellStyle name="Normal 49 5" xfId="7511" xr:uid="{00000000-0005-0000-0000-0000BF550000}"/>
    <cellStyle name="Normal 49 5 2" xfId="18799" xr:uid="{00000000-0005-0000-0000-0000C0550000}"/>
    <cellStyle name="Normal 49 6" xfId="5517" xr:uid="{00000000-0005-0000-0000-0000C1550000}"/>
    <cellStyle name="Normal 49 6 2" xfId="16805" xr:uid="{00000000-0005-0000-0000-0000C2550000}"/>
    <cellStyle name="Normal 49 7" xfId="14811" xr:uid="{00000000-0005-0000-0000-0000C3550000}"/>
    <cellStyle name="Normal 49 8" xfId="13495" xr:uid="{00000000-0005-0000-0000-0000C4550000}"/>
    <cellStyle name="Normal 5" xfId="56" xr:uid="{00000000-0005-0000-0000-0000C5550000}"/>
    <cellStyle name="Normal 5 10" xfId="13496" xr:uid="{00000000-0005-0000-0000-0000C6550000}"/>
    <cellStyle name="Normal 5 11" xfId="24154" xr:uid="{00000000-0005-0000-0000-0000C7550000}"/>
    <cellStyle name="Normal 5 12" xfId="24723" xr:uid="{00000000-0005-0000-0000-0000C8550000}"/>
    <cellStyle name="Normal 5 13" xfId="25039" xr:uid="{00000000-0005-0000-0000-0000C9550000}"/>
    <cellStyle name="Normal 5 14" xfId="25775" xr:uid="{00000000-0005-0000-0000-0000CA550000}"/>
    <cellStyle name="Normal 5 2" xfId="203" xr:uid="{00000000-0005-0000-0000-0000CB550000}"/>
    <cellStyle name="Normal 5 2 10" xfId="25789" xr:uid="{00000000-0005-0000-0000-0000CC550000}"/>
    <cellStyle name="Normal 5 2 2" xfId="661" xr:uid="{00000000-0005-0000-0000-0000CD550000}"/>
    <cellStyle name="Normal 5 2 2 2" xfId="12497" xr:uid="{00000000-0005-0000-0000-0000CE550000}"/>
    <cellStyle name="Normal 5 2 2 2 2" xfId="23785" xr:uid="{00000000-0005-0000-0000-0000CF550000}"/>
    <cellStyle name="Normal 5 2 2 2 3" xfId="24428" xr:uid="{00000000-0005-0000-0000-0000D0550000}"/>
    <cellStyle name="Normal 5 2 2 2 4" xfId="24872" xr:uid="{00000000-0005-0000-0000-0000D1550000}"/>
    <cellStyle name="Normal 5 2 2 2 5" xfId="25235" xr:uid="{00000000-0005-0000-0000-0000D2550000}"/>
    <cellStyle name="Normal 5 2 2 3" xfId="24156" xr:uid="{00000000-0005-0000-0000-0000D3550000}"/>
    <cellStyle name="Normal 5 2 2 4" xfId="24725" xr:uid="{00000000-0005-0000-0000-0000D4550000}"/>
    <cellStyle name="Normal 5 2 2 5" xfId="25041" xr:uid="{00000000-0005-0000-0000-0000D5550000}"/>
    <cellStyle name="Normal 5 2 3" xfId="10503" xr:uid="{00000000-0005-0000-0000-0000D6550000}"/>
    <cellStyle name="Normal 5 2 3 2" xfId="21791" xr:uid="{00000000-0005-0000-0000-0000D7550000}"/>
    <cellStyle name="Normal 5 2 3 3" xfId="24427" xr:uid="{00000000-0005-0000-0000-0000D8550000}"/>
    <cellStyle name="Normal 5 2 3 4" xfId="24871" xr:uid="{00000000-0005-0000-0000-0000D9550000}"/>
    <cellStyle name="Normal 5 2 3 5" xfId="25234" xr:uid="{00000000-0005-0000-0000-0000DA550000}"/>
    <cellStyle name="Normal 5 2 4" xfId="8509" xr:uid="{00000000-0005-0000-0000-0000DB550000}"/>
    <cellStyle name="Normal 5 2 4 2" xfId="19797" xr:uid="{00000000-0005-0000-0000-0000DC550000}"/>
    <cellStyle name="Normal 5 2 5" xfId="6515" xr:uid="{00000000-0005-0000-0000-0000DD550000}"/>
    <cellStyle name="Normal 5 2 5 2" xfId="17803" xr:uid="{00000000-0005-0000-0000-0000DE550000}"/>
    <cellStyle name="Normal 5 2 6" xfId="4518" xr:uid="{00000000-0005-0000-0000-0000DF550000}"/>
    <cellStyle name="Normal 5 2 6 2" xfId="15809" xr:uid="{00000000-0005-0000-0000-0000E0550000}"/>
    <cellStyle name="Normal 5 2 7" xfId="24155" xr:uid="{00000000-0005-0000-0000-0000E1550000}"/>
    <cellStyle name="Normal 5 2 8" xfId="24724" xr:uid="{00000000-0005-0000-0000-0000E2550000}"/>
    <cellStyle name="Normal 5 2 9" xfId="25040" xr:uid="{00000000-0005-0000-0000-0000E3550000}"/>
    <cellStyle name="Normal 5 3" xfId="357" xr:uid="{00000000-0005-0000-0000-0000E4550000}"/>
    <cellStyle name="Normal 5 3 2" xfId="440" xr:uid="{00000000-0005-0000-0000-0000E5550000}"/>
    <cellStyle name="Normal 5 3 2 2" xfId="526" xr:uid="{00000000-0005-0000-0000-0000E6550000}"/>
    <cellStyle name="Normal 5 3 2 2 2" xfId="13889" xr:uid="{00000000-0005-0000-0000-0000E7550000}"/>
    <cellStyle name="Normal 5 3 2 2 3" xfId="24430" xr:uid="{00000000-0005-0000-0000-0000E8550000}"/>
    <cellStyle name="Normal 5 3 2 2 4" xfId="24874" xr:uid="{00000000-0005-0000-0000-0000E9550000}"/>
    <cellStyle name="Normal 5 3 2 2 5" xfId="25237" xr:uid="{00000000-0005-0000-0000-0000EA550000}"/>
    <cellStyle name="Normal 5 3 2 3" xfId="13812" xr:uid="{00000000-0005-0000-0000-0000EB550000}"/>
    <cellStyle name="Normal 5 3 2 4" xfId="24158" xr:uid="{00000000-0005-0000-0000-0000EC550000}"/>
    <cellStyle name="Normal 5 3 2 5" xfId="24727" xr:uid="{00000000-0005-0000-0000-0000ED550000}"/>
    <cellStyle name="Normal 5 3 2 6" xfId="25043" xr:uid="{00000000-0005-0000-0000-0000EE550000}"/>
    <cellStyle name="Normal 5 3 3" xfId="489" xr:uid="{00000000-0005-0000-0000-0000EF550000}"/>
    <cellStyle name="Normal 5 3 3 2" xfId="13852" xr:uid="{00000000-0005-0000-0000-0000F0550000}"/>
    <cellStyle name="Normal 5 3 3 3" xfId="24429" xr:uid="{00000000-0005-0000-0000-0000F1550000}"/>
    <cellStyle name="Normal 5 3 3 4" xfId="24873" xr:uid="{00000000-0005-0000-0000-0000F2550000}"/>
    <cellStyle name="Normal 5 3 3 5" xfId="25236" xr:uid="{00000000-0005-0000-0000-0000F3550000}"/>
    <cellStyle name="Normal 5 3 4" xfId="11500" xr:uid="{00000000-0005-0000-0000-0000F4550000}"/>
    <cellStyle name="Normal 5 3 4 2" xfId="22788" xr:uid="{00000000-0005-0000-0000-0000F5550000}"/>
    <cellStyle name="Normal 5 3 5" xfId="13767" xr:uid="{00000000-0005-0000-0000-0000F6550000}"/>
    <cellStyle name="Normal 5 3 6" xfId="24157" xr:uid="{00000000-0005-0000-0000-0000F7550000}"/>
    <cellStyle name="Normal 5 3 7" xfId="24726" xr:uid="{00000000-0005-0000-0000-0000F8550000}"/>
    <cellStyle name="Normal 5 3 8" xfId="25042" xr:uid="{00000000-0005-0000-0000-0000F9550000}"/>
    <cellStyle name="Normal 5 4" xfId="408" xr:uid="{00000000-0005-0000-0000-0000FA550000}"/>
    <cellStyle name="Normal 5 4 2" xfId="508" xr:uid="{00000000-0005-0000-0000-0000FB550000}"/>
    <cellStyle name="Normal 5 4 2 2" xfId="13871" xr:uid="{00000000-0005-0000-0000-0000FC550000}"/>
    <cellStyle name="Normal 5 4 2 3" xfId="24431" xr:uid="{00000000-0005-0000-0000-0000FD550000}"/>
    <cellStyle name="Normal 5 4 2 4" xfId="24875" xr:uid="{00000000-0005-0000-0000-0000FE550000}"/>
    <cellStyle name="Normal 5 4 2 5" xfId="25238" xr:uid="{00000000-0005-0000-0000-0000FF550000}"/>
    <cellStyle name="Normal 5 4 3" xfId="9506" xr:uid="{00000000-0005-0000-0000-000000560000}"/>
    <cellStyle name="Normal 5 4 3 2" xfId="20794" xr:uid="{00000000-0005-0000-0000-000001560000}"/>
    <cellStyle name="Normal 5 4 4" xfId="13790" xr:uid="{00000000-0005-0000-0000-000002560000}"/>
    <cellStyle name="Normal 5 4 5" xfId="24159" xr:uid="{00000000-0005-0000-0000-000003560000}"/>
    <cellStyle name="Normal 5 4 6" xfId="24728" xr:uid="{00000000-0005-0000-0000-000004560000}"/>
    <cellStyle name="Normal 5 4 7" xfId="25044" xr:uid="{00000000-0005-0000-0000-000005560000}"/>
    <cellStyle name="Normal 5 5" xfId="392" xr:uid="{00000000-0005-0000-0000-000006560000}"/>
    <cellStyle name="Normal 5 5 2" xfId="7512" xr:uid="{00000000-0005-0000-0000-000007560000}"/>
    <cellStyle name="Normal 5 5 2 2" xfId="18800" xr:uid="{00000000-0005-0000-0000-000008560000}"/>
    <cellStyle name="Normal 5 5 3" xfId="24426" xr:uid="{00000000-0005-0000-0000-000009560000}"/>
    <cellStyle name="Normal 5 5 4" xfId="24870" xr:uid="{00000000-0005-0000-0000-00000A560000}"/>
    <cellStyle name="Normal 5 5 5" xfId="25233" xr:uid="{00000000-0005-0000-0000-00000B560000}"/>
    <cellStyle name="Normal 5 6" xfId="474" xr:uid="{00000000-0005-0000-0000-00000C560000}"/>
    <cellStyle name="Normal 5 6 2" xfId="5518" xr:uid="{00000000-0005-0000-0000-00000D560000}"/>
    <cellStyle name="Normal 5 6 2 2" xfId="16806" xr:uid="{00000000-0005-0000-0000-00000E560000}"/>
    <cellStyle name="Normal 5 6 3" xfId="13837" xr:uid="{00000000-0005-0000-0000-00000F560000}"/>
    <cellStyle name="Normal 5 7" xfId="660" xr:uid="{00000000-0005-0000-0000-000010560000}"/>
    <cellStyle name="Normal 5 7 2" xfId="13913" xr:uid="{00000000-0005-0000-0000-000011560000}"/>
    <cellStyle name="Normal 5 8" xfId="3283" xr:uid="{00000000-0005-0000-0000-000012560000}"/>
    <cellStyle name="Normal 5 8 2" xfId="14812" xr:uid="{00000000-0005-0000-0000-000013560000}"/>
    <cellStyle name="Normal 5 9" xfId="13614" xr:uid="{00000000-0005-0000-0000-000014560000}"/>
    <cellStyle name="Normal 50" xfId="3284" xr:uid="{00000000-0005-0000-0000-000015560000}"/>
    <cellStyle name="Normal 50 2" xfId="3285" xr:uid="{00000000-0005-0000-0000-000016560000}"/>
    <cellStyle name="Normal 50 2 2" xfId="4520" xr:uid="{00000000-0005-0000-0000-000017560000}"/>
    <cellStyle name="Normal 50 2 2 2" xfId="12499" xr:uid="{00000000-0005-0000-0000-000018560000}"/>
    <cellStyle name="Normal 50 2 2 2 2" xfId="23787" xr:uid="{00000000-0005-0000-0000-000019560000}"/>
    <cellStyle name="Normal 50 2 2 3" xfId="10505" xr:uid="{00000000-0005-0000-0000-00001A560000}"/>
    <cellStyle name="Normal 50 2 2 3 2" xfId="21793" xr:uid="{00000000-0005-0000-0000-00001B560000}"/>
    <cellStyle name="Normal 50 2 2 4" xfId="8511" xr:uid="{00000000-0005-0000-0000-00001C560000}"/>
    <cellStyle name="Normal 50 2 2 4 2" xfId="19799" xr:uid="{00000000-0005-0000-0000-00001D560000}"/>
    <cellStyle name="Normal 50 2 2 5" xfId="6517" xr:uid="{00000000-0005-0000-0000-00001E560000}"/>
    <cellStyle name="Normal 50 2 2 5 2" xfId="17805" xr:uid="{00000000-0005-0000-0000-00001F560000}"/>
    <cellStyle name="Normal 50 2 2 6" xfId="15811" xr:uid="{00000000-0005-0000-0000-000020560000}"/>
    <cellStyle name="Normal 50 2 3" xfId="11502" xr:uid="{00000000-0005-0000-0000-000021560000}"/>
    <cellStyle name="Normal 50 2 3 2" xfId="22790" xr:uid="{00000000-0005-0000-0000-000022560000}"/>
    <cellStyle name="Normal 50 2 4" xfId="9508" xr:uid="{00000000-0005-0000-0000-000023560000}"/>
    <cellStyle name="Normal 50 2 4 2" xfId="20796" xr:uid="{00000000-0005-0000-0000-000024560000}"/>
    <cellStyle name="Normal 50 2 5" xfId="7514" xr:uid="{00000000-0005-0000-0000-000025560000}"/>
    <cellStyle name="Normal 50 2 5 2" xfId="18802" xr:uid="{00000000-0005-0000-0000-000026560000}"/>
    <cellStyle name="Normal 50 2 6" xfId="5520" xr:uid="{00000000-0005-0000-0000-000027560000}"/>
    <cellStyle name="Normal 50 2 6 2" xfId="16808" xr:uid="{00000000-0005-0000-0000-000028560000}"/>
    <cellStyle name="Normal 50 2 7" xfId="14814" xr:uid="{00000000-0005-0000-0000-000029560000}"/>
    <cellStyle name="Normal 50 2 8" xfId="13498" xr:uid="{00000000-0005-0000-0000-00002A560000}"/>
    <cellStyle name="Normal 50 3" xfId="4519" xr:uid="{00000000-0005-0000-0000-00002B560000}"/>
    <cellStyle name="Normal 50 3 2" xfId="12498" xr:uid="{00000000-0005-0000-0000-00002C560000}"/>
    <cellStyle name="Normal 50 3 2 2" xfId="23786" xr:uid="{00000000-0005-0000-0000-00002D560000}"/>
    <cellStyle name="Normal 50 3 3" xfId="10504" xr:uid="{00000000-0005-0000-0000-00002E560000}"/>
    <cellStyle name="Normal 50 3 3 2" xfId="21792" xr:uid="{00000000-0005-0000-0000-00002F560000}"/>
    <cellStyle name="Normal 50 3 4" xfId="8510" xr:uid="{00000000-0005-0000-0000-000030560000}"/>
    <cellStyle name="Normal 50 3 4 2" xfId="19798" xr:uid="{00000000-0005-0000-0000-000031560000}"/>
    <cellStyle name="Normal 50 3 5" xfId="6516" xr:uid="{00000000-0005-0000-0000-000032560000}"/>
    <cellStyle name="Normal 50 3 5 2" xfId="17804" xr:uid="{00000000-0005-0000-0000-000033560000}"/>
    <cellStyle name="Normal 50 3 6" xfId="15810" xr:uid="{00000000-0005-0000-0000-000034560000}"/>
    <cellStyle name="Normal 50 4" xfId="11501" xr:uid="{00000000-0005-0000-0000-000035560000}"/>
    <cellStyle name="Normal 50 4 2" xfId="22789" xr:uid="{00000000-0005-0000-0000-000036560000}"/>
    <cellStyle name="Normal 50 5" xfId="9507" xr:uid="{00000000-0005-0000-0000-000037560000}"/>
    <cellStyle name="Normal 50 5 2" xfId="20795" xr:uid="{00000000-0005-0000-0000-000038560000}"/>
    <cellStyle name="Normal 50 6" xfId="7513" xr:uid="{00000000-0005-0000-0000-000039560000}"/>
    <cellStyle name="Normal 50 6 2" xfId="18801" xr:uid="{00000000-0005-0000-0000-00003A560000}"/>
    <cellStyle name="Normal 50 7" xfId="5519" xr:uid="{00000000-0005-0000-0000-00003B560000}"/>
    <cellStyle name="Normal 50 7 2" xfId="16807" xr:uid="{00000000-0005-0000-0000-00003C560000}"/>
    <cellStyle name="Normal 50 8" xfId="14813" xr:uid="{00000000-0005-0000-0000-00003D560000}"/>
    <cellStyle name="Normal 50 9" xfId="13497" xr:uid="{00000000-0005-0000-0000-00003E560000}"/>
    <cellStyle name="Normal 51" xfId="3286" xr:uid="{00000000-0005-0000-0000-00003F560000}"/>
    <cellStyle name="Normal 51 2" xfId="4521" xr:uid="{00000000-0005-0000-0000-000040560000}"/>
    <cellStyle name="Normal 51 2 2" xfId="12500" xr:uid="{00000000-0005-0000-0000-000041560000}"/>
    <cellStyle name="Normal 51 2 2 2" xfId="23788" xr:uid="{00000000-0005-0000-0000-000042560000}"/>
    <cellStyle name="Normal 51 2 3" xfId="10506" xr:uid="{00000000-0005-0000-0000-000043560000}"/>
    <cellStyle name="Normal 51 2 3 2" xfId="21794" xr:uid="{00000000-0005-0000-0000-000044560000}"/>
    <cellStyle name="Normal 51 2 4" xfId="8512" xr:uid="{00000000-0005-0000-0000-000045560000}"/>
    <cellStyle name="Normal 51 2 4 2" xfId="19800" xr:uid="{00000000-0005-0000-0000-000046560000}"/>
    <cellStyle name="Normal 51 2 5" xfId="6518" xr:uid="{00000000-0005-0000-0000-000047560000}"/>
    <cellStyle name="Normal 51 2 5 2" xfId="17806" xr:uid="{00000000-0005-0000-0000-000048560000}"/>
    <cellStyle name="Normal 51 2 6" xfId="15812" xr:uid="{00000000-0005-0000-0000-000049560000}"/>
    <cellStyle name="Normal 51 3" xfId="11503" xr:uid="{00000000-0005-0000-0000-00004A560000}"/>
    <cellStyle name="Normal 51 3 2" xfId="22791" xr:uid="{00000000-0005-0000-0000-00004B560000}"/>
    <cellStyle name="Normal 51 4" xfId="9509" xr:uid="{00000000-0005-0000-0000-00004C560000}"/>
    <cellStyle name="Normal 51 4 2" xfId="20797" xr:uid="{00000000-0005-0000-0000-00004D560000}"/>
    <cellStyle name="Normal 51 5" xfId="7515" xr:uid="{00000000-0005-0000-0000-00004E560000}"/>
    <cellStyle name="Normal 51 5 2" xfId="18803" xr:uid="{00000000-0005-0000-0000-00004F560000}"/>
    <cellStyle name="Normal 51 6" xfId="5521" xr:uid="{00000000-0005-0000-0000-000050560000}"/>
    <cellStyle name="Normal 51 6 2" xfId="16809" xr:uid="{00000000-0005-0000-0000-000051560000}"/>
    <cellStyle name="Normal 51 7" xfId="14815" xr:uid="{00000000-0005-0000-0000-000052560000}"/>
    <cellStyle name="Normal 51 8" xfId="13499" xr:uid="{00000000-0005-0000-0000-000053560000}"/>
    <cellStyle name="Normal 52" xfId="3287" xr:uid="{00000000-0005-0000-0000-000054560000}"/>
    <cellStyle name="Normal 52 2" xfId="4522" xr:uid="{00000000-0005-0000-0000-000055560000}"/>
    <cellStyle name="Normal 52 2 2" xfId="12501" xr:uid="{00000000-0005-0000-0000-000056560000}"/>
    <cellStyle name="Normal 52 2 2 2" xfId="23789" xr:uid="{00000000-0005-0000-0000-000057560000}"/>
    <cellStyle name="Normal 52 2 3" xfId="10507" xr:uid="{00000000-0005-0000-0000-000058560000}"/>
    <cellStyle name="Normal 52 2 3 2" xfId="21795" xr:uid="{00000000-0005-0000-0000-000059560000}"/>
    <cellStyle name="Normal 52 2 4" xfId="8513" xr:uid="{00000000-0005-0000-0000-00005A560000}"/>
    <cellStyle name="Normal 52 2 4 2" xfId="19801" xr:uid="{00000000-0005-0000-0000-00005B560000}"/>
    <cellStyle name="Normal 52 2 5" xfId="6519" xr:uid="{00000000-0005-0000-0000-00005C560000}"/>
    <cellStyle name="Normal 52 2 5 2" xfId="17807" xr:uid="{00000000-0005-0000-0000-00005D560000}"/>
    <cellStyle name="Normal 52 2 6" xfId="15813" xr:uid="{00000000-0005-0000-0000-00005E560000}"/>
    <cellStyle name="Normal 52 3" xfId="11504" xr:uid="{00000000-0005-0000-0000-00005F560000}"/>
    <cellStyle name="Normal 52 3 2" xfId="22792" xr:uid="{00000000-0005-0000-0000-000060560000}"/>
    <cellStyle name="Normal 52 4" xfId="9510" xr:uid="{00000000-0005-0000-0000-000061560000}"/>
    <cellStyle name="Normal 52 4 2" xfId="20798" xr:uid="{00000000-0005-0000-0000-000062560000}"/>
    <cellStyle name="Normal 52 5" xfId="7516" xr:uid="{00000000-0005-0000-0000-000063560000}"/>
    <cellStyle name="Normal 52 5 2" xfId="18804" xr:uid="{00000000-0005-0000-0000-000064560000}"/>
    <cellStyle name="Normal 52 6" xfId="5522" xr:uid="{00000000-0005-0000-0000-000065560000}"/>
    <cellStyle name="Normal 52 6 2" xfId="16810" xr:uid="{00000000-0005-0000-0000-000066560000}"/>
    <cellStyle name="Normal 52 7" xfId="14816" xr:uid="{00000000-0005-0000-0000-000067560000}"/>
    <cellStyle name="Normal 52 8" xfId="13500" xr:uid="{00000000-0005-0000-0000-000068560000}"/>
    <cellStyle name="Normal 53" xfId="3288" xr:uid="{00000000-0005-0000-0000-000069560000}"/>
    <cellStyle name="Normal 53 2" xfId="4523" xr:uid="{00000000-0005-0000-0000-00006A560000}"/>
    <cellStyle name="Normal 53 2 2" xfId="12502" xr:uid="{00000000-0005-0000-0000-00006B560000}"/>
    <cellStyle name="Normal 53 2 2 2" xfId="23790" xr:uid="{00000000-0005-0000-0000-00006C560000}"/>
    <cellStyle name="Normal 53 2 3" xfId="10508" xr:uid="{00000000-0005-0000-0000-00006D560000}"/>
    <cellStyle name="Normal 53 2 3 2" xfId="21796" xr:uid="{00000000-0005-0000-0000-00006E560000}"/>
    <cellStyle name="Normal 53 2 4" xfId="8514" xr:uid="{00000000-0005-0000-0000-00006F560000}"/>
    <cellStyle name="Normal 53 2 4 2" xfId="19802" xr:uid="{00000000-0005-0000-0000-000070560000}"/>
    <cellStyle name="Normal 53 2 5" xfId="6520" xr:uid="{00000000-0005-0000-0000-000071560000}"/>
    <cellStyle name="Normal 53 2 5 2" xfId="17808" xr:uid="{00000000-0005-0000-0000-000072560000}"/>
    <cellStyle name="Normal 53 2 6" xfId="15814" xr:uid="{00000000-0005-0000-0000-000073560000}"/>
    <cellStyle name="Normal 53 3" xfId="11505" xr:uid="{00000000-0005-0000-0000-000074560000}"/>
    <cellStyle name="Normal 53 3 2" xfId="22793" xr:uid="{00000000-0005-0000-0000-000075560000}"/>
    <cellStyle name="Normal 53 4" xfId="9511" xr:uid="{00000000-0005-0000-0000-000076560000}"/>
    <cellStyle name="Normal 53 4 2" xfId="20799" xr:uid="{00000000-0005-0000-0000-000077560000}"/>
    <cellStyle name="Normal 53 5" xfId="7517" xr:uid="{00000000-0005-0000-0000-000078560000}"/>
    <cellStyle name="Normal 53 5 2" xfId="18805" xr:uid="{00000000-0005-0000-0000-000079560000}"/>
    <cellStyle name="Normal 53 6" xfId="5523" xr:uid="{00000000-0005-0000-0000-00007A560000}"/>
    <cellStyle name="Normal 53 6 2" xfId="16811" xr:uid="{00000000-0005-0000-0000-00007B560000}"/>
    <cellStyle name="Normal 53 7" xfId="14817" xr:uid="{00000000-0005-0000-0000-00007C560000}"/>
    <cellStyle name="Normal 53 8" xfId="13501" xr:uid="{00000000-0005-0000-0000-00007D560000}"/>
    <cellStyle name="Normal 54" xfId="3289" xr:uid="{00000000-0005-0000-0000-00007E560000}"/>
    <cellStyle name="Normal 54 2" xfId="4524" xr:uid="{00000000-0005-0000-0000-00007F560000}"/>
    <cellStyle name="Normal 54 2 2" xfId="12503" xr:uid="{00000000-0005-0000-0000-000080560000}"/>
    <cellStyle name="Normal 54 2 2 2" xfId="23791" xr:uid="{00000000-0005-0000-0000-000081560000}"/>
    <cellStyle name="Normal 54 2 3" xfId="10509" xr:uid="{00000000-0005-0000-0000-000082560000}"/>
    <cellStyle name="Normal 54 2 3 2" xfId="21797" xr:uid="{00000000-0005-0000-0000-000083560000}"/>
    <cellStyle name="Normal 54 2 4" xfId="8515" xr:uid="{00000000-0005-0000-0000-000084560000}"/>
    <cellStyle name="Normal 54 2 4 2" xfId="19803" xr:uid="{00000000-0005-0000-0000-000085560000}"/>
    <cellStyle name="Normal 54 2 5" xfId="6521" xr:uid="{00000000-0005-0000-0000-000086560000}"/>
    <cellStyle name="Normal 54 2 5 2" xfId="17809" xr:uid="{00000000-0005-0000-0000-000087560000}"/>
    <cellStyle name="Normal 54 2 6" xfId="15815" xr:uid="{00000000-0005-0000-0000-000088560000}"/>
    <cellStyle name="Normal 54 3" xfId="11506" xr:uid="{00000000-0005-0000-0000-000089560000}"/>
    <cellStyle name="Normal 54 3 2" xfId="22794" xr:uid="{00000000-0005-0000-0000-00008A560000}"/>
    <cellStyle name="Normal 54 4" xfId="9512" xr:uid="{00000000-0005-0000-0000-00008B560000}"/>
    <cellStyle name="Normal 54 4 2" xfId="20800" xr:uid="{00000000-0005-0000-0000-00008C560000}"/>
    <cellStyle name="Normal 54 5" xfId="7518" xr:uid="{00000000-0005-0000-0000-00008D560000}"/>
    <cellStyle name="Normal 54 5 2" xfId="18806" xr:uid="{00000000-0005-0000-0000-00008E560000}"/>
    <cellStyle name="Normal 54 6" xfId="5524" xr:uid="{00000000-0005-0000-0000-00008F560000}"/>
    <cellStyle name="Normal 54 6 2" xfId="16812" xr:uid="{00000000-0005-0000-0000-000090560000}"/>
    <cellStyle name="Normal 54 7" xfId="14818" xr:uid="{00000000-0005-0000-0000-000091560000}"/>
    <cellStyle name="Normal 54 8" xfId="13502" xr:uid="{00000000-0005-0000-0000-000092560000}"/>
    <cellStyle name="Normal 55" xfId="3290" xr:uid="{00000000-0005-0000-0000-000093560000}"/>
    <cellStyle name="Normal 55 2" xfId="4525" xr:uid="{00000000-0005-0000-0000-000094560000}"/>
    <cellStyle name="Normal 55 2 2" xfId="12504" xr:uid="{00000000-0005-0000-0000-000095560000}"/>
    <cellStyle name="Normal 55 2 2 2" xfId="23792" xr:uid="{00000000-0005-0000-0000-000096560000}"/>
    <cellStyle name="Normal 55 2 3" xfId="10510" xr:uid="{00000000-0005-0000-0000-000097560000}"/>
    <cellStyle name="Normal 55 2 3 2" xfId="21798" xr:uid="{00000000-0005-0000-0000-000098560000}"/>
    <cellStyle name="Normal 55 2 4" xfId="8516" xr:uid="{00000000-0005-0000-0000-000099560000}"/>
    <cellStyle name="Normal 55 2 4 2" xfId="19804" xr:uid="{00000000-0005-0000-0000-00009A560000}"/>
    <cellStyle name="Normal 55 2 5" xfId="6522" xr:uid="{00000000-0005-0000-0000-00009B560000}"/>
    <cellStyle name="Normal 55 2 5 2" xfId="17810" xr:uid="{00000000-0005-0000-0000-00009C560000}"/>
    <cellStyle name="Normal 55 2 6" xfId="15816" xr:uid="{00000000-0005-0000-0000-00009D560000}"/>
    <cellStyle name="Normal 55 3" xfId="11507" xr:uid="{00000000-0005-0000-0000-00009E560000}"/>
    <cellStyle name="Normal 55 3 2" xfId="22795" xr:uid="{00000000-0005-0000-0000-00009F560000}"/>
    <cellStyle name="Normal 55 4" xfId="9513" xr:uid="{00000000-0005-0000-0000-0000A0560000}"/>
    <cellStyle name="Normal 55 4 2" xfId="20801" xr:uid="{00000000-0005-0000-0000-0000A1560000}"/>
    <cellStyle name="Normal 55 5" xfId="7519" xr:uid="{00000000-0005-0000-0000-0000A2560000}"/>
    <cellStyle name="Normal 55 5 2" xfId="18807" xr:uid="{00000000-0005-0000-0000-0000A3560000}"/>
    <cellStyle name="Normal 55 6" xfId="5525" xr:uid="{00000000-0005-0000-0000-0000A4560000}"/>
    <cellStyle name="Normal 55 6 2" xfId="16813" xr:uid="{00000000-0005-0000-0000-0000A5560000}"/>
    <cellStyle name="Normal 55 7" xfId="14819" xr:uid="{00000000-0005-0000-0000-0000A6560000}"/>
    <cellStyle name="Normal 55 8" xfId="13503" xr:uid="{00000000-0005-0000-0000-0000A7560000}"/>
    <cellStyle name="Normal 56" xfId="3291" xr:uid="{00000000-0005-0000-0000-0000A8560000}"/>
    <cellStyle name="Normal 56 2" xfId="4526" xr:uid="{00000000-0005-0000-0000-0000A9560000}"/>
    <cellStyle name="Normal 56 2 2" xfId="12505" xr:uid="{00000000-0005-0000-0000-0000AA560000}"/>
    <cellStyle name="Normal 56 2 2 2" xfId="23793" xr:uid="{00000000-0005-0000-0000-0000AB560000}"/>
    <cellStyle name="Normal 56 2 3" xfId="10511" xr:uid="{00000000-0005-0000-0000-0000AC560000}"/>
    <cellStyle name="Normal 56 2 3 2" xfId="21799" xr:uid="{00000000-0005-0000-0000-0000AD560000}"/>
    <cellStyle name="Normal 56 2 4" xfId="8517" xr:uid="{00000000-0005-0000-0000-0000AE560000}"/>
    <cellStyle name="Normal 56 2 4 2" xfId="19805" xr:uid="{00000000-0005-0000-0000-0000AF560000}"/>
    <cellStyle name="Normal 56 2 5" xfId="6523" xr:uid="{00000000-0005-0000-0000-0000B0560000}"/>
    <cellStyle name="Normal 56 2 5 2" xfId="17811" xr:uid="{00000000-0005-0000-0000-0000B1560000}"/>
    <cellStyle name="Normal 56 2 6" xfId="15817" xr:uid="{00000000-0005-0000-0000-0000B2560000}"/>
    <cellStyle name="Normal 56 3" xfId="11508" xr:uid="{00000000-0005-0000-0000-0000B3560000}"/>
    <cellStyle name="Normal 56 3 2" xfId="22796" xr:uid="{00000000-0005-0000-0000-0000B4560000}"/>
    <cellStyle name="Normal 56 4" xfId="9514" xr:uid="{00000000-0005-0000-0000-0000B5560000}"/>
    <cellStyle name="Normal 56 4 2" xfId="20802" xr:uid="{00000000-0005-0000-0000-0000B6560000}"/>
    <cellStyle name="Normal 56 5" xfId="7520" xr:uid="{00000000-0005-0000-0000-0000B7560000}"/>
    <cellStyle name="Normal 56 5 2" xfId="18808" xr:uid="{00000000-0005-0000-0000-0000B8560000}"/>
    <cellStyle name="Normal 56 6" xfId="5526" xr:uid="{00000000-0005-0000-0000-0000B9560000}"/>
    <cellStyle name="Normal 56 6 2" xfId="16814" xr:uid="{00000000-0005-0000-0000-0000BA560000}"/>
    <cellStyle name="Normal 56 7" xfId="14820" xr:uid="{00000000-0005-0000-0000-0000BB560000}"/>
    <cellStyle name="Normal 56 8" xfId="13504" xr:uid="{00000000-0005-0000-0000-0000BC560000}"/>
    <cellStyle name="Normal 57" xfId="3292" xr:uid="{00000000-0005-0000-0000-0000BD560000}"/>
    <cellStyle name="Normal 57 2" xfId="4527" xr:uid="{00000000-0005-0000-0000-0000BE560000}"/>
    <cellStyle name="Normal 57 2 2" xfId="12506" xr:uid="{00000000-0005-0000-0000-0000BF560000}"/>
    <cellStyle name="Normal 57 2 2 2" xfId="23794" xr:uid="{00000000-0005-0000-0000-0000C0560000}"/>
    <cellStyle name="Normal 57 2 3" xfId="10512" xr:uid="{00000000-0005-0000-0000-0000C1560000}"/>
    <cellStyle name="Normal 57 2 3 2" xfId="21800" xr:uid="{00000000-0005-0000-0000-0000C2560000}"/>
    <cellStyle name="Normal 57 2 4" xfId="8518" xr:uid="{00000000-0005-0000-0000-0000C3560000}"/>
    <cellStyle name="Normal 57 2 4 2" xfId="19806" xr:uid="{00000000-0005-0000-0000-0000C4560000}"/>
    <cellStyle name="Normal 57 2 5" xfId="6524" xr:uid="{00000000-0005-0000-0000-0000C5560000}"/>
    <cellStyle name="Normal 57 2 5 2" xfId="17812" xr:uid="{00000000-0005-0000-0000-0000C6560000}"/>
    <cellStyle name="Normal 57 2 6" xfId="15818" xr:uid="{00000000-0005-0000-0000-0000C7560000}"/>
    <cellStyle name="Normal 57 3" xfId="11509" xr:uid="{00000000-0005-0000-0000-0000C8560000}"/>
    <cellStyle name="Normal 57 3 2" xfId="22797" xr:uid="{00000000-0005-0000-0000-0000C9560000}"/>
    <cellStyle name="Normal 57 4" xfId="9515" xr:uid="{00000000-0005-0000-0000-0000CA560000}"/>
    <cellStyle name="Normal 57 4 2" xfId="20803" xr:uid="{00000000-0005-0000-0000-0000CB560000}"/>
    <cellStyle name="Normal 57 5" xfId="7521" xr:uid="{00000000-0005-0000-0000-0000CC560000}"/>
    <cellStyle name="Normal 57 5 2" xfId="18809" xr:uid="{00000000-0005-0000-0000-0000CD560000}"/>
    <cellStyle name="Normal 57 6" xfId="5527" xr:uid="{00000000-0005-0000-0000-0000CE560000}"/>
    <cellStyle name="Normal 57 6 2" xfId="16815" xr:uid="{00000000-0005-0000-0000-0000CF560000}"/>
    <cellStyle name="Normal 57 7" xfId="14821" xr:uid="{00000000-0005-0000-0000-0000D0560000}"/>
    <cellStyle name="Normal 57 8" xfId="13505" xr:uid="{00000000-0005-0000-0000-0000D1560000}"/>
    <cellStyle name="Normal 58" xfId="3293" xr:uid="{00000000-0005-0000-0000-0000D2560000}"/>
    <cellStyle name="Normal 58 2" xfId="4528" xr:uid="{00000000-0005-0000-0000-0000D3560000}"/>
    <cellStyle name="Normal 58 2 2" xfId="12507" xr:uid="{00000000-0005-0000-0000-0000D4560000}"/>
    <cellStyle name="Normal 58 2 2 2" xfId="23795" xr:uid="{00000000-0005-0000-0000-0000D5560000}"/>
    <cellStyle name="Normal 58 2 3" xfId="10513" xr:uid="{00000000-0005-0000-0000-0000D6560000}"/>
    <cellStyle name="Normal 58 2 3 2" xfId="21801" xr:uid="{00000000-0005-0000-0000-0000D7560000}"/>
    <cellStyle name="Normal 58 2 4" xfId="8519" xr:uid="{00000000-0005-0000-0000-0000D8560000}"/>
    <cellStyle name="Normal 58 2 4 2" xfId="19807" xr:uid="{00000000-0005-0000-0000-0000D9560000}"/>
    <cellStyle name="Normal 58 2 5" xfId="6525" xr:uid="{00000000-0005-0000-0000-0000DA560000}"/>
    <cellStyle name="Normal 58 2 5 2" xfId="17813" xr:uid="{00000000-0005-0000-0000-0000DB560000}"/>
    <cellStyle name="Normal 58 2 6" xfId="15819" xr:uid="{00000000-0005-0000-0000-0000DC560000}"/>
    <cellStyle name="Normal 58 3" xfId="11510" xr:uid="{00000000-0005-0000-0000-0000DD560000}"/>
    <cellStyle name="Normal 58 3 2" xfId="22798" xr:uid="{00000000-0005-0000-0000-0000DE560000}"/>
    <cellStyle name="Normal 58 4" xfId="9516" xr:uid="{00000000-0005-0000-0000-0000DF560000}"/>
    <cellStyle name="Normal 58 4 2" xfId="20804" xr:uid="{00000000-0005-0000-0000-0000E0560000}"/>
    <cellStyle name="Normal 58 5" xfId="7522" xr:uid="{00000000-0005-0000-0000-0000E1560000}"/>
    <cellStyle name="Normal 58 5 2" xfId="18810" xr:uid="{00000000-0005-0000-0000-0000E2560000}"/>
    <cellStyle name="Normal 58 6" xfId="5528" xr:uid="{00000000-0005-0000-0000-0000E3560000}"/>
    <cellStyle name="Normal 58 6 2" xfId="16816" xr:uid="{00000000-0005-0000-0000-0000E4560000}"/>
    <cellStyle name="Normal 58 7" xfId="14822" xr:uid="{00000000-0005-0000-0000-0000E5560000}"/>
    <cellStyle name="Normal 58 8" xfId="13506" xr:uid="{00000000-0005-0000-0000-0000E6560000}"/>
    <cellStyle name="Normal 59" xfId="3294" xr:uid="{00000000-0005-0000-0000-0000E7560000}"/>
    <cellStyle name="Normal 59 2" xfId="4529" xr:uid="{00000000-0005-0000-0000-0000E8560000}"/>
    <cellStyle name="Normal 59 2 2" xfId="12508" xr:uid="{00000000-0005-0000-0000-0000E9560000}"/>
    <cellStyle name="Normal 59 2 2 2" xfId="23796" xr:uid="{00000000-0005-0000-0000-0000EA560000}"/>
    <cellStyle name="Normal 59 2 3" xfId="10514" xr:uid="{00000000-0005-0000-0000-0000EB560000}"/>
    <cellStyle name="Normal 59 2 3 2" xfId="21802" xr:uid="{00000000-0005-0000-0000-0000EC560000}"/>
    <cellStyle name="Normal 59 2 4" xfId="8520" xr:uid="{00000000-0005-0000-0000-0000ED560000}"/>
    <cellStyle name="Normal 59 2 4 2" xfId="19808" xr:uid="{00000000-0005-0000-0000-0000EE560000}"/>
    <cellStyle name="Normal 59 2 5" xfId="6526" xr:uid="{00000000-0005-0000-0000-0000EF560000}"/>
    <cellStyle name="Normal 59 2 5 2" xfId="17814" xr:uid="{00000000-0005-0000-0000-0000F0560000}"/>
    <cellStyle name="Normal 59 2 6" xfId="15820" xr:uid="{00000000-0005-0000-0000-0000F1560000}"/>
    <cellStyle name="Normal 59 3" xfId="11511" xr:uid="{00000000-0005-0000-0000-0000F2560000}"/>
    <cellStyle name="Normal 59 3 2" xfId="22799" xr:uid="{00000000-0005-0000-0000-0000F3560000}"/>
    <cellStyle name="Normal 59 4" xfId="9517" xr:uid="{00000000-0005-0000-0000-0000F4560000}"/>
    <cellStyle name="Normal 59 4 2" xfId="20805" xr:uid="{00000000-0005-0000-0000-0000F5560000}"/>
    <cellStyle name="Normal 59 5" xfId="7523" xr:uid="{00000000-0005-0000-0000-0000F6560000}"/>
    <cellStyle name="Normal 59 5 2" xfId="18811" xr:uid="{00000000-0005-0000-0000-0000F7560000}"/>
    <cellStyle name="Normal 59 6" xfId="5529" xr:uid="{00000000-0005-0000-0000-0000F8560000}"/>
    <cellStyle name="Normal 59 6 2" xfId="16817" xr:uid="{00000000-0005-0000-0000-0000F9560000}"/>
    <cellStyle name="Normal 59 7" xfId="14823" xr:uid="{00000000-0005-0000-0000-0000FA560000}"/>
    <cellStyle name="Normal 59 8" xfId="13507" xr:uid="{00000000-0005-0000-0000-0000FB560000}"/>
    <cellStyle name="Normal 6" xfId="57" xr:uid="{00000000-0005-0000-0000-0000FC560000}"/>
    <cellStyle name="Normal 6 10" xfId="25776" xr:uid="{00000000-0005-0000-0000-0000FD560000}"/>
    <cellStyle name="Normal 6 2" xfId="204" xr:uid="{00000000-0005-0000-0000-0000FE560000}"/>
    <cellStyle name="Normal 6 2 10" xfId="25046" xr:uid="{00000000-0005-0000-0000-0000FF560000}"/>
    <cellStyle name="Normal 6 2 11" xfId="25790" xr:uid="{00000000-0005-0000-0000-000000570000}"/>
    <cellStyle name="Normal 6 2 2" xfId="367" xr:uid="{00000000-0005-0000-0000-000001570000}"/>
    <cellStyle name="Normal 6 2 2 2" xfId="449" xr:uid="{00000000-0005-0000-0000-000002570000}"/>
    <cellStyle name="Normal 6 2 2 2 2" xfId="535" xr:uid="{00000000-0005-0000-0000-000003570000}"/>
    <cellStyle name="Normal 6 2 2 2 2 2" xfId="13898" xr:uid="{00000000-0005-0000-0000-000004570000}"/>
    <cellStyle name="Normal 6 2 2 2 3" xfId="13821" xr:uid="{00000000-0005-0000-0000-000005570000}"/>
    <cellStyle name="Normal 6 2 2 2 4" xfId="24434" xr:uid="{00000000-0005-0000-0000-000006570000}"/>
    <cellStyle name="Normal 6 2 2 2 5" xfId="24878" xr:uid="{00000000-0005-0000-0000-000007570000}"/>
    <cellStyle name="Normal 6 2 2 2 6" xfId="25241" xr:uid="{00000000-0005-0000-0000-000008570000}"/>
    <cellStyle name="Normal 6 2 2 3" xfId="498" xr:uid="{00000000-0005-0000-0000-000009570000}"/>
    <cellStyle name="Normal 6 2 2 3 2" xfId="13861" xr:uid="{00000000-0005-0000-0000-00000A570000}"/>
    <cellStyle name="Normal 6 2 2 4" xfId="11512" xr:uid="{00000000-0005-0000-0000-00000B570000}"/>
    <cellStyle name="Normal 6 2 2 4 2" xfId="22800" xr:uid="{00000000-0005-0000-0000-00000C570000}"/>
    <cellStyle name="Normal 6 2 2 5" xfId="13777" xr:uid="{00000000-0005-0000-0000-00000D570000}"/>
    <cellStyle name="Normal 6 2 2 6" xfId="24162" xr:uid="{00000000-0005-0000-0000-00000E570000}"/>
    <cellStyle name="Normal 6 2 2 7" xfId="24731" xr:uid="{00000000-0005-0000-0000-00000F570000}"/>
    <cellStyle name="Normal 6 2 2 8" xfId="25047" xr:uid="{00000000-0005-0000-0000-000010570000}"/>
    <cellStyle name="Normal 6 2 3" xfId="429" xr:uid="{00000000-0005-0000-0000-000011570000}"/>
    <cellStyle name="Normal 6 2 3 2" xfId="520" xr:uid="{00000000-0005-0000-0000-000012570000}"/>
    <cellStyle name="Normal 6 2 3 2 2" xfId="13883" xr:uid="{00000000-0005-0000-0000-000013570000}"/>
    <cellStyle name="Normal 6 2 3 3" xfId="9518" xr:uid="{00000000-0005-0000-0000-000014570000}"/>
    <cellStyle name="Normal 6 2 3 3 2" xfId="20806" xr:uid="{00000000-0005-0000-0000-000015570000}"/>
    <cellStyle name="Normal 6 2 3 4" xfId="13806" xr:uid="{00000000-0005-0000-0000-000016570000}"/>
    <cellStyle name="Normal 6 2 3 5" xfId="24433" xr:uid="{00000000-0005-0000-0000-000017570000}"/>
    <cellStyle name="Normal 6 2 3 6" xfId="24877" xr:uid="{00000000-0005-0000-0000-000018570000}"/>
    <cellStyle name="Normal 6 2 3 7" xfId="25240" xr:uid="{00000000-0005-0000-0000-000019570000}"/>
    <cellStyle name="Normal 6 2 4" xfId="483" xr:uid="{00000000-0005-0000-0000-00001A570000}"/>
    <cellStyle name="Normal 6 2 4 2" xfId="7524" xr:uid="{00000000-0005-0000-0000-00001B570000}"/>
    <cellStyle name="Normal 6 2 4 2 2" xfId="18812" xr:uid="{00000000-0005-0000-0000-00001C570000}"/>
    <cellStyle name="Normal 6 2 4 3" xfId="13846" xr:uid="{00000000-0005-0000-0000-00001D570000}"/>
    <cellStyle name="Normal 6 2 5" xfId="5530" xr:uid="{00000000-0005-0000-0000-00001E570000}"/>
    <cellStyle name="Normal 6 2 5 2" xfId="16818" xr:uid="{00000000-0005-0000-0000-00001F570000}"/>
    <cellStyle name="Normal 6 2 6" xfId="3296" xr:uid="{00000000-0005-0000-0000-000020570000}"/>
    <cellStyle name="Normal 6 2 6 2" xfId="14824" xr:uid="{00000000-0005-0000-0000-000021570000}"/>
    <cellStyle name="Normal 6 2 7" xfId="13703" xr:uid="{00000000-0005-0000-0000-000022570000}"/>
    <cellStyle name="Normal 6 2 8" xfId="24161" xr:uid="{00000000-0005-0000-0000-000023570000}"/>
    <cellStyle name="Normal 6 2 9" xfId="24730" xr:uid="{00000000-0005-0000-0000-000024570000}"/>
    <cellStyle name="Normal 6 3" xfId="4530" xr:uid="{00000000-0005-0000-0000-000025570000}"/>
    <cellStyle name="Normal 6 3 2" xfId="12509" xr:uid="{00000000-0005-0000-0000-000026570000}"/>
    <cellStyle name="Normal 6 3 2 2" xfId="23797" xr:uid="{00000000-0005-0000-0000-000027570000}"/>
    <cellStyle name="Normal 6 3 2 2 2" xfId="24436" xr:uid="{00000000-0005-0000-0000-000028570000}"/>
    <cellStyle name="Normal 6 3 2 2 3" xfId="24880" xr:uid="{00000000-0005-0000-0000-000029570000}"/>
    <cellStyle name="Normal 6 3 2 2 4" xfId="25243" xr:uid="{00000000-0005-0000-0000-00002A570000}"/>
    <cellStyle name="Normal 6 3 2 3" xfId="24164" xr:uid="{00000000-0005-0000-0000-00002B570000}"/>
    <cellStyle name="Normal 6 3 2 4" xfId="24733" xr:uid="{00000000-0005-0000-0000-00002C570000}"/>
    <cellStyle name="Normal 6 3 2 5" xfId="25049" xr:uid="{00000000-0005-0000-0000-00002D570000}"/>
    <cellStyle name="Normal 6 3 3" xfId="10515" xr:uid="{00000000-0005-0000-0000-00002E570000}"/>
    <cellStyle name="Normal 6 3 3 2" xfId="21803" xr:uid="{00000000-0005-0000-0000-00002F570000}"/>
    <cellStyle name="Normal 6 3 3 3" xfId="24435" xr:uid="{00000000-0005-0000-0000-000030570000}"/>
    <cellStyle name="Normal 6 3 3 4" xfId="24879" xr:uid="{00000000-0005-0000-0000-000031570000}"/>
    <cellStyle name="Normal 6 3 3 5" xfId="25242" xr:uid="{00000000-0005-0000-0000-000032570000}"/>
    <cellStyle name="Normal 6 3 4" xfId="8521" xr:uid="{00000000-0005-0000-0000-000033570000}"/>
    <cellStyle name="Normal 6 3 4 2" xfId="19809" xr:uid="{00000000-0005-0000-0000-000034570000}"/>
    <cellStyle name="Normal 6 3 5" xfId="6527" xr:uid="{00000000-0005-0000-0000-000035570000}"/>
    <cellStyle name="Normal 6 3 5 2" xfId="17815" xr:uid="{00000000-0005-0000-0000-000036570000}"/>
    <cellStyle name="Normal 6 3 6" xfId="15821" xr:uid="{00000000-0005-0000-0000-000037570000}"/>
    <cellStyle name="Normal 6 3 7" xfId="24163" xr:uid="{00000000-0005-0000-0000-000038570000}"/>
    <cellStyle name="Normal 6 3 8" xfId="24732" xr:uid="{00000000-0005-0000-0000-000039570000}"/>
    <cellStyle name="Normal 6 3 9" xfId="25048" xr:uid="{00000000-0005-0000-0000-00003A570000}"/>
    <cellStyle name="Normal 6 4" xfId="3295" xr:uid="{00000000-0005-0000-0000-00003B570000}"/>
    <cellStyle name="Normal 6 4 2" xfId="24437" xr:uid="{00000000-0005-0000-0000-00003C570000}"/>
    <cellStyle name="Normal 6 4 2 2" xfId="24881" xr:uid="{00000000-0005-0000-0000-00003D570000}"/>
    <cellStyle name="Normal 6 4 2 3" xfId="25244" xr:uid="{00000000-0005-0000-0000-00003E570000}"/>
    <cellStyle name="Normal 6 4 3" xfId="24165" xr:uid="{00000000-0005-0000-0000-00003F570000}"/>
    <cellStyle name="Normal 6 4 4" xfId="24734" xr:uid="{00000000-0005-0000-0000-000040570000}"/>
    <cellStyle name="Normal 6 4 5" xfId="25050" xr:uid="{00000000-0005-0000-0000-000041570000}"/>
    <cellStyle name="Normal 6 5" xfId="13615" xr:uid="{00000000-0005-0000-0000-000042570000}"/>
    <cellStyle name="Normal 6 5 2" xfId="24432" xr:uid="{00000000-0005-0000-0000-000043570000}"/>
    <cellStyle name="Normal 6 5 3" xfId="24876" xr:uid="{00000000-0005-0000-0000-000044570000}"/>
    <cellStyle name="Normal 6 5 4" xfId="25239" xr:uid="{00000000-0005-0000-0000-000045570000}"/>
    <cellStyle name="Normal 6 6" xfId="13508" xr:uid="{00000000-0005-0000-0000-000046570000}"/>
    <cellStyle name="Normal 6 7" xfId="24160" xr:uid="{00000000-0005-0000-0000-000047570000}"/>
    <cellStyle name="Normal 6 8" xfId="24729" xr:uid="{00000000-0005-0000-0000-000048570000}"/>
    <cellStyle name="Normal 6 9" xfId="25045" xr:uid="{00000000-0005-0000-0000-000049570000}"/>
    <cellStyle name="Normal 60" xfId="3297" xr:uid="{00000000-0005-0000-0000-00004A570000}"/>
    <cellStyle name="Normal 60 2" xfId="3298" xr:uid="{00000000-0005-0000-0000-00004B570000}"/>
    <cellStyle name="Normal 60 2 2" xfId="4532" xr:uid="{00000000-0005-0000-0000-00004C570000}"/>
    <cellStyle name="Normal 60 2 2 2" xfId="12511" xr:uid="{00000000-0005-0000-0000-00004D570000}"/>
    <cellStyle name="Normal 60 2 2 2 2" xfId="23799" xr:uid="{00000000-0005-0000-0000-00004E570000}"/>
    <cellStyle name="Normal 60 2 2 3" xfId="10517" xr:uid="{00000000-0005-0000-0000-00004F570000}"/>
    <cellStyle name="Normal 60 2 2 3 2" xfId="21805" xr:uid="{00000000-0005-0000-0000-000050570000}"/>
    <cellStyle name="Normal 60 2 2 4" xfId="8523" xr:uid="{00000000-0005-0000-0000-000051570000}"/>
    <cellStyle name="Normal 60 2 2 4 2" xfId="19811" xr:uid="{00000000-0005-0000-0000-000052570000}"/>
    <cellStyle name="Normal 60 2 2 5" xfId="6529" xr:uid="{00000000-0005-0000-0000-000053570000}"/>
    <cellStyle name="Normal 60 2 2 5 2" xfId="17817" xr:uid="{00000000-0005-0000-0000-000054570000}"/>
    <cellStyle name="Normal 60 2 2 6" xfId="15823" xr:uid="{00000000-0005-0000-0000-000055570000}"/>
    <cellStyle name="Normal 60 2 3" xfId="11514" xr:uid="{00000000-0005-0000-0000-000056570000}"/>
    <cellStyle name="Normal 60 2 3 2" xfId="22802" xr:uid="{00000000-0005-0000-0000-000057570000}"/>
    <cellStyle name="Normal 60 2 4" xfId="9520" xr:uid="{00000000-0005-0000-0000-000058570000}"/>
    <cellStyle name="Normal 60 2 4 2" xfId="20808" xr:uid="{00000000-0005-0000-0000-000059570000}"/>
    <cellStyle name="Normal 60 2 5" xfId="7526" xr:uid="{00000000-0005-0000-0000-00005A570000}"/>
    <cellStyle name="Normal 60 2 5 2" xfId="18814" xr:uid="{00000000-0005-0000-0000-00005B570000}"/>
    <cellStyle name="Normal 60 2 6" xfId="5532" xr:uid="{00000000-0005-0000-0000-00005C570000}"/>
    <cellStyle name="Normal 60 2 6 2" xfId="16820" xr:uid="{00000000-0005-0000-0000-00005D570000}"/>
    <cellStyle name="Normal 60 2 7" xfId="14826" xr:uid="{00000000-0005-0000-0000-00005E570000}"/>
    <cellStyle name="Normal 60 2 8" xfId="13510" xr:uid="{00000000-0005-0000-0000-00005F570000}"/>
    <cellStyle name="Normal 60 3" xfId="4531" xr:uid="{00000000-0005-0000-0000-000060570000}"/>
    <cellStyle name="Normal 60 3 2" xfId="12510" xr:uid="{00000000-0005-0000-0000-000061570000}"/>
    <cellStyle name="Normal 60 3 2 2" xfId="23798" xr:uid="{00000000-0005-0000-0000-000062570000}"/>
    <cellStyle name="Normal 60 3 3" xfId="10516" xr:uid="{00000000-0005-0000-0000-000063570000}"/>
    <cellStyle name="Normal 60 3 3 2" xfId="21804" xr:uid="{00000000-0005-0000-0000-000064570000}"/>
    <cellStyle name="Normal 60 3 4" xfId="8522" xr:uid="{00000000-0005-0000-0000-000065570000}"/>
    <cellStyle name="Normal 60 3 4 2" xfId="19810" xr:uid="{00000000-0005-0000-0000-000066570000}"/>
    <cellStyle name="Normal 60 3 5" xfId="6528" xr:uid="{00000000-0005-0000-0000-000067570000}"/>
    <cellStyle name="Normal 60 3 5 2" xfId="17816" xr:uid="{00000000-0005-0000-0000-000068570000}"/>
    <cellStyle name="Normal 60 3 6" xfId="15822" xr:uid="{00000000-0005-0000-0000-000069570000}"/>
    <cellStyle name="Normal 60 4" xfId="11513" xr:uid="{00000000-0005-0000-0000-00006A570000}"/>
    <cellStyle name="Normal 60 4 2" xfId="22801" xr:uid="{00000000-0005-0000-0000-00006B570000}"/>
    <cellStyle name="Normal 60 5" xfId="9519" xr:uid="{00000000-0005-0000-0000-00006C570000}"/>
    <cellStyle name="Normal 60 5 2" xfId="20807" xr:uid="{00000000-0005-0000-0000-00006D570000}"/>
    <cellStyle name="Normal 60 6" xfId="7525" xr:uid="{00000000-0005-0000-0000-00006E570000}"/>
    <cellStyle name="Normal 60 6 2" xfId="18813" xr:uid="{00000000-0005-0000-0000-00006F570000}"/>
    <cellStyle name="Normal 60 7" xfId="5531" xr:uid="{00000000-0005-0000-0000-000070570000}"/>
    <cellStyle name="Normal 60 7 2" xfId="16819" xr:uid="{00000000-0005-0000-0000-000071570000}"/>
    <cellStyle name="Normal 60 8" xfId="14825" xr:uid="{00000000-0005-0000-0000-000072570000}"/>
    <cellStyle name="Normal 60 9" xfId="13509" xr:uid="{00000000-0005-0000-0000-000073570000}"/>
    <cellStyle name="Normal 604" xfId="25796" xr:uid="{00000000-0005-0000-0000-000074570000}"/>
    <cellStyle name="Normal 61" xfId="3299" xr:uid="{00000000-0005-0000-0000-000075570000}"/>
    <cellStyle name="Normal 61 2" xfId="4533" xr:uid="{00000000-0005-0000-0000-000076570000}"/>
    <cellStyle name="Normal 61 2 2" xfId="12512" xr:uid="{00000000-0005-0000-0000-000077570000}"/>
    <cellStyle name="Normal 61 2 2 2" xfId="23800" xr:uid="{00000000-0005-0000-0000-000078570000}"/>
    <cellStyle name="Normal 61 2 3" xfId="10518" xr:uid="{00000000-0005-0000-0000-000079570000}"/>
    <cellStyle name="Normal 61 2 3 2" xfId="21806" xr:uid="{00000000-0005-0000-0000-00007A570000}"/>
    <cellStyle name="Normal 61 2 4" xfId="8524" xr:uid="{00000000-0005-0000-0000-00007B570000}"/>
    <cellStyle name="Normal 61 2 4 2" xfId="19812" xr:uid="{00000000-0005-0000-0000-00007C570000}"/>
    <cellStyle name="Normal 61 2 5" xfId="6530" xr:uid="{00000000-0005-0000-0000-00007D570000}"/>
    <cellStyle name="Normal 61 2 5 2" xfId="17818" xr:uid="{00000000-0005-0000-0000-00007E570000}"/>
    <cellStyle name="Normal 61 2 6" xfId="15824" xr:uid="{00000000-0005-0000-0000-00007F570000}"/>
    <cellStyle name="Normal 61 3" xfId="11515" xr:uid="{00000000-0005-0000-0000-000080570000}"/>
    <cellStyle name="Normal 61 3 2" xfId="22803" xr:uid="{00000000-0005-0000-0000-000081570000}"/>
    <cellStyle name="Normal 61 4" xfId="9521" xr:uid="{00000000-0005-0000-0000-000082570000}"/>
    <cellStyle name="Normal 61 4 2" xfId="20809" xr:uid="{00000000-0005-0000-0000-000083570000}"/>
    <cellStyle name="Normal 61 5" xfId="7527" xr:uid="{00000000-0005-0000-0000-000084570000}"/>
    <cellStyle name="Normal 61 5 2" xfId="18815" xr:uid="{00000000-0005-0000-0000-000085570000}"/>
    <cellStyle name="Normal 61 6" xfId="5533" xr:uid="{00000000-0005-0000-0000-000086570000}"/>
    <cellStyle name="Normal 61 6 2" xfId="16821" xr:uid="{00000000-0005-0000-0000-000087570000}"/>
    <cellStyle name="Normal 61 7" xfId="14827" xr:uid="{00000000-0005-0000-0000-000088570000}"/>
    <cellStyle name="Normal 61 8" xfId="13511" xr:uid="{00000000-0005-0000-0000-000089570000}"/>
    <cellStyle name="Normal 62" xfId="3300" xr:uid="{00000000-0005-0000-0000-00008A570000}"/>
    <cellStyle name="Normal 62 2" xfId="4534" xr:uid="{00000000-0005-0000-0000-00008B570000}"/>
    <cellStyle name="Normal 62 2 2" xfId="12513" xr:uid="{00000000-0005-0000-0000-00008C570000}"/>
    <cellStyle name="Normal 62 2 2 2" xfId="23801" xr:uid="{00000000-0005-0000-0000-00008D570000}"/>
    <cellStyle name="Normal 62 2 3" xfId="10519" xr:uid="{00000000-0005-0000-0000-00008E570000}"/>
    <cellStyle name="Normal 62 2 3 2" xfId="21807" xr:uid="{00000000-0005-0000-0000-00008F570000}"/>
    <cellStyle name="Normal 62 2 4" xfId="8525" xr:uid="{00000000-0005-0000-0000-000090570000}"/>
    <cellStyle name="Normal 62 2 4 2" xfId="19813" xr:uid="{00000000-0005-0000-0000-000091570000}"/>
    <cellStyle name="Normal 62 2 5" xfId="6531" xr:uid="{00000000-0005-0000-0000-000092570000}"/>
    <cellStyle name="Normal 62 2 5 2" xfId="17819" xr:uid="{00000000-0005-0000-0000-000093570000}"/>
    <cellStyle name="Normal 62 2 6" xfId="15825" xr:uid="{00000000-0005-0000-0000-000094570000}"/>
    <cellStyle name="Normal 62 3" xfId="11516" xr:uid="{00000000-0005-0000-0000-000095570000}"/>
    <cellStyle name="Normal 62 3 2" xfId="22804" xr:uid="{00000000-0005-0000-0000-000096570000}"/>
    <cellStyle name="Normal 62 4" xfId="9522" xr:uid="{00000000-0005-0000-0000-000097570000}"/>
    <cellStyle name="Normal 62 4 2" xfId="20810" xr:uid="{00000000-0005-0000-0000-000098570000}"/>
    <cellStyle name="Normal 62 5" xfId="7528" xr:uid="{00000000-0005-0000-0000-000099570000}"/>
    <cellStyle name="Normal 62 5 2" xfId="18816" xr:uid="{00000000-0005-0000-0000-00009A570000}"/>
    <cellStyle name="Normal 62 6" xfId="5534" xr:uid="{00000000-0005-0000-0000-00009B570000}"/>
    <cellStyle name="Normal 62 6 2" xfId="16822" xr:uid="{00000000-0005-0000-0000-00009C570000}"/>
    <cellStyle name="Normal 62 7" xfId="14828" xr:uid="{00000000-0005-0000-0000-00009D570000}"/>
    <cellStyle name="Normal 62 8" xfId="13512" xr:uid="{00000000-0005-0000-0000-00009E570000}"/>
    <cellStyle name="Normal 63" xfId="3301" xr:uid="{00000000-0005-0000-0000-00009F570000}"/>
    <cellStyle name="Normal 63 2" xfId="4535" xr:uid="{00000000-0005-0000-0000-0000A0570000}"/>
    <cellStyle name="Normal 63 2 2" xfId="12514" xr:uid="{00000000-0005-0000-0000-0000A1570000}"/>
    <cellStyle name="Normal 63 2 2 2" xfId="23802" xr:uid="{00000000-0005-0000-0000-0000A2570000}"/>
    <cellStyle name="Normal 63 2 3" xfId="10520" xr:uid="{00000000-0005-0000-0000-0000A3570000}"/>
    <cellStyle name="Normal 63 2 3 2" xfId="21808" xr:uid="{00000000-0005-0000-0000-0000A4570000}"/>
    <cellStyle name="Normal 63 2 4" xfId="8526" xr:uid="{00000000-0005-0000-0000-0000A5570000}"/>
    <cellStyle name="Normal 63 2 4 2" xfId="19814" xr:uid="{00000000-0005-0000-0000-0000A6570000}"/>
    <cellStyle name="Normal 63 2 5" xfId="6532" xr:uid="{00000000-0005-0000-0000-0000A7570000}"/>
    <cellStyle name="Normal 63 2 5 2" xfId="17820" xr:uid="{00000000-0005-0000-0000-0000A8570000}"/>
    <cellStyle name="Normal 63 2 6" xfId="15826" xr:uid="{00000000-0005-0000-0000-0000A9570000}"/>
    <cellStyle name="Normal 63 3" xfId="11517" xr:uid="{00000000-0005-0000-0000-0000AA570000}"/>
    <cellStyle name="Normal 63 3 2" xfId="22805" xr:uid="{00000000-0005-0000-0000-0000AB570000}"/>
    <cellStyle name="Normal 63 4" xfId="9523" xr:uid="{00000000-0005-0000-0000-0000AC570000}"/>
    <cellStyle name="Normal 63 4 2" xfId="20811" xr:uid="{00000000-0005-0000-0000-0000AD570000}"/>
    <cellStyle name="Normal 63 5" xfId="7529" xr:uid="{00000000-0005-0000-0000-0000AE570000}"/>
    <cellStyle name="Normal 63 5 2" xfId="18817" xr:uid="{00000000-0005-0000-0000-0000AF570000}"/>
    <cellStyle name="Normal 63 6" xfId="5535" xr:uid="{00000000-0005-0000-0000-0000B0570000}"/>
    <cellStyle name="Normal 63 6 2" xfId="16823" xr:uid="{00000000-0005-0000-0000-0000B1570000}"/>
    <cellStyle name="Normal 63 7" xfId="14829" xr:uid="{00000000-0005-0000-0000-0000B2570000}"/>
    <cellStyle name="Normal 63 8" xfId="13513" xr:uid="{00000000-0005-0000-0000-0000B3570000}"/>
    <cellStyle name="Normal 64" xfId="3302" xr:uid="{00000000-0005-0000-0000-0000B4570000}"/>
    <cellStyle name="Normal 64 2" xfId="4536" xr:uid="{00000000-0005-0000-0000-0000B5570000}"/>
    <cellStyle name="Normal 64 2 2" xfId="12515" xr:uid="{00000000-0005-0000-0000-0000B6570000}"/>
    <cellStyle name="Normal 64 2 2 2" xfId="23803" xr:uid="{00000000-0005-0000-0000-0000B7570000}"/>
    <cellStyle name="Normal 64 2 3" xfId="10521" xr:uid="{00000000-0005-0000-0000-0000B8570000}"/>
    <cellStyle name="Normal 64 2 3 2" xfId="21809" xr:uid="{00000000-0005-0000-0000-0000B9570000}"/>
    <cellStyle name="Normal 64 2 4" xfId="8527" xr:uid="{00000000-0005-0000-0000-0000BA570000}"/>
    <cellStyle name="Normal 64 2 4 2" xfId="19815" xr:uid="{00000000-0005-0000-0000-0000BB570000}"/>
    <cellStyle name="Normal 64 2 5" xfId="6533" xr:uid="{00000000-0005-0000-0000-0000BC570000}"/>
    <cellStyle name="Normal 64 2 5 2" xfId="17821" xr:uid="{00000000-0005-0000-0000-0000BD570000}"/>
    <cellStyle name="Normal 64 2 6" xfId="15827" xr:uid="{00000000-0005-0000-0000-0000BE570000}"/>
    <cellStyle name="Normal 64 3" xfId="11518" xr:uid="{00000000-0005-0000-0000-0000BF570000}"/>
    <cellStyle name="Normal 64 3 2" xfId="22806" xr:uid="{00000000-0005-0000-0000-0000C0570000}"/>
    <cellStyle name="Normal 64 4" xfId="9524" xr:uid="{00000000-0005-0000-0000-0000C1570000}"/>
    <cellStyle name="Normal 64 4 2" xfId="20812" xr:uid="{00000000-0005-0000-0000-0000C2570000}"/>
    <cellStyle name="Normal 64 5" xfId="7530" xr:uid="{00000000-0005-0000-0000-0000C3570000}"/>
    <cellStyle name="Normal 64 5 2" xfId="18818" xr:uid="{00000000-0005-0000-0000-0000C4570000}"/>
    <cellStyle name="Normal 64 6" xfId="5536" xr:uid="{00000000-0005-0000-0000-0000C5570000}"/>
    <cellStyle name="Normal 64 6 2" xfId="16824" xr:uid="{00000000-0005-0000-0000-0000C6570000}"/>
    <cellStyle name="Normal 64 7" xfId="14830" xr:uid="{00000000-0005-0000-0000-0000C7570000}"/>
    <cellStyle name="Normal 64 8" xfId="13514" xr:uid="{00000000-0005-0000-0000-0000C8570000}"/>
    <cellStyle name="Normal 65" xfId="3303" xr:uid="{00000000-0005-0000-0000-0000C9570000}"/>
    <cellStyle name="Normal 65 2" xfId="4537" xr:uid="{00000000-0005-0000-0000-0000CA570000}"/>
    <cellStyle name="Normal 65 2 2" xfId="12516" xr:uid="{00000000-0005-0000-0000-0000CB570000}"/>
    <cellStyle name="Normal 65 2 2 2" xfId="23804" xr:uid="{00000000-0005-0000-0000-0000CC570000}"/>
    <cellStyle name="Normal 65 2 3" xfId="10522" xr:uid="{00000000-0005-0000-0000-0000CD570000}"/>
    <cellStyle name="Normal 65 2 3 2" xfId="21810" xr:uid="{00000000-0005-0000-0000-0000CE570000}"/>
    <cellStyle name="Normal 65 2 4" xfId="8528" xr:uid="{00000000-0005-0000-0000-0000CF570000}"/>
    <cellStyle name="Normal 65 2 4 2" xfId="19816" xr:uid="{00000000-0005-0000-0000-0000D0570000}"/>
    <cellStyle name="Normal 65 2 5" xfId="6534" xr:uid="{00000000-0005-0000-0000-0000D1570000}"/>
    <cellStyle name="Normal 65 2 5 2" xfId="17822" xr:uid="{00000000-0005-0000-0000-0000D2570000}"/>
    <cellStyle name="Normal 65 2 6" xfId="15828" xr:uid="{00000000-0005-0000-0000-0000D3570000}"/>
    <cellStyle name="Normal 65 3" xfId="11519" xr:uid="{00000000-0005-0000-0000-0000D4570000}"/>
    <cellStyle name="Normal 65 3 2" xfId="22807" xr:uid="{00000000-0005-0000-0000-0000D5570000}"/>
    <cellStyle name="Normal 65 4" xfId="9525" xr:uid="{00000000-0005-0000-0000-0000D6570000}"/>
    <cellStyle name="Normal 65 4 2" xfId="20813" xr:uid="{00000000-0005-0000-0000-0000D7570000}"/>
    <cellStyle name="Normal 65 5" xfId="7531" xr:uid="{00000000-0005-0000-0000-0000D8570000}"/>
    <cellStyle name="Normal 65 5 2" xfId="18819" xr:uid="{00000000-0005-0000-0000-0000D9570000}"/>
    <cellStyle name="Normal 65 6" xfId="5537" xr:uid="{00000000-0005-0000-0000-0000DA570000}"/>
    <cellStyle name="Normal 65 6 2" xfId="16825" xr:uid="{00000000-0005-0000-0000-0000DB570000}"/>
    <cellStyle name="Normal 65 7" xfId="14831" xr:uid="{00000000-0005-0000-0000-0000DC570000}"/>
    <cellStyle name="Normal 65 8" xfId="13515" xr:uid="{00000000-0005-0000-0000-0000DD570000}"/>
    <cellStyle name="Normal 66" xfId="3304" xr:uid="{00000000-0005-0000-0000-0000DE570000}"/>
    <cellStyle name="Normal 66 2" xfId="3305" xr:uid="{00000000-0005-0000-0000-0000DF570000}"/>
    <cellStyle name="Normal 66 2 2" xfId="4539" xr:uid="{00000000-0005-0000-0000-0000E0570000}"/>
    <cellStyle name="Normal 66 2 2 2" xfId="12518" xr:uid="{00000000-0005-0000-0000-0000E1570000}"/>
    <cellStyle name="Normal 66 2 2 2 2" xfId="23806" xr:uid="{00000000-0005-0000-0000-0000E2570000}"/>
    <cellStyle name="Normal 66 2 2 3" xfId="10524" xr:uid="{00000000-0005-0000-0000-0000E3570000}"/>
    <cellStyle name="Normal 66 2 2 3 2" xfId="21812" xr:uid="{00000000-0005-0000-0000-0000E4570000}"/>
    <cellStyle name="Normal 66 2 2 4" xfId="8530" xr:uid="{00000000-0005-0000-0000-0000E5570000}"/>
    <cellStyle name="Normal 66 2 2 4 2" xfId="19818" xr:uid="{00000000-0005-0000-0000-0000E6570000}"/>
    <cellStyle name="Normal 66 2 2 5" xfId="6536" xr:uid="{00000000-0005-0000-0000-0000E7570000}"/>
    <cellStyle name="Normal 66 2 2 5 2" xfId="17824" xr:uid="{00000000-0005-0000-0000-0000E8570000}"/>
    <cellStyle name="Normal 66 2 2 6" xfId="15830" xr:uid="{00000000-0005-0000-0000-0000E9570000}"/>
    <cellStyle name="Normal 66 2 3" xfId="11521" xr:uid="{00000000-0005-0000-0000-0000EA570000}"/>
    <cellStyle name="Normal 66 2 3 2" xfId="22809" xr:uid="{00000000-0005-0000-0000-0000EB570000}"/>
    <cellStyle name="Normal 66 2 4" xfId="9527" xr:uid="{00000000-0005-0000-0000-0000EC570000}"/>
    <cellStyle name="Normal 66 2 4 2" xfId="20815" xr:uid="{00000000-0005-0000-0000-0000ED570000}"/>
    <cellStyle name="Normal 66 2 5" xfId="7533" xr:uid="{00000000-0005-0000-0000-0000EE570000}"/>
    <cellStyle name="Normal 66 2 5 2" xfId="18821" xr:uid="{00000000-0005-0000-0000-0000EF570000}"/>
    <cellStyle name="Normal 66 2 6" xfId="5539" xr:uid="{00000000-0005-0000-0000-0000F0570000}"/>
    <cellStyle name="Normal 66 2 6 2" xfId="16827" xr:uid="{00000000-0005-0000-0000-0000F1570000}"/>
    <cellStyle name="Normal 66 2 7" xfId="14833" xr:uid="{00000000-0005-0000-0000-0000F2570000}"/>
    <cellStyle name="Normal 66 2 8" xfId="13517" xr:uid="{00000000-0005-0000-0000-0000F3570000}"/>
    <cellStyle name="Normal 66 3" xfId="4538" xr:uid="{00000000-0005-0000-0000-0000F4570000}"/>
    <cellStyle name="Normal 66 3 2" xfId="12517" xr:uid="{00000000-0005-0000-0000-0000F5570000}"/>
    <cellStyle name="Normal 66 3 2 2" xfId="23805" xr:uid="{00000000-0005-0000-0000-0000F6570000}"/>
    <cellStyle name="Normal 66 3 3" xfId="10523" xr:uid="{00000000-0005-0000-0000-0000F7570000}"/>
    <cellStyle name="Normal 66 3 3 2" xfId="21811" xr:uid="{00000000-0005-0000-0000-0000F8570000}"/>
    <cellStyle name="Normal 66 3 4" xfId="8529" xr:uid="{00000000-0005-0000-0000-0000F9570000}"/>
    <cellStyle name="Normal 66 3 4 2" xfId="19817" xr:uid="{00000000-0005-0000-0000-0000FA570000}"/>
    <cellStyle name="Normal 66 3 5" xfId="6535" xr:uid="{00000000-0005-0000-0000-0000FB570000}"/>
    <cellStyle name="Normal 66 3 5 2" xfId="17823" xr:uid="{00000000-0005-0000-0000-0000FC570000}"/>
    <cellStyle name="Normal 66 3 6" xfId="15829" xr:uid="{00000000-0005-0000-0000-0000FD570000}"/>
    <cellStyle name="Normal 66 4" xfId="11520" xr:uid="{00000000-0005-0000-0000-0000FE570000}"/>
    <cellStyle name="Normal 66 4 2" xfId="22808" xr:uid="{00000000-0005-0000-0000-0000FF570000}"/>
    <cellStyle name="Normal 66 5" xfId="9526" xr:uid="{00000000-0005-0000-0000-000000580000}"/>
    <cellStyle name="Normal 66 5 2" xfId="20814" xr:uid="{00000000-0005-0000-0000-000001580000}"/>
    <cellStyle name="Normal 66 6" xfId="7532" xr:uid="{00000000-0005-0000-0000-000002580000}"/>
    <cellStyle name="Normal 66 6 2" xfId="18820" xr:uid="{00000000-0005-0000-0000-000003580000}"/>
    <cellStyle name="Normal 66 7" xfId="5538" xr:uid="{00000000-0005-0000-0000-000004580000}"/>
    <cellStyle name="Normal 66 7 2" xfId="16826" xr:uid="{00000000-0005-0000-0000-000005580000}"/>
    <cellStyle name="Normal 66 8" xfId="14832" xr:uid="{00000000-0005-0000-0000-000006580000}"/>
    <cellStyle name="Normal 66 9" xfId="13516" xr:uid="{00000000-0005-0000-0000-000007580000}"/>
    <cellStyle name="Normal 67" xfId="3306" xr:uid="{00000000-0005-0000-0000-000008580000}"/>
    <cellStyle name="Normal 67 2" xfId="4540" xr:uid="{00000000-0005-0000-0000-000009580000}"/>
    <cellStyle name="Normal 67 2 2" xfId="12519" xr:uid="{00000000-0005-0000-0000-00000A580000}"/>
    <cellStyle name="Normal 67 2 2 2" xfId="23807" xr:uid="{00000000-0005-0000-0000-00000B580000}"/>
    <cellStyle name="Normal 67 2 3" xfId="10525" xr:uid="{00000000-0005-0000-0000-00000C580000}"/>
    <cellStyle name="Normal 67 2 3 2" xfId="21813" xr:uid="{00000000-0005-0000-0000-00000D580000}"/>
    <cellStyle name="Normal 67 2 4" xfId="8531" xr:uid="{00000000-0005-0000-0000-00000E580000}"/>
    <cellStyle name="Normal 67 2 4 2" xfId="19819" xr:uid="{00000000-0005-0000-0000-00000F580000}"/>
    <cellStyle name="Normal 67 2 5" xfId="6537" xr:uid="{00000000-0005-0000-0000-000010580000}"/>
    <cellStyle name="Normal 67 2 5 2" xfId="17825" xr:uid="{00000000-0005-0000-0000-000011580000}"/>
    <cellStyle name="Normal 67 2 6" xfId="15831" xr:uid="{00000000-0005-0000-0000-000012580000}"/>
    <cellStyle name="Normal 67 3" xfId="11522" xr:uid="{00000000-0005-0000-0000-000013580000}"/>
    <cellStyle name="Normal 67 3 2" xfId="22810" xr:uid="{00000000-0005-0000-0000-000014580000}"/>
    <cellStyle name="Normal 67 4" xfId="9528" xr:uid="{00000000-0005-0000-0000-000015580000}"/>
    <cellStyle name="Normal 67 4 2" xfId="20816" xr:uid="{00000000-0005-0000-0000-000016580000}"/>
    <cellStyle name="Normal 67 5" xfId="7534" xr:uid="{00000000-0005-0000-0000-000017580000}"/>
    <cellStyle name="Normal 67 5 2" xfId="18822" xr:uid="{00000000-0005-0000-0000-000018580000}"/>
    <cellStyle name="Normal 67 6" xfId="5540" xr:uid="{00000000-0005-0000-0000-000019580000}"/>
    <cellStyle name="Normal 67 6 2" xfId="16828" xr:uid="{00000000-0005-0000-0000-00001A580000}"/>
    <cellStyle name="Normal 67 7" xfId="14834" xr:uid="{00000000-0005-0000-0000-00001B580000}"/>
    <cellStyle name="Normal 67 8" xfId="13518" xr:uid="{00000000-0005-0000-0000-00001C580000}"/>
    <cellStyle name="Normal 68" xfId="3307" xr:uid="{00000000-0005-0000-0000-00001D580000}"/>
    <cellStyle name="Normal 68 2" xfId="4541" xr:uid="{00000000-0005-0000-0000-00001E580000}"/>
    <cellStyle name="Normal 68 2 2" xfId="12520" xr:uid="{00000000-0005-0000-0000-00001F580000}"/>
    <cellStyle name="Normal 68 2 2 2" xfId="23808" xr:uid="{00000000-0005-0000-0000-000020580000}"/>
    <cellStyle name="Normal 68 2 3" xfId="10526" xr:uid="{00000000-0005-0000-0000-000021580000}"/>
    <cellStyle name="Normal 68 2 3 2" xfId="21814" xr:uid="{00000000-0005-0000-0000-000022580000}"/>
    <cellStyle name="Normal 68 2 4" xfId="8532" xr:uid="{00000000-0005-0000-0000-000023580000}"/>
    <cellStyle name="Normal 68 2 4 2" xfId="19820" xr:uid="{00000000-0005-0000-0000-000024580000}"/>
    <cellStyle name="Normal 68 2 5" xfId="6538" xr:uid="{00000000-0005-0000-0000-000025580000}"/>
    <cellStyle name="Normal 68 2 5 2" xfId="17826" xr:uid="{00000000-0005-0000-0000-000026580000}"/>
    <cellStyle name="Normal 68 2 6" xfId="15832" xr:uid="{00000000-0005-0000-0000-000027580000}"/>
    <cellStyle name="Normal 68 3" xfId="11523" xr:uid="{00000000-0005-0000-0000-000028580000}"/>
    <cellStyle name="Normal 68 3 2" xfId="22811" xr:uid="{00000000-0005-0000-0000-000029580000}"/>
    <cellStyle name="Normal 68 4" xfId="9529" xr:uid="{00000000-0005-0000-0000-00002A580000}"/>
    <cellStyle name="Normal 68 4 2" xfId="20817" xr:uid="{00000000-0005-0000-0000-00002B580000}"/>
    <cellStyle name="Normal 68 5" xfId="7535" xr:uid="{00000000-0005-0000-0000-00002C580000}"/>
    <cellStyle name="Normal 68 5 2" xfId="18823" xr:uid="{00000000-0005-0000-0000-00002D580000}"/>
    <cellStyle name="Normal 68 6" xfId="5541" xr:uid="{00000000-0005-0000-0000-00002E580000}"/>
    <cellStyle name="Normal 68 6 2" xfId="16829" xr:uid="{00000000-0005-0000-0000-00002F580000}"/>
    <cellStyle name="Normal 68 7" xfId="14835" xr:uid="{00000000-0005-0000-0000-000030580000}"/>
    <cellStyle name="Normal 68 8" xfId="13519" xr:uid="{00000000-0005-0000-0000-000031580000}"/>
    <cellStyle name="Normal 69" xfId="3308" xr:uid="{00000000-0005-0000-0000-000032580000}"/>
    <cellStyle name="Normal 69 2" xfId="4542" xr:uid="{00000000-0005-0000-0000-000033580000}"/>
    <cellStyle name="Normal 69 2 2" xfId="12521" xr:uid="{00000000-0005-0000-0000-000034580000}"/>
    <cellStyle name="Normal 69 2 2 2" xfId="23809" xr:uid="{00000000-0005-0000-0000-000035580000}"/>
    <cellStyle name="Normal 69 2 3" xfId="10527" xr:uid="{00000000-0005-0000-0000-000036580000}"/>
    <cellStyle name="Normal 69 2 3 2" xfId="21815" xr:uid="{00000000-0005-0000-0000-000037580000}"/>
    <cellStyle name="Normal 69 2 4" xfId="8533" xr:uid="{00000000-0005-0000-0000-000038580000}"/>
    <cellStyle name="Normal 69 2 4 2" xfId="19821" xr:uid="{00000000-0005-0000-0000-000039580000}"/>
    <cellStyle name="Normal 69 2 5" xfId="6539" xr:uid="{00000000-0005-0000-0000-00003A580000}"/>
    <cellStyle name="Normal 69 2 5 2" xfId="17827" xr:uid="{00000000-0005-0000-0000-00003B580000}"/>
    <cellStyle name="Normal 69 2 6" xfId="15833" xr:uid="{00000000-0005-0000-0000-00003C580000}"/>
    <cellStyle name="Normal 69 3" xfId="11524" xr:uid="{00000000-0005-0000-0000-00003D580000}"/>
    <cellStyle name="Normal 69 3 2" xfId="22812" xr:uid="{00000000-0005-0000-0000-00003E580000}"/>
    <cellStyle name="Normal 69 4" xfId="9530" xr:uid="{00000000-0005-0000-0000-00003F580000}"/>
    <cellStyle name="Normal 69 4 2" xfId="20818" xr:uid="{00000000-0005-0000-0000-000040580000}"/>
    <cellStyle name="Normal 69 5" xfId="7536" xr:uid="{00000000-0005-0000-0000-000041580000}"/>
    <cellStyle name="Normal 69 5 2" xfId="18824" xr:uid="{00000000-0005-0000-0000-000042580000}"/>
    <cellStyle name="Normal 69 6" xfId="5542" xr:uid="{00000000-0005-0000-0000-000043580000}"/>
    <cellStyle name="Normal 69 6 2" xfId="16830" xr:uid="{00000000-0005-0000-0000-000044580000}"/>
    <cellStyle name="Normal 69 7" xfId="14836" xr:uid="{00000000-0005-0000-0000-000045580000}"/>
    <cellStyle name="Normal 69 8" xfId="13520" xr:uid="{00000000-0005-0000-0000-000046580000}"/>
    <cellStyle name="Normal 7" xfId="58" xr:uid="{00000000-0005-0000-0000-000047580000}"/>
    <cellStyle name="Normal 7 10" xfId="24166" xr:uid="{00000000-0005-0000-0000-000048580000}"/>
    <cellStyle name="Normal 7 11" xfId="24735" xr:uid="{00000000-0005-0000-0000-000049580000}"/>
    <cellStyle name="Normal 7 12" xfId="25051" xr:uid="{00000000-0005-0000-0000-00004A580000}"/>
    <cellStyle name="Normal 7 13" xfId="25777" xr:uid="{00000000-0005-0000-0000-00004B580000}"/>
    <cellStyle name="Normal 7 2" xfId="4543" xr:uid="{00000000-0005-0000-0000-00004C580000}"/>
    <cellStyle name="Normal 7 2 2" xfId="12522" xr:uid="{00000000-0005-0000-0000-00004D580000}"/>
    <cellStyle name="Normal 7 2 2 2" xfId="23810" xr:uid="{00000000-0005-0000-0000-00004E580000}"/>
    <cellStyle name="Normal 7 2 2 2 2" xfId="24440" xr:uid="{00000000-0005-0000-0000-00004F580000}"/>
    <cellStyle name="Normal 7 2 2 2 3" xfId="24884" xr:uid="{00000000-0005-0000-0000-000050580000}"/>
    <cellStyle name="Normal 7 2 2 2 4" xfId="25247" xr:uid="{00000000-0005-0000-0000-000051580000}"/>
    <cellStyle name="Normal 7 2 2 3" xfId="24168" xr:uid="{00000000-0005-0000-0000-000052580000}"/>
    <cellStyle name="Normal 7 2 2 4" xfId="24737" xr:uid="{00000000-0005-0000-0000-000053580000}"/>
    <cellStyle name="Normal 7 2 2 5" xfId="25053" xr:uid="{00000000-0005-0000-0000-000054580000}"/>
    <cellStyle name="Normal 7 2 3" xfId="10528" xr:uid="{00000000-0005-0000-0000-000055580000}"/>
    <cellStyle name="Normal 7 2 3 2" xfId="21816" xr:uid="{00000000-0005-0000-0000-000056580000}"/>
    <cellStyle name="Normal 7 2 3 3" xfId="24439" xr:uid="{00000000-0005-0000-0000-000057580000}"/>
    <cellStyle name="Normal 7 2 3 4" xfId="24883" xr:uid="{00000000-0005-0000-0000-000058580000}"/>
    <cellStyle name="Normal 7 2 3 5" xfId="25246" xr:uid="{00000000-0005-0000-0000-000059580000}"/>
    <cellStyle name="Normal 7 2 4" xfId="8534" xr:uid="{00000000-0005-0000-0000-00005A580000}"/>
    <cellStyle name="Normal 7 2 4 2" xfId="19822" xr:uid="{00000000-0005-0000-0000-00005B580000}"/>
    <cellStyle name="Normal 7 2 5" xfId="6540" xr:uid="{00000000-0005-0000-0000-00005C580000}"/>
    <cellStyle name="Normal 7 2 5 2" xfId="17828" xr:uid="{00000000-0005-0000-0000-00005D580000}"/>
    <cellStyle name="Normal 7 2 6" xfId="15834" xr:uid="{00000000-0005-0000-0000-00005E580000}"/>
    <cellStyle name="Normal 7 2 7" xfId="24167" xr:uid="{00000000-0005-0000-0000-00005F580000}"/>
    <cellStyle name="Normal 7 2 8" xfId="24736" xr:uid="{00000000-0005-0000-0000-000060580000}"/>
    <cellStyle name="Normal 7 2 9" xfId="25052" xr:uid="{00000000-0005-0000-0000-000061580000}"/>
    <cellStyle name="Normal 7 3" xfId="11525" xr:uid="{00000000-0005-0000-0000-000062580000}"/>
    <cellStyle name="Normal 7 3 2" xfId="22813" xr:uid="{00000000-0005-0000-0000-000063580000}"/>
    <cellStyle name="Normal 7 3 2 2" xfId="24442" xr:uid="{00000000-0005-0000-0000-000064580000}"/>
    <cellStyle name="Normal 7 3 2 2 2" xfId="24886" xr:uid="{00000000-0005-0000-0000-000065580000}"/>
    <cellStyle name="Normal 7 3 2 2 3" xfId="25249" xr:uid="{00000000-0005-0000-0000-000066580000}"/>
    <cellStyle name="Normal 7 3 2 3" xfId="24170" xr:uid="{00000000-0005-0000-0000-000067580000}"/>
    <cellStyle name="Normal 7 3 2 4" xfId="24739" xr:uid="{00000000-0005-0000-0000-000068580000}"/>
    <cellStyle name="Normal 7 3 2 5" xfId="25055" xr:uid="{00000000-0005-0000-0000-000069580000}"/>
    <cellStyle name="Normal 7 3 3" xfId="24441" xr:uid="{00000000-0005-0000-0000-00006A580000}"/>
    <cellStyle name="Normal 7 3 3 2" xfId="24885" xr:uid="{00000000-0005-0000-0000-00006B580000}"/>
    <cellStyle name="Normal 7 3 3 3" xfId="25248" xr:uid="{00000000-0005-0000-0000-00006C580000}"/>
    <cellStyle name="Normal 7 3 4" xfId="24169" xr:uid="{00000000-0005-0000-0000-00006D580000}"/>
    <cellStyle name="Normal 7 3 5" xfId="24738" xr:uid="{00000000-0005-0000-0000-00006E580000}"/>
    <cellStyle name="Normal 7 3 6" xfId="25054" xr:uid="{00000000-0005-0000-0000-00006F580000}"/>
    <cellStyle name="Normal 7 4" xfId="9531" xr:uid="{00000000-0005-0000-0000-000070580000}"/>
    <cellStyle name="Normal 7 4 2" xfId="20819" xr:uid="{00000000-0005-0000-0000-000071580000}"/>
    <cellStyle name="Normal 7 4 2 2" xfId="24443" xr:uid="{00000000-0005-0000-0000-000072580000}"/>
    <cellStyle name="Normal 7 4 2 3" xfId="24887" xr:uid="{00000000-0005-0000-0000-000073580000}"/>
    <cellStyle name="Normal 7 4 2 4" xfId="25250" xr:uid="{00000000-0005-0000-0000-000074580000}"/>
    <cellStyle name="Normal 7 4 3" xfId="24171" xr:uid="{00000000-0005-0000-0000-000075580000}"/>
    <cellStyle name="Normal 7 4 4" xfId="24740" xr:uid="{00000000-0005-0000-0000-000076580000}"/>
    <cellStyle name="Normal 7 4 5" xfId="25056" xr:uid="{00000000-0005-0000-0000-000077580000}"/>
    <cellStyle name="Normal 7 5" xfId="7537" xr:uid="{00000000-0005-0000-0000-000078580000}"/>
    <cellStyle name="Normal 7 5 2" xfId="18825" xr:uid="{00000000-0005-0000-0000-000079580000}"/>
    <cellStyle name="Normal 7 5 3" xfId="24438" xr:uid="{00000000-0005-0000-0000-00007A580000}"/>
    <cellStyle name="Normal 7 5 4" xfId="24882" xr:uid="{00000000-0005-0000-0000-00007B580000}"/>
    <cellStyle name="Normal 7 5 5" xfId="25245" xr:uid="{00000000-0005-0000-0000-00007C580000}"/>
    <cellStyle name="Normal 7 6" xfId="5543" xr:uid="{00000000-0005-0000-0000-00007D580000}"/>
    <cellStyle name="Normal 7 6 2" xfId="16831" xr:uid="{00000000-0005-0000-0000-00007E580000}"/>
    <cellStyle name="Normal 7 7" xfId="3309" xr:uid="{00000000-0005-0000-0000-00007F580000}"/>
    <cellStyle name="Normal 7 7 2" xfId="14837" xr:uid="{00000000-0005-0000-0000-000080580000}"/>
    <cellStyle name="Normal 7 8" xfId="13616" xr:uid="{00000000-0005-0000-0000-000081580000}"/>
    <cellStyle name="Normal 7 9" xfId="13521" xr:uid="{00000000-0005-0000-0000-000082580000}"/>
    <cellStyle name="Normal 70" xfId="3310" xr:uid="{00000000-0005-0000-0000-000083580000}"/>
    <cellStyle name="Normal 70 2" xfId="4544" xr:uid="{00000000-0005-0000-0000-000084580000}"/>
    <cellStyle name="Normal 70 2 2" xfId="12523" xr:uid="{00000000-0005-0000-0000-000085580000}"/>
    <cellStyle name="Normal 70 2 2 2" xfId="23811" xr:uid="{00000000-0005-0000-0000-000086580000}"/>
    <cellStyle name="Normal 70 2 3" xfId="10529" xr:uid="{00000000-0005-0000-0000-000087580000}"/>
    <cellStyle name="Normal 70 2 3 2" xfId="21817" xr:uid="{00000000-0005-0000-0000-000088580000}"/>
    <cellStyle name="Normal 70 2 4" xfId="8535" xr:uid="{00000000-0005-0000-0000-000089580000}"/>
    <cellStyle name="Normal 70 2 4 2" xfId="19823" xr:uid="{00000000-0005-0000-0000-00008A580000}"/>
    <cellStyle name="Normal 70 2 5" xfId="6541" xr:uid="{00000000-0005-0000-0000-00008B580000}"/>
    <cellStyle name="Normal 70 2 5 2" xfId="17829" xr:uid="{00000000-0005-0000-0000-00008C580000}"/>
    <cellStyle name="Normal 70 2 6" xfId="15835" xr:uid="{00000000-0005-0000-0000-00008D580000}"/>
    <cellStyle name="Normal 70 3" xfId="11526" xr:uid="{00000000-0005-0000-0000-00008E580000}"/>
    <cellStyle name="Normal 70 3 2" xfId="22814" xr:uid="{00000000-0005-0000-0000-00008F580000}"/>
    <cellStyle name="Normal 70 4" xfId="9532" xr:uid="{00000000-0005-0000-0000-000090580000}"/>
    <cellStyle name="Normal 70 4 2" xfId="20820" xr:uid="{00000000-0005-0000-0000-000091580000}"/>
    <cellStyle name="Normal 70 5" xfId="7538" xr:uid="{00000000-0005-0000-0000-000092580000}"/>
    <cellStyle name="Normal 70 5 2" xfId="18826" xr:uid="{00000000-0005-0000-0000-000093580000}"/>
    <cellStyle name="Normal 70 6" xfId="5544" xr:uid="{00000000-0005-0000-0000-000094580000}"/>
    <cellStyle name="Normal 70 6 2" xfId="16832" xr:uid="{00000000-0005-0000-0000-000095580000}"/>
    <cellStyle name="Normal 70 7" xfId="14838" xr:uid="{00000000-0005-0000-0000-000096580000}"/>
    <cellStyle name="Normal 70 8" xfId="13522" xr:uid="{00000000-0005-0000-0000-000097580000}"/>
    <cellStyle name="Normal 71" xfId="3311" xr:uid="{00000000-0005-0000-0000-000098580000}"/>
    <cellStyle name="Normal 71 2" xfId="4545" xr:uid="{00000000-0005-0000-0000-000099580000}"/>
    <cellStyle name="Normal 71 2 2" xfId="12524" xr:uid="{00000000-0005-0000-0000-00009A580000}"/>
    <cellStyle name="Normal 71 2 2 2" xfId="23812" xr:uid="{00000000-0005-0000-0000-00009B580000}"/>
    <cellStyle name="Normal 71 2 3" xfId="10530" xr:uid="{00000000-0005-0000-0000-00009C580000}"/>
    <cellStyle name="Normal 71 2 3 2" xfId="21818" xr:uid="{00000000-0005-0000-0000-00009D580000}"/>
    <cellStyle name="Normal 71 2 4" xfId="8536" xr:uid="{00000000-0005-0000-0000-00009E580000}"/>
    <cellStyle name="Normal 71 2 4 2" xfId="19824" xr:uid="{00000000-0005-0000-0000-00009F580000}"/>
    <cellStyle name="Normal 71 2 5" xfId="6542" xr:uid="{00000000-0005-0000-0000-0000A0580000}"/>
    <cellStyle name="Normal 71 2 5 2" xfId="17830" xr:uid="{00000000-0005-0000-0000-0000A1580000}"/>
    <cellStyle name="Normal 71 2 6" xfId="15836" xr:uid="{00000000-0005-0000-0000-0000A2580000}"/>
    <cellStyle name="Normal 71 3" xfId="11527" xr:uid="{00000000-0005-0000-0000-0000A3580000}"/>
    <cellStyle name="Normal 71 3 2" xfId="22815" xr:uid="{00000000-0005-0000-0000-0000A4580000}"/>
    <cellStyle name="Normal 71 4" xfId="9533" xr:uid="{00000000-0005-0000-0000-0000A5580000}"/>
    <cellStyle name="Normal 71 4 2" xfId="20821" xr:uid="{00000000-0005-0000-0000-0000A6580000}"/>
    <cellStyle name="Normal 71 5" xfId="7539" xr:uid="{00000000-0005-0000-0000-0000A7580000}"/>
    <cellStyle name="Normal 71 5 2" xfId="18827" xr:uid="{00000000-0005-0000-0000-0000A8580000}"/>
    <cellStyle name="Normal 71 6" xfId="5545" xr:uid="{00000000-0005-0000-0000-0000A9580000}"/>
    <cellStyle name="Normal 71 6 2" xfId="16833" xr:uid="{00000000-0005-0000-0000-0000AA580000}"/>
    <cellStyle name="Normal 71 7" xfId="14839" xr:uid="{00000000-0005-0000-0000-0000AB580000}"/>
    <cellStyle name="Normal 71 8" xfId="13523" xr:uid="{00000000-0005-0000-0000-0000AC580000}"/>
    <cellStyle name="Normal 72" xfId="665" xr:uid="{00000000-0005-0000-0000-0000AD580000}"/>
    <cellStyle name="Normal 72 2" xfId="13915" xr:uid="{00000000-0005-0000-0000-0000AE580000}"/>
    <cellStyle name="Normal 72 3" xfId="13597" xr:uid="{00000000-0005-0000-0000-0000AF580000}"/>
    <cellStyle name="Normal 73" xfId="23888" xr:uid="{00000000-0005-0000-0000-0000B0580000}"/>
    <cellStyle name="Normal 74" xfId="23893" xr:uid="{00000000-0005-0000-0000-0000B1580000}"/>
    <cellStyle name="Normal 75" xfId="12598" xr:uid="{00000000-0005-0000-0000-0000B2580000}"/>
    <cellStyle name="Normal 76" xfId="23900" xr:uid="{00000000-0005-0000-0000-0000B3580000}"/>
    <cellStyle name="Normal 77" xfId="23901" xr:uid="{00000000-0005-0000-0000-0000B4580000}"/>
    <cellStyle name="Normal 78" xfId="23902" xr:uid="{00000000-0005-0000-0000-0000B5580000}"/>
    <cellStyle name="Normal 79" xfId="24543" xr:uid="{00000000-0005-0000-0000-0000B6580000}"/>
    <cellStyle name="Normal 8" xfId="59" xr:uid="{00000000-0005-0000-0000-0000B7580000}"/>
    <cellStyle name="Normal 8 10" xfId="24172" xr:uid="{00000000-0005-0000-0000-0000B8580000}"/>
    <cellStyle name="Normal 8 11" xfId="24741" xr:uid="{00000000-0005-0000-0000-0000B9580000}"/>
    <cellStyle name="Normal 8 12" xfId="25057" xr:uid="{00000000-0005-0000-0000-0000BA580000}"/>
    <cellStyle name="Normal 8 13" xfId="25778" xr:uid="{00000000-0005-0000-0000-0000BB580000}"/>
    <cellStyle name="Normal 8 2" xfId="4546" xr:uid="{00000000-0005-0000-0000-0000BC580000}"/>
    <cellStyle name="Normal 8 2 2" xfId="12525" xr:uid="{00000000-0005-0000-0000-0000BD580000}"/>
    <cellStyle name="Normal 8 2 2 2" xfId="23813" xr:uid="{00000000-0005-0000-0000-0000BE580000}"/>
    <cellStyle name="Normal 8 2 2 2 2" xfId="24446" xr:uid="{00000000-0005-0000-0000-0000BF580000}"/>
    <cellStyle name="Normal 8 2 2 2 3" xfId="24890" xr:uid="{00000000-0005-0000-0000-0000C0580000}"/>
    <cellStyle name="Normal 8 2 2 2 4" xfId="25253" xr:uid="{00000000-0005-0000-0000-0000C1580000}"/>
    <cellStyle name="Normal 8 2 2 3" xfId="24174" xr:uid="{00000000-0005-0000-0000-0000C2580000}"/>
    <cellStyle name="Normal 8 2 2 4" xfId="24743" xr:uid="{00000000-0005-0000-0000-0000C3580000}"/>
    <cellStyle name="Normal 8 2 2 5" xfId="25059" xr:uid="{00000000-0005-0000-0000-0000C4580000}"/>
    <cellStyle name="Normal 8 2 3" xfId="10531" xr:uid="{00000000-0005-0000-0000-0000C5580000}"/>
    <cellStyle name="Normal 8 2 3 2" xfId="21819" xr:uid="{00000000-0005-0000-0000-0000C6580000}"/>
    <cellStyle name="Normal 8 2 3 3" xfId="24445" xr:uid="{00000000-0005-0000-0000-0000C7580000}"/>
    <cellStyle name="Normal 8 2 3 4" xfId="24889" xr:uid="{00000000-0005-0000-0000-0000C8580000}"/>
    <cellStyle name="Normal 8 2 3 5" xfId="25252" xr:uid="{00000000-0005-0000-0000-0000C9580000}"/>
    <cellStyle name="Normal 8 2 4" xfId="8537" xr:uid="{00000000-0005-0000-0000-0000CA580000}"/>
    <cellStyle name="Normal 8 2 4 2" xfId="19825" xr:uid="{00000000-0005-0000-0000-0000CB580000}"/>
    <cellStyle name="Normal 8 2 5" xfId="6543" xr:uid="{00000000-0005-0000-0000-0000CC580000}"/>
    <cellStyle name="Normal 8 2 5 2" xfId="17831" xr:uid="{00000000-0005-0000-0000-0000CD580000}"/>
    <cellStyle name="Normal 8 2 6" xfId="15837" xr:uid="{00000000-0005-0000-0000-0000CE580000}"/>
    <cellStyle name="Normal 8 2 7" xfId="24173" xr:uid="{00000000-0005-0000-0000-0000CF580000}"/>
    <cellStyle name="Normal 8 2 8" xfId="24742" xr:uid="{00000000-0005-0000-0000-0000D0580000}"/>
    <cellStyle name="Normal 8 2 9" xfId="25058" xr:uid="{00000000-0005-0000-0000-0000D1580000}"/>
    <cellStyle name="Normal 8 3" xfId="11528" xr:uid="{00000000-0005-0000-0000-0000D2580000}"/>
    <cellStyle name="Normal 8 3 2" xfId="22816" xr:uid="{00000000-0005-0000-0000-0000D3580000}"/>
    <cellStyle name="Normal 8 3 2 2" xfId="24448" xr:uid="{00000000-0005-0000-0000-0000D4580000}"/>
    <cellStyle name="Normal 8 3 2 2 2" xfId="24892" xr:uid="{00000000-0005-0000-0000-0000D5580000}"/>
    <cellStyle name="Normal 8 3 2 2 3" xfId="25255" xr:uid="{00000000-0005-0000-0000-0000D6580000}"/>
    <cellStyle name="Normal 8 3 2 3" xfId="24176" xr:uid="{00000000-0005-0000-0000-0000D7580000}"/>
    <cellStyle name="Normal 8 3 2 4" xfId="24745" xr:uid="{00000000-0005-0000-0000-0000D8580000}"/>
    <cellStyle name="Normal 8 3 2 5" xfId="25061" xr:uid="{00000000-0005-0000-0000-0000D9580000}"/>
    <cellStyle name="Normal 8 3 3" xfId="24447" xr:uid="{00000000-0005-0000-0000-0000DA580000}"/>
    <cellStyle name="Normal 8 3 3 2" xfId="24891" xr:uid="{00000000-0005-0000-0000-0000DB580000}"/>
    <cellStyle name="Normal 8 3 3 3" xfId="25254" xr:uid="{00000000-0005-0000-0000-0000DC580000}"/>
    <cellStyle name="Normal 8 3 4" xfId="24175" xr:uid="{00000000-0005-0000-0000-0000DD580000}"/>
    <cellStyle name="Normal 8 3 5" xfId="24744" xr:uid="{00000000-0005-0000-0000-0000DE580000}"/>
    <cellStyle name="Normal 8 3 6" xfId="25060" xr:uid="{00000000-0005-0000-0000-0000DF580000}"/>
    <cellStyle name="Normal 8 4" xfId="9534" xr:uid="{00000000-0005-0000-0000-0000E0580000}"/>
    <cellStyle name="Normal 8 4 2" xfId="20822" xr:uid="{00000000-0005-0000-0000-0000E1580000}"/>
    <cellStyle name="Normal 8 4 2 2" xfId="24449" xr:uid="{00000000-0005-0000-0000-0000E2580000}"/>
    <cellStyle name="Normal 8 4 2 3" xfId="24893" xr:uid="{00000000-0005-0000-0000-0000E3580000}"/>
    <cellStyle name="Normal 8 4 2 4" xfId="25256" xr:uid="{00000000-0005-0000-0000-0000E4580000}"/>
    <cellStyle name="Normal 8 4 3" xfId="24177" xr:uid="{00000000-0005-0000-0000-0000E5580000}"/>
    <cellStyle name="Normal 8 4 4" xfId="24746" xr:uid="{00000000-0005-0000-0000-0000E6580000}"/>
    <cellStyle name="Normal 8 4 5" xfId="25062" xr:uid="{00000000-0005-0000-0000-0000E7580000}"/>
    <cellStyle name="Normal 8 5" xfId="7540" xr:uid="{00000000-0005-0000-0000-0000E8580000}"/>
    <cellStyle name="Normal 8 5 2" xfId="18828" xr:uid="{00000000-0005-0000-0000-0000E9580000}"/>
    <cellStyle name="Normal 8 5 3" xfId="24444" xr:uid="{00000000-0005-0000-0000-0000EA580000}"/>
    <cellStyle name="Normal 8 5 4" xfId="24888" xr:uid="{00000000-0005-0000-0000-0000EB580000}"/>
    <cellStyle name="Normal 8 5 5" xfId="25251" xr:uid="{00000000-0005-0000-0000-0000EC580000}"/>
    <cellStyle name="Normal 8 6" xfId="5546" xr:uid="{00000000-0005-0000-0000-0000ED580000}"/>
    <cellStyle name="Normal 8 6 2" xfId="16834" xr:uid="{00000000-0005-0000-0000-0000EE580000}"/>
    <cellStyle name="Normal 8 7" xfId="3312" xr:uid="{00000000-0005-0000-0000-0000EF580000}"/>
    <cellStyle name="Normal 8 7 2" xfId="14840" xr:uid="{00000000-0005-0000-0000-0000F0580000}"/>
    <cellStyle name="Normal 8 8" xfId="13617" xr:uid="{00000000-0005-0000-0000-0000F1580000}"/>
    <cellStyle name="Normal 8 9" xfId="13524" xr:uid="{00000000-0005-0000-0000-0000F2580000}"/>
    <cellStyle name="Normal 80" xfId="24554" xr:uid="{00000000-0005-0000-0000-0000F3580000}"/>
    <cellStyle name="Normal 81" xfId="24767" xr:uid="{00000000-0005-0000-0000-0000F4580000}"/>
    <cellStyle name="Normal 82" xfId="24903" xr:uid="{00000000-0005-0000-0000-0000F5580000}"/>
    <cellStyle name="Normal 83" xfId="24935" xr:uid="{00000000-0005-0000-0000-0000F6580000}"/>
    <cellStyle name="Normal 84" xfId="24705" xr:uid="{00000000-0005-0000-0000-0000F7580000}"/>
    <cellStyle name="Normal 85" xfId="24926" xr:uid="{00000000-0005-0000-0000-0000F8580000}"/>
    <cellStyle name="Normal 86" xfId="24768" xr:uid="{00000000-0005-0000-0000-0000F9580000}"/>
    <cellStyle name="Normal 87" xfId="24933" xr:uid="{00000000-0005-0000-0000-0000FA580000}"/>
    <cellStyle name="Normal 88" xfId="24689" xr:uid="{00000000-0005-0000-0000-0000FB580000}"/>
    <cellStyle name="Normal 89" xfId="24690" xr:uid="{00000000-0005-0000-0000-0000FC580000}"/>
    <cellStyle name="Normal 9" xfId="60" xr:uid="{00000000-0005-0000-0000-0000FD580000}"/>
    <cellStyle name="Normal 9 10" xfId="24178" xr:uid="{00000000-0005-0000-0000-0000FE580000}"/>
    <cellStyle name="Normal 9 11" xfId="24747" xr:uid="{00000000-0005-0000-0000-0000FF580000}"/>
    <cellStyle name="Normal 9 12" xfId="25063" xr:uid="{00000000-0005-0000-0000-000000590000}"/>
    <cellStyle name="Normal 9 14" xfId="25767" xr:uid="{00000000-0005-0000-0000-000001590000}"/>
    <cellStyle name="Normal 9 2" xfId="4547" xr:uid="{00000000-0005-0000-0000-000002590000}"/>
    <cellStyle name="Normal 9 2 2" xfId="12526" xr:uid="{00000000-0005-0000-0000-000003590000}"/>
    <cellStyle name="Normal 9 2 2 2" xfId="23814" xr:uid="{00000000-0005-0000-0000-000004590000}"/>
    <cellStyle name="Normal 9 2 2 2 2" xfId="24452" xr:uid="{00000000-0005-0000-0000-000005590000}"/>
    <cellStyle name="Normal 9 2 2 2 3" xfId="24896" xr:uid="{00000000-0005-0000-0000-000006590000}"/>
    <cellStyle name="Normal 9 2 2 2 4" xfId="25259" xr:uid="{00000000-0005-0000-0000-000007590000}"/>
    <cellStyle name="Normal 9 2 2 3" xfId="24180" xr:uid="{00000000-0005-0000-0000-000008590000}"/>
    <cellStyle name="Normal 9 2 2 4" xfId="24749" xr:uid="{00000000-0005-0000-0000-000009590000}"/>
    <cellStyle name="Normal 9 2 2 5" xfId="25065" xr:uid="{00000000-0005-0000-0000-00000A590000}"/>
    <cellStyle name="Normal 9 2 3" xfId="10532" xr:uid="{00000000-0005-0000-0000-00000B590000}"/>
    <cellStyle name="Normal 9 2 3 2" xfId="21820" xr:uid="{00000000-0005-0000-0000-00000C590000}"/>
    <cellStyle name="Normal 9 2 3 3" xfId="24451" xr:uid="{00000000-0005-0000-0000-00000D590000}"/>
    <cellStyle name="Normal 9 2 3 4" xfId="24895" xr:uid="{00000000-0005-0000-0000-00000E590000}"/>
    <cellStyle name="Normal 9 2 3 5" xfId="25258" xr:uid="{00000000-0005-0000-0000-00000F590000}"/>
    <cellStyle name="Normal 9 2 4" xfId="8538" xr:uid="{00000000-0005-0000-0000-000010590000}"/>
    <cellStyle name="Normal 9 2 4 2" xfId="19826" xr:uid="{00000000-0005-0000-0000-000011590000}"/>
    <cellStyle name="Normal 9 2 5" xfId="6544" xr:uid="{00000000-0005-0000-0000-000012590000}"/>
    <cellStyle name="Normal 9 2 5 2" xfId="17832" xr:uid="{00000000-0005-0000-0000-000013590000}"/>
    <cellStyle name="Normal 9 2 6" xfId="15838" xr:uid="{00000000-0005-0000-0000-000014590000}"/>
    <cellStyle name="Normal 9 2 7" xfId="24179" xr:uid="{00000000-0005-0000-0000-000015590000}"/>
    <cellStyle name="Normal 9 2 8" xfId="24748" xr:uid="{00000000-0005-0000-0000-000016590000}"/>
    <cellStyle name="Normal 9 2 9" xfId="25064" xr:uid="{00000000-0005-0000-0000-000017590000}"/>
    <cellStyle name="Normal 9 3" xfId="11529" xr:uid="{00000000-0005-0000-0000-000018590000}"/>
    <cellStyle name="Normal 9 3 2" xfId="22817" xr:uid="{00000000-0005-0000-0000-000019590000}"/>
    <cellStyle name="Normal 9 3 2 2" xfId="24454" xr:uid="{00000000-0005-0000-0000-00001A590000}"/>
    <cellStyle name="Normal 9 3 2 2 2" xfId="24898" xr:uid="{00000000-0005-0000-0000-00001B590000}"/>
    <cellStyle name="Normal 9 3 2 2 3" xfId="25261" xr:uid="{00000000-0005-0000-0000-00001C590000}"/>
    <cellStyle name="Normal 9 3 2 3" xfId="24182" xr:uid="{00000000-0005-0000-0000-00001D590000}"/>
    <cellStyle name="Normal 9 3 2 4" xfId="24751" xr:uid="{00000000-0005-0000-0000-00001E590000}"/>
    <cellStyle name="Normal 9 3 2 5" xfId="25067" xr:uid="{00000000-0005-0000-0000-00001F590000}"/>
    <cellStyle name="Normal 9 3 3" xfId="24453" xr:uid="{00000000-0005-0000-0000-000020590000}"/>
    <cellStyle name="Normal 9 3 3 2" xfId="24897" xr:uid="{00000000-0005-0000-0000-000021590000}"/>
    <cellStyle name="Normal 9 3 3 3" xfId="25260" xr:uid="{00000000-0005-0000-0000-000022590000}"/>
    <cellStyle name="Normal 9 3 4" xfId="24181" xr:uid="{00000000-0005-0000-0000-000023590000}"/>
    <cellStyle name="Normal 9 3 5" xfId="24750" xr:uid="{00000000-0005-0000-0000-000024590000}"/>
    <cellStyle name="Normal 9 3 6" xfId="25066" xr:uid="{00000000-0005-0000-0000-000025590000}"/>
    <cellStyle name="Normal 9 4" xfId="9535" xr:uid="{00000000-0005-0000-0000-000026590000}"/>
    <cellStyle name="Normal 9 4 2" xfId="20823" xr:uid="{00000000-0005-0000-0000-000027590000}"/>
    <cellStyle name="Normal 9 4 2 2" xfId="24455" xr:uid="{00000000-0005-0000-0000-000028590000}"/>
    <cellStyle name="Normal 9 4 2 3" xfId="24899" xr:uid="{00000000-0005-0000-0000-000029590000}"/>
    <cellStyle name="Normal 9 4 2 4" xfId="25262" xr:uid="{00000000-0005-0000-0000-00002A590000}"/>
    <cellStyle name="Normal 9 4 3" xfId="24183" xr:uid="{00000000-0005-0000-0000-00002B590000}"/>
    <cellStyle name="Normal 9 4 4" xfId="24752" xr:uid="{00000000-0005-0000-0000-00002C590000}"/>
    <cellStyle name="Normal 9 4 5" xfId="25068" xr:uid="{00000000-0005-0000-0000-00002D590000}"/>
    <cellStyle name="Normal 9 5" xfId="7541" xr:uid="{00000000-0005-0000-0000-00002E590000}"/>
    <cellStyle name="Normal 9 5 2" xfId="18829" xr:uid="{00000000-0005-0000-0000-00002F590000}"/>
    <cellStyle name="Normal 9 5 3" xfId="24450" xr:uid="{00000000-0005-0000-0000-000030590000}"/>
    <cellStyle name="Normal 9 5 4" xfId="24894" xr:uid="{00000000-0005-0000-0000-000031590000}"/>
    <cellStyle name="Normal 9 5 5" xfId="25257" xr:uid="{00000000-0005-0000-0000-000032590000}"/>
    <cellStyle name="Normal 9 6" xfId="5547" xr:uid="{00000000-0005-0000-0000-000033590000}"/>
    <cellStyle name="Normal 9 6 2" xfId="16835" xr:uid="{00000000-0005-0000-0000-000034590000}"/>
    <cellStyle name="Normal 9 7" xfId="3313" xr:uid="{00000000-0005-0000-0000-000035590000}"/>
    <cellStyle name="Normal 9 7 2" xfId="14841" xr:uid="{00000000-0005-0000-0000-000036590000}"/>
    <cellStyle name="Normal 9 8" xfId="13618" xr:uid="{00000000-0005-0000-0000-000037590000}"/>
    <cellStyle name="Normal 9 9" xfId="13525" xr:uid="{00000000-0005-0000-0000-000038590000}"/>
    <cellStyle name="Normal 90" xfId="24941" xr:uid="{00000000-0005-0000-0000-000039590000}"/>
    <cellStyle name="Normal 91" xfId="24545" xr:uid="{00000000-0005-0000-0000-00003A590000}"/>
    <cellStyle name="Normal 92" xfId="1" xr:uid="{00000000-0005-0000-0000-00003B590000}"/>
    <cellStyle name="Normal 93" xfId="25276" xr:uid="{00000000-0005-0000-0000-00003C590000}"/>
    <cellStyle name="Normal 94" xfId="25295" xr:uid="{00000000-0005-0000-0000-00003D590000}"/>
    <cellStyle name="Normal 95" xfId="25455" xr:uid="{00000000-0005-0000-0000-00003E590000}"/>
    <cellStyle name="Normal 96" xfId="25748" xr:uid="{00000000-0005-0000-0000-00003F590000}"/>
    <cellStyle name="Normal 97" xfId="25754" xr:uid="{00000000-0005-0000-0000-000040590000}"/>
    <cellStyle name="Normal 98" xfId="25757" xr:uid="{00000000-0005-0000-0000-000041590000}"/>
    <cellStyle name="Normal 99" xfId="25759" xr:uid="{00000000-0005-0000-0000-000042590000}"/>
    <cellStyle name="Normal(0)" xfId="61" xr:uid="{00000000-0005-0000-0000-000043590000}"/>
    <cellStyle name="Normal_Advtise Exp" xfId="25742" xr:uid="{00000000-0005-0000-0000-000044590000}"/>
    <cellStyle name="Normal_Jan 08" xfId="25745" xr:uid="{00000000-0005-0000-0000-000045590000}"/>
    <cellStyle name="Normal_Page 10 - Type I-4 Normalize Uncollectible Exp" xfId="25741" xr:uid="{00000000-0005-0000-0000-000046590000}"/>
    <cellStyle name="Normal_vcap1299" xfId="25743" xr:uid="{00000000-0005-0000-0000-000047590000}"/>
    <cellStyle name="NormalHelv" xfId="577" xr:uid="{00000000-0005-0000-0000-000048590000}"/>
    <cellStyle name="Note 10" xfId="3314" xr:uid="{00000000-0005-0000-0000-000049590000}"/>
    <cellStyle name="Note 10 10" xfId="24753" xr:uid="{00000000-0005-0000-0000-00004A590000}"/>
    <cellStyle name="Note 10 11" xfId="25069" xr:uid="{00000000-0005-0000-0000-00004B590000}"/>
    <cellStyle name="Note 10 2" xfId="4548" xr:uid="{00000000-0005-0000-0000-00004C590000}"/>
    <cellStyle name="Note 10 2 2" xfId="12527" xr:uid="{00000000-0005-0000-0000-00004D590000}"/>
    <cellStyle name="Note 10 2 2 2" xfId="23815" xr:uid="{00000000-0005-0000-0000-00004E590000}"/>
    <cellStyle name="Note 10 2 3" xfId="10533" xr:uid="{00000000-0005-0000-0000-00004F590000}"/>
    <cellStyle name="Note 10 2 3 2" xfId="21821" xr:uid="{00000000-0005-0000-0000-000050590000}"/>
    <cellStyle name="Note 10 2 4" xfId="8539" xr:uid="{00000000-0005-0000-0000-000051590000}"/>
    <cellStyle name="Note 10 2 4 2" xfId="19827" xr:uid="{00000000-0005-0000-0000-000052590000}"/>
    <cellStyle name="Note 10 2 5" xfId="6545" xr:uid="{00000000-0005-0000-0000-000053590000}"/>
    <cellStyle name="Note 10 2 5 2" xfId="17833" xr:uid="{00000000-0005-0000-0000-000054590000}"/>
    <cellStyle name="Note 10 2 6" xfId="15839" xr:uid="{00000000-0005-0000-0000-000055590000}"/>
    <cellStyle name="Note 10 2 7" xfId="24456" xr:uid="{00000000-0005-0000-0000-000056590000}"/>
    <cellStyle name="Note 10 2 8" xfId="24900" xr:uid="{00000000-0005-0000-0000-000057590000}"/>
    <cellStyle name="Note 10 2 9" xfId="25263" xr:uid="{00000000-0005-0000-0000-000058590000}"/>
    <cellStyle name="Note 10 3" xfId="11530" xr:uid="{00000000-0005-0000-0000-000059590000}"/>
    <cellStyle name="Note 10 3 2" xfId="22818" xr:uid="{00000000-0005-0000-0000-00005A590000}"/>
    <cellStyle name="Note 10 4" xfId="9536" xr:uid="{00000000-0005-0000-0000-00005B590000}"/>
    <cellStyle name="Note 10 4 2" xfId="20824" xr:uid="{00000000-0005-0000-0000-00005C590000}"/>
    <cellStyle name="Note 10 5" xfId="7542" xr:uid="{00000000-0005-0000-0000-00005D590000}"/>
    <cellStyle name="Note 10 5 2" xfId="18830" xr:uid="{00000000-0005-0000-0000-00005E590000}"/>
    <cellStyle name="Note 10 6" xfId="5548" xr:uid="{00000000-0005-0000-0000-00005F590000}"/>
    <cellStyle name="Note 10 6 2" xfId="16836" xr:uid="{00000000-0005-0000-0000-000060590000}"/>
    <cellStyle name="Note 10 7" xfId="14842" xr:uid="{00000000-0005-0000-0000-000061590000}"/>
    <cellStyle name="Note 10 8" xfId="13526" xr:uid="{00000000-0005-0000-0000-000062590000}"/>
    <cellStyle name="Note 10 9" xfId="24185" xr:uid="{00000000-0005-0000-0000-000063590000}"/>
    <cellStyle name="Note 11" xfId="3315" xr:uid="{00000000-0005-0000-0000-000064590000}"/>
    <cellStyle name="Note 11 10" xfId="24754" xr:uid="{00000000-0005-0000-0000-000065590000}"/>
    <cellStyle name="Note 11 11" xfId="25070" xr:uid="{00000000-0005-0000-0000-000066590000}"/>
    <cellStyle name="Note 11 2" xfId="4549" xr:uid="{00000000-0005-0000-0000-000067590000}"/>
    <cellStyle name="Note 11 2 2" xfId="12528" xr:uid="{00000000-0005-0000-0000-000068590000}"/>
    <cellStyle name="Note 11 2 2 2" xfId="23816" xr:uid="{00000000-0005-0000-0000-000069590000}"/>
    <cellStyle name="Note 11 2 3" xfId="10534" xr:uid="{00000000-0005-0000-0000-00006A590000}"/>
    <cellStyle name="Note 11 2 3 2" xfId="21822" xr:uid="{00000000-0005-0000-0000-00006B590000}"/>
    <cellStyle name="Note 11 2 4" xfId="8540" xr:uid="{00000000-0005-0000-0000-00006C590000}"/>
    <cellStyle name="Note 11 2 4 2" xfId="19828" xr:uid="{00000000-0005-0000-0000-00006D590000}"/>
    <cellStyle name="Note 11 2 5" xfId="6546" xr:uid="{00000000-0005-0000-0000-00006E590000}"/>
    <cellStyle name="Note 11 2 5 2" xfId="17834" xr:uid="{00000000-0005-0000-0000-00006F590000}"/>
    <cellStyle name="Note 11 2 6" xfId="15840" xr:uid="{00000000-0005-0000-0000-000070590000}"/>
    <cellStyle name="Note 11 2 7" xfId="24457" xr:uid="{00000000-0005-0000-0000-000071590000}"/>
    <cellStyle name="Note 11 2 8" xfId="24901" xr:uid="{00000000-0005-0000-0000-000072590000}"/>
    <cellStyle name="Note 11 2 9" xfId="25264" xr:uid="{00000000-0005-0000-0000-000073590000}"/>
    <cellStyle name="Note 11 3" xfId="11531" xr:uid="{00000000-0005-0000-0000-000074590000}"/>
    <cellStyle name="Note 11 3 2" xfId="22819" xr:uid="{00000000-0005-0000-0000-000075590000}"/>
    <cellStyle name="Note 11 4" xfId="9537" xr:uid="{00000000-0005-0000-0000-000076590000}"/>
    <cellStyle name="Note 11 4 2" xfId="20825" xr:uid="{00000000-0005-0000-0000-000077590000}"/>
    <cellStyle name="Note 11 5" xfId="7543" xr:uid="{00000000-0005-0000-0000-000078590000}"/>
    <cellStyle name="Note 11 5 2" xfId="18831" xr:uid="{00000000-0005-0000-0000-000079590000}"/>
    <cellStyle name="Note 11 6" xfId="5549" xr:uid="{00000000-0005-0000-0000-00007A590000}"/>
    <cellStyle name="Note 11 6 2" xfId="16837" xr:uid="{00000000-0005-0000-0000-00007B590000}"/>
    <cellStyle name="Note 11 7" xfId="14843" xr:uid="{00000000-0005-0000-0000-00007C590000}"/>
    <cellStyle name="Note 11 8" xfId="13527" xr:uid="{00000000-0005-0000-0000-00007D590000}"/>
    <cellStyle name="Note 11 9" xfId="24186" xr:uid="{00000000-0005-0000-0000-00007E590000}"/>
    <cellStyle name="Note 12" xfId="3316" xr:uid="{00000000-0005-0000-0000-00007F590000}"/>
    <cellStyle name="Note 12 10" xfId="24755" xr:uid="{00000000-0005-0000-0000-000080590000}"/>
    <cellStyle name="Note 12 11" xfId="25071" xr:uid="{00000000-0005-0000-0000-000081590000}"/>
    <cellStyle name="Note 12 2" xfId="4550" xr:uid="{00000000-0005-0000-0000-000082590000}"/>
    <cellStyle name="Note 12 2 2" xfId="12529" xr:uid="{00000000-0005-0000-0000-000083590000}"/>
    <cellStyle name="Note 12 2 2 2" xfId="23817" xr:uid="{00000000-0005-0000-0000-000084590000}"/>
    <cellStyle name="Note 12 2 3" xfId="10535" xr:uid="{00000000-0005-0000-0000-000085590000}"/>
    <cellStyle name="Note 12 2 3 2" xfId="21823" xr:uid="{00000000-0005-0000-0000-000086590000}"/>
    <cellStyle name="Note 12 2 4" xfId="8541" xr:uid="{00000000-0005-0000-0000-000087590000}"/>
    <cellStyle name="Note 12 2 4 2" xfId="19829" xr:uid="{00000000-0005-0000-0000-000088590000}"/>
    <cellStyle name="Note 12 2 5" xfId="6547" xr:uid="{00000000-0005-0000-0000-000089590000}"/>
    <cellStyle name="Note 12 2 5 2" xfId="17835" xr:uid="{00000000-0005-0000-0000-00008A590000}"/>
    <cellStyle name="Note 12 2 6" xfId="15841" xr:uid="{00000000-0005-0000-0000-00008B590000}"/>
    <cellStyle name="Note 12 2 7" xfId="24458" xr:uid="{00000000-0005-0000-0000-00008C590000}"/>
    <cellStyle name="Note 12 2 8" xfId="24902" xr:uid="{00000000-0005-0000-0000-00008D590000}"/>
    <cellStyle name="Note 12 2 9" xfId="25265" xr:uid="{00000000-0005-0000-0000-00008E590000}"/>
    <cellStyle name="Note 12 3" xfId="11532" xr:uid="{00000000-0005-0000-0000-00008F590000}"/>
    <cellStyle name="Note 12 3 2" xfId="22820" xr:uid="{00000000-0005-0000-0000-000090590000}"/>
    <cellStyle name="Note 12 4" xfId="9538" xr:uid="{00000000-0005-0000-0000-000091590000}"/>
    <cellStyle name="Note 12 4 2" xfId="20826" xr:uid="{00000000-0005-0000-0000-000092590000}"/>
    <cellStyle name="Note 12 5" xfId="7544" xr:uid="{00000000-0005-0000-0000-000093590000}"/>
    <cellStyle name="Note 12 5 2" xfId="18832" xr:uid="{00000000-0005-0000-0000-000094590000}"/>
    <cellStyle name="Note 12 6" xfId="5550" xr:uid="{00000000-0005-0000-0000-000095590000}"/>
    <cellStyle name="Note 12 6 2" xfId="16838" xr:uid="{00000000-0005-0000-0000-000096590000}"/>
    <cellStyle name="Note 12 7" xfId="14844" xr:uid="{00000000-0005-0000-0000-000097590000}"/>
    <cellStyle name="Note 12 8" xfId="13528" xr:uid="{00000000-0005-0000-0000-000098590000}"/>
    <cellStyle name="Note 12 9" xfId="24187" xr:uid="{00000000-0005-0000-0000-000099590000}"/>
    <cellStyle name="Note 13" xfId="3317" xr:uid="{00000000-0005-0000-0000-00009A590000}"/>
    <cellStyle name="Note 13 2" xfId="4551" xr:uid="{00000000-0005-0000-0000-00009B590000}"/>
    <cellStyle name="Note 13 2 2" xfId="12530" xr:uid="{00000000-0005-0000-0000-00009C590000}"/>
    <cellStyle name="Note 13 2 2 2" xfId="23818" xr:uid="{00000000-0005-0000-0000-00009D590000}"/>
    <cellStyle name="Note 13 2 3" xfId="10536" xr:uid="{00000000-0005-0000-0000-00009E590000}"/>
    <cellStyle name="Note 13 2 3 2" xfId="21824" xr:uid="{00000000-0005-0000-0000-00009F590000}"/>
    <cellStyle name="Note 13 2 4" xfId="8542" xr:uid="{00000000-0005-0000-0000-0000A0590000}"/>
    <cellStyle name="Note 13 2 4 2" xfId="19830" xr:uid="{00000000-0005-0000-0000-0000A1590000}"/>
    <cellStyle name="Note 13 2 5" xfId="6548" xr:uid="{00000000-0005-0000-0000-0000A2590000}"/>
    <cellStyle name="Note 13 2 5 2" xfId="17836" xr:uid="{00000000-0005-0000-0000-0000A3590000}"/>
    <cellStyle name="Note 13 2 6" xfId="15842" xr:uid="{00000000-0005-0000-0000-0000A4590000}"/>
    <cellStyle name="Note 13 3" xfId="11533" xr:uid="{00000000-0005-0000-0000-0000A5590000}"/>
    <cellStyle name="Note 13 3 2" xfId="22821" xr:uid="{00000000-0005-0000-0000-0000A6590000}"/>
    <cellStyle name="Note 13 4" xfId="9539" xr:uid="{00000000-0005-0000-0000-0000A7590000}"/>
    <cellStyle name="Note 13 4 2" xfId="20827" xr:uid="{00000000-0005-0000-0000-0000A8590000}"/>
    <cellStyle name="Note 13 5" xfId="7545" xr:uid="{00000000-0005-0000-0000-0000A9590000}"/>
    <cellStyle name="Note 13 5 2" xfId="18833" xr:uid="{00000000-0005-0000-0000-0000AA590000}"/>
    <cellStyle name="Note 13 6" xfId="5551" xr:uid="{00000000-0005-0000-0000-0000AB590000}"/>
    <cellStyle name="Note 13 6 2" xfId="16839" xr:uid="{00000000-0005-0000-0000-0000AC590000}"/>
    <cellStyle name="Note 13 7" xfId="14845" xr:uid="{00000000-0005-0000-0000-0000AD590000}"/>
    <cellStyle name="Note 13 8" xfId="13529" xr:uid="{00000000-0005-0000-0000-0000AE590000}"/>
    <cellStyle name="Note 14" xfId="3318" xr:uid="{00000000-0005-0000-0000-0000AF590000}"/>
    <cellStyle name="Note 14 2" xfId="4552" xr:uid="{00000000-0005-0000-0000-0000B0590000}"/>
    <cellStyle name="Note 14 2 2" xfId="12531" xr:uid="{00000000-0005-0000-0000-0000B1590000}"/>
    <cellStyle name="Note 14 2 2 2" xfId="23819" xr:uid="{00000000-0005-0000-0000-0000B2590000}"/>
    <cellStyle name="Note 14 2 3" xfId="10537" xr:uid="{00000000-0005-0000-0000-0000B3590000}"/>
    <cellStyle name="Note 14 2 3 2" xfId="21825" xr:uid="{00000000-0005-0000-0000-0000B4590000}"/>
    <cellStyle name="Note 14 2 4" xfId="8543" xr:uid="{00000000-0005-0000-0000-0000B5590000}"/>
    <cellStyle name="Note 14 2 4 2" xfId="19831" xr:uid="{00000000-0005-0000-0000-0000B6590000}"/>
    <cellStyle name="Note 14 2 5" xfId="6549" xr:uid="{00000000-0005-0000-0000-0000B7590000}"/>
    <cellStyle name="Note 14 2 5 2" xfId="17837" xr:uid="{00000000-0005-0000-0000-0000B8590000}"/>
    <cellStyle name="Note 14 2 6" xfId="15843" xr:uid="{00000000-0005-0000-0000-0000B9590000}"/>
    <cellStyle name="Note 14 3" xfId="11534" xr:uid="{00000000-0005-0000-0000-0000BA590000}"/>
    <cellStyle name="Note 14 3 2" xfId="22822" xr:uid="{00000000-0005-0000-0000-0000BB590000}"/>
    <cellStyle name="Note 14 4" xfId="9540" xr:uid="{00000000-0005-0000-0000-0000BC590000}"/>
    <cellStyle name="Note 14 4 2" xfId="20828" xr:uid="{00000000-0005-0000-0000-0000BD590000}"/>
    <cellStyle name="Note 14 5" xfId="7546" xr:uid="{00000000-0005-0000-0000-0000BE590000}"/>
    <cellStyle name="Note 14 5 2" xfId="18834" xr:uid="{00000000-0005-0000-0000-0000BF590000}"/>
    <cellStyle name="Note 14 6" xfId="5552" xr:uid="{00000000-0005-0000-0000-0000C0590000}"/>
    <cellStyle name="Note 14 6 2" xfId="16840" xr:uid="{00000000-0005-0000-0000-0000C1590000}"/>
    <cellStyle name="Note 14 7" xfId="14846" xr:uid="{00000000-0005-0000-0000-0000C2590000}"/>
    <cellStyle name="Note 14 8" xfId="13530" xr:uid="{00000000-0005-0000-0000-0000C3590000}"/>
    <cellStyle name="Note 15" xfId="3319" xr:uid="{00000000-0005-0000-0000-0000C4590000}"/>
    <cellStyle name="Note 15 2" xfId="4553" xr:uid="{00000000-0005-0000-0000-0000C5590000}"/>
    <cellStyle name="Note 15 2 2" xfId="12532" xr:uid="{00000000-0005-0000-0000-0000C6590000}"/>
    <cellStyle name="Note 15 2 2 2" xfId="23820" xr:uid="{00000000-0005-0000-0000-0000C7590000}"/>
    <cellStyle name="Note 15 2 3" xfId="10538" xr:uid="{00000000-0005-0000-0000-0000C8590000}"/>
    <cellStyle name="Note 15 2 3 2" xfId="21826" xr:uid="{00000000-0005-0000-0000-0000C9590000}"/>
    <cellStyle name="Note 15 2 4" xfId="8544" xr:uid="{00000000-0005-0000-0000-0000CA590000}"/>
    <cellStyle name="Note 15 2 4 2" xfId="19832" xr:uid="{00000000-0005-0000-0000-0000CB590000}"/>
    <cellStyle name="Note 15 2 5" xfId="6550" xr:uid="{00000000-0005-0000-0000-0000CC590000}"/>
    <cellStyle name="Note 15 2 5 2" xfId="17838" xr:uid="{00000000-0005-0000-0000-0000CD590000}"/>
    <cellStyle name="Note 15 2 6" xfId="15844" xr:uid="{00000000-0005-0000-0000-0000CE590000}"/>
    <cellStyle name="Note 15 3" xfId="11535" xr:uid="{00000000-0005-0000-0000-0000CF590000}"/>
    <cellStyle name="Note 15 3 2" xfId="22823" xr:uid="{00000000-0005-0000-0000-0000D0590000}"/>
    <cellStyle name="Note 15 4" xfId="9541" xr:uid="{00000000-0005-0000-0000-0000D1590000}"/>
    <cellStyle name="Note 15 4 2" xfId="20829" xr:uid="{00000000-0005-0000-0000-0000D2590000}"/>
    <cellStyle name="Note 15 5" xfId="7547" xr:uid="{00000000-0005-0000-0000-0000D3590000}"/>
    <cellStyle name="Note 15 5 2" xfId="18835" xr:uid="{00000000-0005-0000-0000-0000D4590000}"/>
    <cellStyle name="Note 15 6" xfId="5553" xr:uid="{00000000-0005-0000-0000-0000D5590000}"/>
    <cellStyle name="Note 15 6 2" xfId="16841" xr:uid="{00000000-0005-0000-0000-0000D6590000}"/>
    <cellStyle name="Note 15 7" xfId="14847" xr:uid="{00000000-0005-0000-0000-0000D7590000}"/>
    <cellStyle name="Note 15 8" xfId="13531" xr:uid="{00000000-0005-0000-0000-0000D8590000}"/>
    <cellStyle name="Note 16" xfId="3320" xr:uid="{00000000-0005-0000-0000-0000D9590000}"/>
    <cellStyle name="Note 16 2" xfId="4554" xr:uid="{00000000-0005-0000-0000-0000DA590000}"/>
    <cellStyle name="Note 16 2 2" xfId="12533" xr:uid="{00000000-0005-0000-0000-0000DB590000}"/>
    <cellStyle name="Note 16 2 2 2" xfId="23821" xr:uid="{00000000-0005-0000-0000-0000DC590000}"/>
    <cellStyle name="Note 16 2 3" xfId="10539" xr:uid="{00000000-0005-0000-0000-0000DD590000}"/>
    <cellStyle name="Note 16 2 3 2" xfId="21827" xr:uid="{00000000-0005-0000-0000-0000DE590000}"/>
    <cellStyle name="Note 16 2 4" xfId="8545" xr:uid="{00000000-0005-0000-0000-0000DF590000}"/>
    <cellStyle name="Note 16 2 4 2" xfId="19833" xr:uid="{00000000-0005-0000-0000-0000E0590000}"/>
    <cellStyle name="Note 16 2 5" xfId="6551" xr:uid="{00000000-0005-0000-0000-0000E1590000}"/>
    <cellStyle name="Note 16 2 5 2" xfId="17839" xr:uid="{00000000-0005-0000-0000-0000E2590000}"/>
    <cellStyle name="Note 16 2 6" xfId="15845" xr:uid="{00000000-0005-0000-0000-0000E3590000}"/>
    <cellStyle name="Note 16 3" xfId="11536" xr:uid="{00000000-0005-0000-0000-0000E4590000}"/>
    <cellStyle name="Note 16 3 2" xfId="22824" xr:uid="{00000000-0005-0000-0000-0000E5590000}"/>
    <cellStyle name="Note 16 4" xfId="9542" xr:uid="{00000000-0005-0000-0000-0000E6590000}"/>
    <cellStyle name="Note 16 4 2" xfId="20830" xr:uid="{00000000-0005-0000-0000-0000E7590000}"/>
    <cellStyle name="Note 16 5" xfId="7548" xr:uid="{00000000-0005-0000-0000-0000E8590000}"/>
    <cellStyle name="Note 16 5 2" xfId="18836" xr:uid="{00000000-0005-0000-0000-0000E9590000}"/>
    <cellStyle name="Note 16 6" xfId="5554" xr:uid="{00000000-0005-0000-0000-0000EA590000}"/>
    <cellStyle name="Note 16 6 2" xfId="16842" xr:uid="{00000000-0005-0000-0000-0000EB590000}"/>
    <cellStyle name="Note 16 7" xfId="14848" xr:uid="{00000000-0005-0000-0000-0000EC590000}"/>
    <cellStyle name="Note 16 8" xfId="13532" xr:uid="{00000000-0005-0000-0000-0000ED590000}"/>
    <cellStyle name="Note 17" xfId="3321" xr:uid="{00000000-0005-0000-0000-0000EE590000}"/>
    <cellStyle name="Note 17 2" xfId="4555" xr:uid="{00000000-0005-0000-0000-0000EF590000}"/>
    <cellStyle name="Note 17 2 2" xfId="12534" xr:uid="{00000000-0005-0000-0000-0000F0590000}"/>
    <cellStyle name="Note 17 2 2 2" xfId="23822" xr:uid="{00000000-0005-0000-0000-0000F1590000}"/>
    <cellStyle name="Note 17 2 3" xfId="10540" xr:uid="{00000000-0005-0000-0000-0000F2590000}"/>
    <cellStyle name="Note 17 2 3 2" xfId="21828" xr:uid="{00000000-0005-0000-0000-0000F3590000}"/>
    <cellStyle name="Note 17 2 4" xfId="8546" xr:uid="{00000000-0005-0000-0000-0000F4590000}"/>
    <cellStyle name="Note 17 2 4 2" xfId="19834" xr:uid="{00000000-0005-0000-0000-0000F5590000}"/>
    <cellStyle name="Note 17 2 5" xfId="6552" xr:uid="{00000000-0005-0000-0000-0000F6590000}"/>
    <cellStyle name="Note 17 2 5 2" xfId="17840" xr:uid="{00000000-0005-0000-0000-0000F7590000}"/>
    <cellStyle name="Note 17 2 6" xfId="15846" xr:uid="{00000000-0005-0000-0000-0000F8590000}"/>
    <cellStyle name="Note 17 3" xfId="11537" xr:uid="{00000000-0005-0000-0000-0000F9590000}"/>
    <cellStyle name="Note 17 3 2" xfId="22825" xr:uid="{00000000-0005-0000-0000-0000FA590000}"/>
    <cellStyle name="Note 17 4" xfId="9543" xr:uid="{00000000-0005-0000-0000-0000FB590000}"/>
    <cellStyle name="Note 17 4 2" xfId="20831" xr:uid="{00000000-0005-0000-0000-0000FC590000}"/>
    <cellStyle name="Note 17 5" xfId="7549" xr:uid="{00000000-0005-0000-0000-0000FD590000}"/>
    <cellStyle name="Note 17 5 2" xfId="18837" xr:uid="{00000000-0005-0000-0000-0000FE590000}"/>
    <cellStyle name="Note 17 6" xfId="5555" xr:uid="{00000000-0005-0000-0000-0000FF590000}"/>
    <cellStyle name="Note 17 6 2" xfId="16843" xr:uid="{00000000-0005-0000-0000-0000005A0000}"/>
    <cellStyle name="Note 17 7" xfId="14849" xr:uid="{00000000-0005-0000-0000-0000015A0000}"/>
    <cellStyle name="Note 17 8" xfId="13533" xr:uid="{00000000-0005-0000-0000-0000025A0000}"/>
    <cellStyle name="Note 18" xfId="3322" xr:uid="{00000000-0005-0000-0000-0000035A0000}"/>
    <cellStyle name="Note 18 2" xfId="4556" xr:uid="{00000000-0005-0000-0000-0000045A0000}"/>
    <cellStyle name="Note 18 2 2" xfId="12535" xr:uid="{00000000-0005-0000-0000-0000055A0000}"/>
    <cellStyle name="Note 18 2 2 2" xfId="23823" xr:uid="{00000000-0005-0000-0000-0000065A0000}"/>
    <cellStyle name="Note 18 2 3" xfId="10541" xr:uid="{00000000-0005-0000-0000-0000075A0000}"/>
    <cellStyle name="Note 18 2 3 2" xfId="21829" xr:uid="{00000000-0005-0000-0000-0000085A0000}"/>
    <cellStyle name="Note 18 2 4" xfId="8547" xr:uid="{00000000-0005-0000-0000-0000095A0000}"/>
    <cellStyle name="Note 18 2 4 2" xfId="19835" xr:uid="{00000000-0005-0000-0000-00000A5A0000}"/>
    <cellStyle name="Note 18 2 5" xfId="6553" xr:uid="{00000000-0005-0000-0000-00000B5A0000}"/>
    <cellStyle name="Note 18 2 5 2" xfId="17841" xr:uid="{00000000-0005-0000-0000-00000C5A0000}"/>
    <cellStyle name="Note 18 2 6" xfId="15847" xr:uid="{00000000-0005-0000-0000-00000D5A0000}"/>
    <cellStyle name="Note 18 3" xfId="11538" xr:uid="{00000000-0005-0000-0000-00000E5A0000}"/>
    <cellStyle name="Note 18 3 2" xfId="22826" xr:uid="{00000000-0005-0000-0000-00000F5A0000}"/>
    <cellStyle name="Note 18 4" xfId="9544" xr:uid="{00000000-0005-0000-0000-0000105A0000}"/>
    <cellStyle name="Note 18 4 2" xfId="20832" xr:uid="{00000000-0005-0000-0000-0000115A0000}"/>
    <cellStyle name="Note 18 5" xfId="7550" xr:uid="{00000000-0005-0000-0000-0000125A0000}"/>
    <cellStyle name="Note 18 5 2" xfId="18838" xr:uid="{00000000-0005-0000-0000-0000135A0000}"/>
    <cellStyle name="Note 18 6" xfId="5556" xr:uid="{00000000-0005-0000-0000-0000145A0000}"/>
    <cellStyle name="Note 18 6 2" xfId="16844" xr:uid="{00000000-0005-0000-0000-0000155A0000}"/>
    <cellStyle name="Note 18 7" xfId="14850" xr:uid="{00000000-0005-0000-0000-0000165A0000}"/>
    <cellStyle name="Note 18 8" xfId="13534" xr:uid="{00000000-0005-0000-0000-0000175A0000}"/>
    <cellStyle name="Note 19" xfId="3323" xr:uid="{00000000-0005-0000-0000-0000185A0000}"/>
    <cellStyle name="Note 19 2" xfId="4557" xr:uid="{00000000-0005-0000-0000-0000195A0000}"/>
    <cellStyle name="Note 19 2 2" xfId="12536" xr:uid="{00000000-0005-0000-0000-00001A5A0000}"/>
    <cellStyle name="Note 19 2 2 2" xfId="23824" xr:uid="{00000000-0005-0000-0000-00001B5A0000}"/>
    <cellStyle name="Note 19 2 3" xfId="10542" xr:uid="{00000000-0005-0000-0000-00001C5A0000}"/>
    <cellStyle name="Note 19 2 3 2" xfId="21830" xr:uid="{00000000-0005-0000-0000-00001D5A0000}"/>
    <cellStyle name="Note 19 2 4" xfId="8548" xr:uid="{00000000-0005-0000-0000-00001E5A0000}"/>
    <cellStyle name="Note 19 2 4 2" xfId="19836" xr:uid="{00000000-0005-0000-0000-00001F5A0000}"/>
    <cellStyle name="Note 19 2 5" xfId="6554" xr:uid="{00000000-0005-0000-0000-0000205A0000}"/>
    <cellStyle name="Note 19 2 5 2" xfId="17842" xr:uid="{00000000-0005-0000-0000-0000215A0000}"/>
    <cellStyle name="Note 19 2 6" xfId="15848" xr:uid="{00000000-0005-0000-0000-0000225A0000}"/>
    <cellStyle name="Note 19 3" xfId="11539" xr:uid="{00000000-0005-0000-0000-0000235A0000}"/>
    <cellStyle name="Note 19 3 2" xfId="22827" xr:uid="{00000000-0005-0000-0000-0000245A0000}"/>
    <cellStyle name="Note 19 4" xfId="9545" xr:uid="{00000000-0005-0000-0000-0000255A0000}"/>
    <cellStyle name="Note 19 4 2" xfId="20833" xr:uid="{00000000-0005-0000-0000-0000265A0000}"/>
    <cellStyle name="Note 19 5" xfId="7551" xr:uid="{00000000-0005-0000-0000-0000275A0000}"/>
    <cellStyle name="Note 19 5 2" xfId="18839" xr:uid="{00000000-0005-0000-0000-0000285A0000}"/>
    <cellStyle name="Note 19 6" xfId="5557" xr:uid="{00000000-0005-0000-0000-0000295A0000}"/>
    <cellStyle name="Note 19 6 2" xfId="16845" xr:uid="{00000000-0005-0000-0000-00002A5A0000}"/>
    <cellStyle name="Note 19 7" xfId="14851" xr:uid="{00000000-0005-0000-0000-00002B5A0000}"/>
    <cellStyle name="Note 19 8" xfId="13535" xr:uid="{00000000-0005-0000-0000-00002C5A0000}"/>
    <cellStyle name="Note 2" xfId="3324" xr:uid="{00000000-0005-0000-0000-00002D5A0000}"/>
    <cellStyle name="Note 2 10" xfId="25072" xr:uid="{00000000-0005-0000-0000-00002E5A0000}"/>
    <cellStyle name="Note 2 10 2" xfId="25396" xr:uid="{00000000-0005-0000-0000-00002F5A0000}"/>
    <cellStyle name="Note 2 10 3" xfId="25676" xr:uid="{00000000-0005-0000-0000-0000305A0000}"/>
    <cellStyle name="Note 2 2" xfId="4558" xr:uid="{00000000-0005-0000-0000-0000315A0000}"/>
    <cellStyle name="Note 2 2 2" xfId="12537" xr:uid="{00000000-0005-0000-0000-0000325A0000}"/>
    <cellStyle name="Note 2 2 2 2" xfId="23825" xr:uid="{00000000-0005-0000-0000-0000335A0000}"/>
    <cellStyle name="Note 2 2 3" xfId="10543" xr:uid="{00000000-0005-0000-0000-0000345A0000}"/>
    <cellStyle name="Note 2 2 3 2" xfId="21831" xr:uid="{00000000-0005-0000-0000-0000355A0000}"/>
    <cellStyle name="Note 2 2 4" xfId="8549" xr:uid="{00000000-0005-0000-0000-0000365A0000}"/>
    <cellStyle name="Note 2 2 4 2" xfId="19837" xr:uid="{00000000-0005-0000-0000-0000375A0000}"/>
    <cellStyle name="Note 2 2 5" xfId="6555" xr:uid="{00000000-0005-0000-0000-0000385A0000}"/>
    <cellStyle name="Note 2 2 5 2" xfId="17843" xr:uid="{00000000-0005-0000-0000-0000395A0000}"/>
    <cellStyle name="Note 2 2 6" xfId="15849" xr:uid="{00000000-0005-0000-0000-00003A5A0000}"/>
    <cellStyle name="Note 2 2 7" xfId="24189" xr:uid="{00000000-0005-0000-0000-00003B5A0000}"/>
    <cellStyle name="Note 2 2 7 2" xfId="25413" xr:uid="{00000000-0005-0000-0000-00003C5A0000}"/>
    <cellStyle name="Note 2 2 7 3" xfId="25564" xr:uid="{00000000-0005-0000-0000-00003D5A0000}"/>
    <cellStyle name="Note 2 2 8" xfId="25073" xr:uid="{00000000-0005-0000-0000-00003E5A0000}"/>
    <cellStyle name="Note 2 2 8 2" xfId="25305" xr:uid="{00000000-0005-0000-0000-00003F5A0000}"/>
    <cellStyle name="Note 2 2 8 3" xfId="25677" xr:uid="{00000000-0005-0000-0000-0000405A0000}"/>
    <cellStyle name="Note 2 3" xfId="11540" xr:uid="{00000000-0005-0000-0000-0000415A0000}"/>
    <cellStyle name="Note 2 3 2" xfId="22828" xr:uid="{00000000-0005-0000-0000-0000425A0000}"/>
    <cellStyle name="Note 2 4" xfId="9546" xr:uid="{00000000-0005-0000-0000-0000435A0000}"/>
    <cellStyle name="Note 2 4 2" xfId="20834" xr:uid="{00000000-0005-0000-0000-0000445A0000}"/>
    <cellStyle name="Note 2 5" xfId="7552" xr:uid="{00000000-0005-0000-0000-0000455A0000}"/>
    <cellStyle name="Note 2 5 2" xfId="18840" xr:uid="{00000000-0005-0000-0000-0000465A0000}"/>
    <cellStyle name="Note 2 6" xfId="5558" xr:uid="{00000000-0005-0000-0000-0000475A0000}"/>
    <cellStyle name="Note 2 6 2" xfId="16846" xr:uid="{00000000-0005-0000-0000-0000485A0000}"/>
    <cellStyle name="Note 2 7" xfId="14852" xr:uid="{00000000-0005-0000-0000-0000495A0000}"/>
    <cellStyle name="Note 2 8" xfId="13536" xr:uid="{00000000-0005-0000-0000-00004A5A0000}"/>
    <cellStyle name="Note 2 9" xfId="24188" xr:uid="{00000000-0005-0000-0000-00004B5A0000}"/>
    <cellStyle name="Note 2 9 2" xfId="25311" xr:uid="{00000000-0005-0000-0000-00004C5A0000}"/>
    <cellStyle name="Note 2 9 3" xfId="25563" xr:uid="{00000000-0005-0000-0000-00004D5A0000}"/>
    <cellStyle name="Note 20" xfId="3325" xr:uid="{00000000-0005-0000-0000-00004E5A0000}"/>
    <cellStyle name="Note 20 2" xfId="4559" xr:uid="{00000000-0005-0000-0000-00004F5A0000}"/>
    <cellStyle name="Note 20 2 2" xfId="12538" xr:uid="{00000000-0005-0000-0000-0000505A0000}"/>
    <cellStyle name="Note 20 2 2 2" xfId="23826" xr:uid="{00000000-0005-0000-0000-0000515A0000}"/>
    <cellStyle name="Note 20 2 3" xfId="10544" xr:uid="{00000000-0005-0000-0000-0000525A0000}"/>
    <cellStyle name="Note 20 2 3 2" xfId="21832" xr:uid="{00000000-0005-0000-0000-0000535A0000}"/>
    <cellStyle name="Note 20 2 4" xfId="8550" xr:uid="{00000000-0005-0000-0000-0000545A0000}"/>
    <cellStyle name="Note 20 2 4 2" xfId="19838" xr:uid="{00000000-0005-0000-0000-0000555A0000}"/>
    <cellStyle name="Note 20 2 5" xfId="6556" xr:uid="{00000000-0005-0000-0000-0000565A0000}"/>
    <cellStyle name="Note 20 2 5 2" xfId="17844" xr:uid="{00000000-0005-0000-0000-0000575A0000}"/>
    <cellStyle name="Note 20 2 6" xfId="15850" xr:uid="{00000000-0005-0000-0000-0000585A0000}"/>
    <cellStyle name="Note 20 3" xfId="11541" xr:uid="{00000000-0005-0000-0000-0000595A0000}"/>
    <cellStyle name="Note 20 3 2" xfId="22829" xr:uid="{00000000-0005-0000-0000-00005A5A0000}"/>
    <cellStyle name="Note 20 4" xfId="9547" xr:uid="{00000000-0005-0000-0000-00005B5A0000}"/>
    <cellStyle name="Note 20 4 2" xfId="20835" xr:uid="{00000000-0005-0000-0000-00005C5A0000}"/>
    <cellStyle name="Note 20 5" xfId="7553" xr:uid="{00000000-0005-0000-0000-00005D5A0000}"/>
    <cellStyle name="Note 20 5 2" xfId="18841" xr:uid="{00000000-0005-0000-0000-00005E5A0000}"/>
    <cellStyle name="Note 20 6" xfId="5559" xr:uid="{00000000-0005-0000-0000-00005F5A0000}"/>
    <cellStyle name="Note 20 6 2" xfId="16847" xr:uid="{00000000-0005-0000-0000-0000605A0000}"/>
    <cellStyle name="Note 20 7" xfId="14853" xr:uid="{00000000-0005-0000-0000-0000615A0000}"/>
    <cellStyle name="Note 20 8" xfId="13537" xr:uid="{00000000-0005-0000-0000-0000625A0000}"/>
    <cellStyle name="Note 21" xfId="3326" xr:uid="{00000000-0005-0000-0000-0000635A0000}"/>
    <cellStyle name="Note 21 2" xfId="4560" xr:uid="{00000000-0005-0000-0000-0000645A0000}"/>
    <cellStyle name="Note 21 2 2" xfId="12539" xr:uid="{00000000-0005-0000-0000-0000655A0000}"/>
    <cellStyle name="Note 21 2 2 2" xfId="23827" xr:uid="{00000000-0005-0000-0000-0000665A0000}"/>
    <cellStyle name="Note 21 2 3" xfId="10545" xr:uid="{00000000-0005-0000-0000-0000675A0000}"/>
    <cellStyle name="Note 21 2 3 2" xfId="21833" xr:uid="{00000000-0005-0000-0000-0000685A0000}"/>
    <cellStyle name="Note 21 2 4" xfId="8551" xr:uid="{00000000-0005-0000-0000-0000695A0000}"/>
    <cellStyle name="Note 21 2 4 2" xfId="19839" xr:uid="{00000000-0005-0000-0000-00006A5A0000}"/>
    <cellStyle name="Note 21 2 5" xfId="6557" xr:uid="{00000000-0005-0000-0000-00006B5A0000}"/>
    <cellStyle name="Note 21 2 5 2" xfId="17845" xr:uid="{00000000-0005-0000-0000-00006C5A0000}"/>
    <cellStyle name="Note 21 2 6" xfId="15851" xr:uid="{00000000-0005-0000-0000-00006D5A0000}"/>
    <cellStyle name="Note 21 3" xfId="11542" xr:uid="{00000000-0005-0000-0000-00006E5A0000}"/>
    <cellStyle name="Note 21 3 2" xfId="22830" xr:uid="{00000000-0005-0000-0000-00006F5A0000}"/>
    <cellStyle name="Note 21 4" xfId="9548" xr:uid="{00000000-0005-0000-0000-0000705A0000}"/>
    <cellStyle name="Note 21 4 2" xfId="20836" xr:uid="{00000000-0005-0000-0000-0000715A0000}"/>
    <cellStyle name="Note 21 5" xfId="7554" xr:uid="{00000000-0005-0000-0000-0000725A0000}"/>
    <cellStyle name="Note 21 5 2" xfId="18842" xr:uid="{00000000-0005-0000-0000-0000735A0000}"/>
    <cellStyle name="Note 21 6" xfId="5560" xr:uid="{00000000-0005-0000-0000-0000745A0000}"/>
    <cellStyle name="Note 21 6 2" xfId="16848" xr:uid="{00000000-0005-0000-0000-0000755A0000}"/>
    <cellStyle name="Note 21 7" xfId="14854" xr:uid="{00000000-0005-0000-0000-0000765A0000}"/>
    <cellStyle name="Note 21 8" xfId="13538" xr:uid="{00000000-0005-0000-0000-0000775A0000}"/>
    <cellStyle name="Note 22" xfId="3327" xr:uid="{00000000-0005-0000-0000-0000785A0000}"/>
    <cellStyle name="Note 22 2" xfId="4561" xr:uid="{00000000-0005-0000-0000-0000795A0000}"/>
    <cellStyle name="Note 22 2 2" xfId="12540" xr:uid="{00000000-0005-0000-0000-00007A5A0000}"/>
    <cellStyle name="Note 22 2 2 2" xfId="23828" xr:uid="{00000000-0005-0000-0000-00007B5A0000}"/>
    <cellStyle name="Note 22 2 3" xfId="10546" xr:uid="{00000000-0005-0000-0000-00007C5A0000}"/>
    <cellStyle name="Note 22 2 3 2" xfId="21834" xr:uid="{00000000-0005-0000-0000-00007D5A0000}"/>
    <cellStyle name="Note 22 2 4" xfId="8552" xr:uid="{00000000-0005-0000-0000-00007E5A0000}"/>
    <cellStyle name="Note 22 2 4 2" xfId="19840" xr:uid="{00000000-0005-0000-0000-00007F5A0000}"/>
    <cellStyle name="Note 22 2 5" xfId="6558" xr:uid="{00000000-0005-0000-0000-0000805A0000}"/>
    <cellStyle name="Note 22 2 5 2" xfId="17846" xr:uid="{00000000-0005-0000-0000-0000815A0000}"/>
    <cellStyle name="Note 22 2 6" xfId="15852" xr:uid="{00000000-0005-0000-0000-0000825A0000}"/>
    <cellStyle name="Note 22 3" xfId="11543" xr:uid="{00000000-0005-0000-0000-0000835A0000}"/>
    <cellStyle name="Note 22 3 2" xfId="22831" xr:uid="{00000000-0005-0000-0000-0000845A0000}"/>
    <cellStyle name="Note 22 4" xfId="9549" xr:uid="{00000000-0005-0000-0000-0000855A0000}"/>
    <cellStyle name="Note 22 4 2" xfId="20837" xr:uid="{00000000-0005-0000-0000-0000865A0000}"/>
    <cellStyle name="Note 22 5" xfId="7555" xr:uid="{00000000-0005-0000-0000-0000875A0000}"/>
    <cellStyle name="Note 22 5 2" xfId="18843" xr:uid="{00000000-0005-0000-0000-0000885A0000}"/>
    <cellStyle name="Note 22 6" xfId="5561" xr:uid="{00000000-0005-0000-0000-0000895A0000}"/>
    <cellStyle name="Note 22 6 2" xfId="16849" xr:uid="{00000000-0005-0000-0000-00008A5A0000}"/>
    <cellStyle name="Note 22 7" xfId="14855" xr:uid="{00000000-0005-0000-0000-00008B5A0000}"/>
    <cellStyle name="Note 22 8" xfId="13539" xr:uid="{00000000-0005-0000-0000-00008C5A0000}"/>
    <cellStyle name="Note 23" xfId="3328" xr:uid="{00000000-0005-0000-0000-00008D5A0000}"/>
    <cellStyle name="Note 23 2" xfId="4562" xr:uid="{00000000-0005-0000-0000-00008E5A0000}"/>
    <cellStyle name="Note 23 2 2" xfId="12541" xr:uid="{00000000-0005-0000-0000-00008F5A0000}"/>
    <cellStyle name="Note 23 2 2 2" xfId="23829" xr:uid="{00000000-0005-0000-0000-0000905A0000}"/>
    <cellStyle name="Note 23 2 3" xfId="10547" xr:uid="{00000000-0005-0000-0000-0000915A0000}"/>
    <cellStyle name="Note 23 2 3 2" xfId="21835" xr:uid="{00000000-0005-0000-0000-0000925A0000}"/>
    <cellStyle name="Note 23 2 4" xfId="8553" xr:uid="{00000000-0005-0000-0000-0000935A0000}"/>
    <cellStyle name="Note 23 2 4 2" xfId="19841" xr:uid="{00000000-0005-0000-0000-0000945A0000}"/>
    <cellStyle name="Note 23 2 5" xfId="6559" xr:uid="{00000000-0005-0000-0000-0000955A0000}"/>
    <cellStyle name="Note 23 2 5 2" xfId="17847" xr:uid="{00000000-0005-0000-0000-0000965A0000}"/>
    <cellStyle name="Note 23 2 6" xfId="15853" xr:uid="{00000000-0005-0000-0000-0000975A0000}"/>
    <cellStyle name="Note 23 3" xfId="11544" xr:uid="{00000000-0005-0000-0000-0000985A0000}"/>
    <cellStyle name="Note 23 3 2" xfId="22832" xr:uid="{00000000-0005-0000-0000-0000995A0000}"/>
    <cellStyle name="Note 23 4" xfId="9550" xr:uid="{00000000-0005-0000-0000-00009A5A0000}"/>
    <cellStyle name="Note 23 4 2" xfId="20838" xr:uid="{00000000-0005-0000-0000-00009B5A0000}"/>
    <cellStyle name="Note 23 5" xfId="7556" xr:uid="{00000000-0005-0000-0000-00009C5A0000}"/>
    <cellStyle name="Note 23 5 2" xfId="18844" xr:uid="{00000000-0005-0000-0000-00009D5A0000}"/>
    <cellStyle name="Note 23 6" xfId="5562" xr:uid="{00000000-0005-0000-0000-00009E5A0000}"/>
    <cellStyle name="Note 23 6 2" xfId="16850" xr:uid="{00000000-0005-0000-0000-00009F5A0000}"/>
    <cellStyle name="Note 23 7" xfId="14856" xr:uid="{00000000-0005-0000-0000-0000A05A0000}"/>
    <cellStyle name="Note 23 8" xfId="13540" xr:uid="{00000000-0005-0000-0000-0000A15A0000}"/>
    <cellStyle name="Note 24" xfId="3329" xr:uid="{00000000-0005-0000-0000-0000A25A0000}"/>
    <cellStyle name="Note 24 2" xfId="4563" xr:uid="{00000000-0005-0000-0000-0000A35A0000}"/>
    <cellStyle name="Note 24 2 2" xfId="12542" xr:uid="{00000000-0005-0000-0000-0000A45A0000}"/>
    <cellStyle name="Note 24 2 2 2" xfId="23830" xr:uid="{00000000-0005-0000-0000-0000A55A0000}"/>
    <cellStyle name="Note 24 2 3" xfId="10548" xr:uid="{00000000-0005-0000-0000-0000A65A0000}"/>
    <cellStyle name="Note 24 2 3 2" xfId="21836" xr:uid="{00000000-0005-0000-0000-0000A75A0000}"/>
    <cellStyle name="Note 24 2 4" xfId="8554" xr:uid="{00000000-0005-0000-0000-0000A85A0000}"/>
    <cellStyle name="Note 24 2 4 2" xfId="19842" xr:uid="{00000000-0005-0000-0000-0000A95A0000}"/>
    <cellStyle name="Note 24 2 5" xfId="6560" xr:uid="{00000000-0005-0000-0000-0000AA5A0000}"/>
    <cellStyle name="Note 24 2 5 2" xfId="17848" xr:uid="{00000000-0005-0000-0000-0000AB5A0000}"/>
    <cellStyle name="Note 24 2 6" xfId="15854" xr:uid="{00000000-0005-0000-0000-0000AC5A0000}"/>
    <cellStyle name="Note 24 3" xfId="11545" xr:uid="{00000000-0005-0000-0000-0000AD5A0000}"/>
    <cellStyle name="Note 24 3 2" xfId="22833" xr:uid="{00000000-0005-0000-0000-0000AE5A0000}"/>
    <cellStyle name="Note 24 4" xfId="9551" xr:uid="{00000000-0005-0000-0000-0000AF5A0000}"/>
    <cellStyle name="Note 24 4 2" xfId="20839" xr:uid="{00000000-0005-0000-0000-0000B05A0000}"/>
    <cellStyle name="Note 24 5" xfId="7557" xr:uid="{00000000-0005-0000-0000-0000B15A0000}"/>
    <cellStyle name="Note 24 5 2" xfId="18845" xr:uid="{00000000-0005-0000-0000-0000B25A0000}"/>
    <cellStyle name="Note 24 6" xfId="5563" xr:uid="{00000000-0005-0000-0000-0000B35A0000}"/>
    <cellStyle name="Note 24 6 2" xfId="16851" xr:uid="{00000000-0005-0000-0000-0000B45A0000}"/>
    <cellStyle name="Note 24 7" xfId="14857" xr:uid="{00000000-0005-0000-0000-0000B55A0000}"/>
    <cellStyle name="Note 24 8" xfId="13541" xr:uid="{00000000-0005-0000-0000-0000B65A0000}"/>
    <cellStyle name="Note 25" xfId="3330" xr:uid="{00000000-0005-0000-0000-0000B75A0000}"/>
    <cellStyle name="Note 25 2" xfId="4564" xr:uid="{00000000-0005-0000-0000-0000B85A0000}"/>
    <cellStyle name="Note 25 2 2" xfId="12543" xr:uid="{00000000-0005-0000-0000-0000B95A0000}"/>
    <cellStyle name="Note 25 2 2 2" xfId="23831" xr:uid="{00000000-0005-0000-0000-0000BA5A0000}"/>
    <cellStyle name="Note 25 2 3" xfId="10549" xr:uid="{00000000-0005-0000-0000-0000BB5A0000}"/>
    <cellStyle name="Note 25 2 3 2" xfId="21837" xr:uid="{00000000-0005-0000-0000-0000BC5A0000}"/>
    <cellStyle name="Note 25 2 4" xfId="8555" xr:uid="{00000000-0005-0000-0000-0000BD5A0000}"/>
    <cellStyle name="Note 25 2 4 2" xfId="19843" xr:uid="{00000000-0005-0000-0000-0000BE5A0000}"/>
    <cellStyle name="Note 25 2 5" xfId="6561" xr:uid="{00000000-0005-0000-0000-0000BF5A0000}"/>
    <cellStyle name="Note 25 2 5 2" xfId="17849" xr:uid="{00000000-0005-0000-0000-0000C05A0000}"/>
    <cellStyle name="Note 25 2 6" xfId="15855" xr:uid="{00000000-0005-0000-0000-0000C15A0000}"/>
    <cellStyle name="Note 25 3" xfId="11546" xr:uid="{00000000-0005-0000-0000-0000C25A0000}"/>
    <cellStyle name="Note 25 3 2" xfId="22834" xr:uid="{00000000-0005-0000-0000-0000C35A0000}"/>
    <cellStyle name="Note 25 4" xfId="9552" xr:uid="{00000000-0005-0000-0000-0000C45A0000}"/>
    <cellStyle name="Note 25 4 2" xfId="20840" xr:uid="{00000000-0005-0000-0000-0000C55A0000}"/>
    <cellStyle name="Note 25 5" xfId="7558" xr:uid="{00000000-0005-0000-0000-0000C65A0000}"/>
    <cellStyle name="Note 25 5 2" xfId="18846" xr:uid="{00000000-0005-0000-0000-0000C75A0000}"/>
    <cellStyle name="Note 25 6" xfId="5564" xr:uid="{00000000-0005-0000-0000-0000C85A0000}"/>
    <cellStyle name="Note 25 6 2" xfId="16852" xr:uid="{00000000-0005-0000-0000-0000C95A0000}"/>
    <cellStyle name="Note 25 7" xfId="14858" xr:uid="{00000000-0005-0000-0000-0000CA5A0000}"/>
    <cellStyle name="Note 25 8" xfId="13542" xr:uid="{00000000-0005-0000-0000-0000CB5A0000}"/>
    <cellStyle name="Note 26" xfId="3331" xr:uid="{00000000-0005-0000-0000-0000CC5A0000}"/>
    <cellStyle name="Note 26 2" xfId="4565" xr:uid="{00000000-0005-0000-0000-0000CD5A0000}"/>
    <cellStyle name="Note 26 2 2" xfId="12544" xr:uid="{00000000-0005-0000-0000-0000CE5A0000}"/>
    <cellStyle name="Note 26 2 2 2" xfId="23832" xr:uid="{00000000-0005-0000-0000-0000CF5A0000}"/>
    <cellStyle name="Note 26 2 3" xfId="10550" xr:uid="{00000000-0005-0000-0000-0000D05A0000}"/>
    <cellStyle name="Note 26 2 3 2" xfId="21838" xr:uid="{00000000-0005-0000-0000-0000D15A0000}"/>
    <cellStyle name="Note 26 2 4" xfId="8556" xr:uid="{00000000-0005-0000-0000-0000D25A0000}"/>
    <cellStyle name="Note 26 2 4 2" xfId="19844" xr:uid="{00000000-0005-0000-0000-0000D35A0000}"/>
    <cellStyle name="Note 26 2 5" xfId="6562" xr:uid="{00000000-0005-0000-0000-0000D45A0000}"/>
    <cellStyle name="Note 26 2 5 2" xfId="17850" xr:uid="{00000000-0005-0000-0000-0000D55A0000}"/>
    <cellStyle name="Note 26 2 6" xfId="15856" xr:uid="{00000000-0005-0000-0000-0000D65A0000}"/>
    <cellStyle name="Note 26 3" xfId="11547" xr:uid="{00000000-0005-0000-0000-0000D75A0000}"/>
    <cellStyle name="Note 26 3 2" xfId="22835" xr:uid="{00000000-0005-0000-0000-0000D85A0000}"/>
    <cellStyle name="Note 26 4" xfId="9553" xr:uid="{00000000-0005-0000-0000-0000D95A0000}"/>
    <cellStyle name="Note 26 4 2" xfId="20841" xr:uid="{00000000-0005-0000-0000-0000DA5A0000}"/>
    <cellStyle name="Note 26 5" xfId="7559" xr:uid="{00000000-0005-0000-0000-0000DB5A0000}"/>
    <cellStyle name="Note 26 5 2" xfId="18847" xr:uid="{00000000-0005-0000-0000-0000DC5A0000}"/>
    <cellStyle name="Note 26 6" xfId="5565" xr:uid="{00000000-0005-0000-0000-0000DD5A0000}"/>
    <cellStyle name="Note 26 6 2" xfId="16853" xr:uid="{00000000-0005-0000-0000-0000DE5A0000}"/>
    <cellStyle name="Note 26 7" xfId="14859" xr:uid="{00000000-0005-0000-0000-0000DF5A0000}"/>
    <cellStyle name="Note 26 8" xfId="13543" xr:uid="{00000000-0005-0000-0000-0000E05A0000}"/>
    <cellStyle name="Note 27" xfId="3332" xr:uid="{00000000-0005-0000-0000-0000E15A0000}"/>
    <cellStyle name="Note 27 2" xfId="4566" xr:uid="{00000000-0005-0000-0000-0000E25A0000}"/>
    <cellStyle name="Note 27 2 2" xfId="12545" xr:uid="{00000000-0005-0000-0000-0000E35A0000}"/>
    <cellStyle name="Note 27 2 2 2" xfId="23833" xr:uid="{00000000-0005-0000-0000-0000E45A0000}"/>
    <cellStyle name="Note 27 2 3" xfId="10551" xr:uid="{00000000-0005-0000-0000-0000E55A0000}"/>
    <cellStyle name="Note 27 2 3 2" xfId="21839" xr:uid="{00000000-0005-0000-0000-0000E65A0000}"/>
    <cellStyle name="Note 27 2 4" xfId="8557" xr:uid="{00000000-0005-0000-0000-0000E75A0000}"/>
    <cellStyle name="Note 27 2 4 2" xfId="19845" xr:uid="{00000000-0005-0000-0000-0000E85A0000}"/>
    <cellStyle name="Note 27 2 5" xfId="6563" xr:uid="{00000000-0005-0000-0000-0000E95A0000}"/>
    <cellStyle name="Note 27 2 5 2" xfId="17851" xr:uid="{00000000-0005-0000-0000-0000EA5A0000}"/>
    <cellStyle name="Note 27 2 6" xfId="15857" xr:uid="{00000000-0005-0000-0000-0000EB5A0000}"/>
    <cellStyle name="Note 27 3" xfId="11548" xr:uid="{00000000-0005-0000-0000-0000EC5A0000}"/>
    <cellStyle name="Note 27 3 2" xfId="22836" xr:uid="{00000000-0005-0000-0000-0000ED5A0000}"/>
    <cellStyle name="Note 27 4" xfId="9554" xr:uid="{00000000-0005-0000-0000-0000EE5A0000}"/>
    <cellStyle name="Note 27 4 2" xfId="20842" xr:uid="{00000000-0005-0000-0000-0000EF5A0000}"/>
    <cellStyle name="Note 27 5" xfId="7560" xr:uid="{00000000-0005-0000-0000-0000F05A0000}"/>
    <cellStyle name="Note 27 5 2" xfId="18848" xr:uid="{00000000-0005-0000-0000-0000F15A0000}"/>
    <cellStyle name="Note 27 6" xfId="5566" xr:uid="{00000000-0005-0000-0000-0000F25A0000}"/>
    <cellStyle name="Note 27 6 2" xfId="16854" xr:uid="{00000000-0005-0000-0000-0000F35A0000}"/>
    <cellStyle name="Note 27 7" xfId="14860" xr:uid="{00000000-0005-0000-0000-0000F45A0000}"/>
    <cellStyle name="Note 27 8" xfId="13544" xr:uid="{00000000-0005-0000-0000-0000F55A0000}"/>
    <cellStyle name="Note 28" xfId="3333" xr:uid="{00000000-0005-0000-0000-0000F65A0000}"/>
    <cellStyle name="Note 28 2" xfId="4567" xr:uid="{00000000-0005-0000-0000-0000F75A0000}"/>
    <cellStyle name="Note 28 2 2" xfId="12546" xr:uid="{00000000-0005-0000-0000-0000F85A0000}"/>
    <cellStyle name="Note 28 2 2 2" xfId="23834" xr:uid="{00000000-0005-0000-0000-0000F95A0000}"/>
    <cellStyle name="Note 28 2 3" xfId="10552" xr:uid="{00000000-0005-0000-0000-0000FA5A0000}"/>
    <cellStyle name="Note 28 2 3 2" xfId="21840" xr:uid="{00000000-0005-0000-0000-0000FB5A0000}"/>
    <cellStyle name="Note 28 2 4" xfId="8558" xr:uid="{00000000-0005-0000-0000-0000FC5A0000}"/>
    <cellStyle name="Note 28 2 4 2" xfId="19846" xr:uid="{00000000-0005-0000-0000-0000FD5A0000}"/>
    <cellStyle name="Note 28 2 5" xfId="6564" xr:uid="{00000000-0005-0000-0000-0000FE5A0000}"/>
    <cellStyle name="Note 28 2 5 2" xfId="17852" xr:uid="{00000000-0005-0000-0000-0000FF5A0000}"/>
    <cellStyle name="Note 28 2 6" xfId="15858" xr:uid="{00000000-0005-0000-0000-0000005B0000}"/>
    <cellStyle name="Note 28 3" xfId="11549" xr:uid="{00000000-0005-0000-0000-0000015B0000}"/>
    <cellStyle name="Note 28 3 2" xfId="22837" xr:uid="{00000000-0005-0000-0000-0000025B0000}"/>
    <cellStyle name="Note 28 4" xfId="9555" xr:uid="{00000000-0005-0000-0000-0000035B0000}"/>
    <cellStyle name="Note 28 4 2" xfId="20843" xr:uid="{00000000-0005-0000-0000-0000045B0000}"/>
    <cellStyle name="Note 28 5" xfId="7561" xr:uid="{00000000-0005-0000-0000-0000055B0000}"/>
    <cellStyle name="Note 28 5 2" xfId="18849" xr:uid="{00000000-0005-0000-0000-0000065B0000}"/>
    <cellStyle name="Note 28 6" xfId="5567" xr:uid="{00000000-0005-0000-0000-0000075B0000}"/>
    <cellStyle name="Note 28 6 2" xfId="16855" xr:uid="{00000000-0005-0000-0000-0000085B0000}"/>
    <cellStyle name="Note 28 7" xfId="14861" xr:uid="{00000000-0005-0000-0000-0000095B0000}"/>
    <cellStyle name="Note 28 8" xfId="13545" xr:uid="{00000000-0005-0000-0000-00000A5B0000}"/>
    <cellStyle name="Note 29" xfId="3334" xr:uid="{00000000-0005-0000-0000-00000B5B0000}"/>
    <cellStyle name="Note 29 2" xfId="4568" xr:uid="{00000000-0005-0000-0000-00000C5B0000}"/>
    <cellStyle name="Note 29 2 2" xfId="12547" xr:uid="{00000000-0005-0000-0000-00000D5B0000}"/>
    <cellStyle name="Note 29 2 2 2" xfId="23835" xr:uid="{00000000-0005-0000-0000-00000E5B0000}"/>
    <cellStyle name="Note 29 2 3" xfId="10553" xr:uid="{00000000-0005-0000-0000-00000F5B0000}"/>
    <cellStyle name="Note 29 2 3 2" xfId="21841" xr:uid="{00000000-0005-0000-0000-0000105B0000}"/>
    <cellStyle name="Note 29 2 4" xfId="8559" xr:uid="{00000000-0005-0000-0000-0000115B0000}"/>
    <cellStyle name="Note 29 2 4 2" xfId="19847" xr:uid="{00000000-0005-0000-0000-0000125B0000}"/>
    <cellStyle name="Note 29 2 5" xfId="6565" xr:uid="{00000000-0005-0000-0000-0000135B0000}"/>
    <cellStyle name="Note 29 2 5 2" xfId="17853" xr:uid="{00000000-0005-0000-0000-0000145B0000}"/>
    <cellStyle name="Note 29 2 6" xfId="15859" xr:uid="{00000000-0005-0000-0000-0000155B0000}"/>
    <cellStyle name="Note 29 3" xfId="11550" xr:uid="{00000000-0005-0000-0000-0000165B0000}"/>
    <cellStyle name="Note 29 3 2" xfId="22838" xr:uid="{00000000-0005-0000-0000-0000175B0000}"/>
    <cellStyle name="Note 29 4" xfId="9556" xr:uid="{00000000-0005-0000-0000-0000185B0000}"/>
    <cellStyle name="Note 29 4 2" xfId="20844" xr:uid="{00000000-0005-0000-0000-0000195B0000}"/>
    <cellStyle name="Note 29 5" xfId="7562" xr:uid="{00000000-0005-0000-0000-00001A5B0000}"/>
    <cellStyle name="Note 29 5 2" xfId="18850" xr:uid="{00000000-0005-0000-0000-00001B5B0000}"/>
    <cellStyle name="Note 29 6" xfId="5568" xr:uid="{00000000-0005-0000-0000-00001C5B0000}"/>
    <cellStyle name="Note 29 6 2" xfId="16856" xr:uid="{00000000-0005-0000-0000-00001D5B0000}"/>
    <cellStyle name="Note 29 7" xfId="14862" xr:uid="{00000000-0005-0000-0000-00001E5B0000}"/>
    <cellStyle name="Note 29 8" xfId="13546" xr:uid="{00000000-0005-0000-0000-00001F5B0000}"/>
    <cellStyle name="Note 3" xfId="3335" xr:uid="{00000000-0005-0000-0000-0000205B0000}"/>
    <cellStyle name="Note 3 10" xfId="25074" xr:uid="{00000000-0005-0000-0000-0000215B0000}"/>
    <cellStyle name="Note 3 10 2" xfId="25408" xr:uid="{00000000-0005-0000-0000-0000225B0000}"/>
    <cellStyle name="Note 3 10 3" xfId="25678" xr:uid="{00000000-0005-0000-0000-0000235B0000}"/>
    <cellStyle name="Note 3 2" xfId="4569" xr:uid="{00000000-0005-0000-0000-0000245B0000}"/>
    <cellStyle name="Note 3 2 2" xfId="12548" xr:uid="{00000000-0005-0000-0000-0000255B0000}"/>
    <cellStyle name="Note 3 2 2 2" xfId="23836" xr:uid="{00000000-0005-0000-0000-0000265B0000}"/>
    <cellStyle name="Note 3 2 3" xfId="10554" xr:uid="{00000000-0005-0000-0000-0000275B0000}"/>
    <cellStyle name="Note 3 2 3 2" xfId="21842" xr:uid="{00000000-0005-0000-0000-0000285B0000}"/>
    <cellStyle name="Note 3 2 4" xfId="8560" xr:uid="{00000000-0005-0000-0000-0000295B0000}"/>
    <cellStyle name="Note 3 2 4 2" xfId="19848" xr:uid="{00000000-0005-0000-0000-00002A5B0000}"/>
    <cellStyle name="Note 3 2 5" xfId="6566" xr:uid="{00000000-0005-0000-0000-00002B5B0000}"/>
    <cellStyle name="Note 3 2 5 2" xfId="17854" xr:uid="{00000000-0005-0000-0000-00002C5B0000}"/>
    <cellStyle name="Note 3 2 6" xfId="15860" xr:uid="{00000000-0005-0000-0000-00002D5B0000}"/>
    <cellStyle name="Note 3 2 7" xfId="24191" xr:uid="{00000000-0005-0000-0000-00002E5B0000}"/>
    <cellStyle name="Note 3 2 7 2" xfId="25427" xr:uid="{00000000-0005-0000-0000-00002F5B0000}"/>
    <cellStyle name="Note 3 2 7 3" xfId="25566" xr:uid="{00000000-0005-0000-0000-0000305B0000}"/>
    <cellStyle name="Note 3 2 8" xfId="25075" xr:uid="{00000000-0005-0000-0000-0000315B0000}"/>
    <cellStyle name="Note 3 2 8 2" xfId="25321" xr:uid="{00000000-0005-0000-0000-0000325B0000}"/>
    <cellStyle name="Note 3 2 8 3" xfId="25679" xr:uid="{00000000-0005-0000-0000-0000335B0000}"/>
    <cellStyle name="Note 3 3" xfId="11551" xr:uid="{00000000-0005-0000-0000-0000345B0000}"/>
    <cellStyle name="Note 3 3 2" xfId="22839" xr:uid="{00000000-0005-0000-0000-0000355B0000}"/>
    <cellStyle name="Note 3 4" xfId="9557" xr:uid="{00000000-0005-0000-0000-0000365B0000}"/>
    <cellStyle name="Note 3 4 2" xfId="20845" xr:uid="{00000000-0005-0000-0000-0000375B0000}"/>
    <cellStyle name="Note 3 5" xfId="7563" xr:uid="{00000000-0005-0000-0000-0000385B0000}"/>
    <cellStyle name="Note 3 5 2" xfId="18851" xr:uid="{00000000-0005-0000-0000-0000395B0000}"/>
    <cellStyle name="Note 3 6" xfId="5569" xr:uid="{00000000-0005-0000-0000-00003A5B0000}"/>
    <cellStyle name="Note 3 6 2" xfId="16857" xr:uid="{00000000-0005-0000-0000-00003B5B0000}"/>
    <cellStyle name="Note 3 7" xfId="14863" xr:uid="{00000000-0005-0000-0000-00003C5B0000}"/>
    <cellStyle name="Note 3 8" xfId="13547" xr:uid="{00000000-0005-0000-0000-00003D5B0000}"/>
    <cellStyle name="Note 3 9" xfId="24190" xr:uid="{00000000-0005-0000-0000-00003E5B0000}"/>
    <cellStyle name="Note 3 9 2" xfId="25326" xr:uid="{00000000-0005-0000-0000-00003F5B0000}"/>
    <cellStyle name="Note 3 9 3" xfId="25565" xr:uid="{00000000-0005-0000-0000-0000405B0000}"/>
    <cellStyle name="Note 30" xfId="3336" xr:uid="{00000000-0005-0000-0000-0000415B0000}"/>
    <cellStyle name="Note 30 2" xfId="4570" xr:uid="{00000000-0005-0000-0000-0000425B0000}"/>
    <cellStyle name="Note 30 2 2" xfId="12549" xr:uid="{00000000-0005-0000-0000-0000435B0000}"/>
    <cellStyle name="Note 30 2 2 2" xfId="23837" xr:uid="{00000000-0005-0000-0000-0000445B0000}"/>
    <cellStyle name="Note 30 2 3" xfId="10555" xr:uid="{00000000-0005-0000-0000-0000455B0000}"/>
    <cellStyle name="Note 30 2 3 2" xfId="21843" xr:uid="{00000000-0005-0000-0000-0000465B0000}"/>
    <cellStyle name="Note 30 2 4" xfId="8561" xr:uid="{00000000-0005-0000-0000-0000475B0000}"/>
    <cellStyle name="Note 30 2 4 2" xfId="19849" xr:uid="{00000000-0005-0000-0000-0000485B0000}"/>
    <cellStyle name="Note 30 2 5" xfId="6567" xr:uid="{00000000-0005-0000-0000-0000495B0000}"/>
    <cellStyle name="Note 30 2 5 2" xfId="17855" xr:uid="{00000000-0005-0000-0000-00004A5B0000}"/>
    <cellStyle name="Note 30 2 6" xfId="15861" xr:uid="{00000000-0005-0000-0000-00004B5B0000}"/>
    <cellStyle name="Note 30 3" xfId="11552" xr:uid="{00000000-0005-0000-0000-00004C5B0000}"/>
    <cellStyle name="Note 30 3 2" xfId="22840" xr:uid="{00000000-0005-0000-0000-00004D5B0000}"/>
    <cellStyle name="Note 30 4" xfId="9558" xr:uid="{00000000-0005-0000-0000-00004E5B0000}"/>
    <cellStyle name="Note 30 4 2" xfId="20846" xr:uid="{00000000-0005-0000-0000-00004F5B0000}"/>
    <cellStyle name="Note 30 5" xfId="7564" xr:uid="{00000000-0005-0000-0000-0000505B0000}"/>
    <cellStyle name="Note 30 5 2" xfId="18852" xr:uid="{00000000-0005-0000-0000-0000515B0000}"/>
    <cellStyle name="Note 30 6" xfId="5570" xr:uid="{00000000-0005-0000-0000-0000525B0000}"/>
    <cellStyle name="Note 30 6 2" xfId="16858" xr:uid="{00000000-0005-0000-0000-0000535B0000}"/>
    <cellStyle name="Note 30 7" xfId="14864" xr:uid="{00000000-0005-0000-0000-0000545B0000}"/>
    <cellStyle name="Note 30 8" xfId="13548" xr:uid="{00000000-0005-0000-0000-0000555B0000}"/>
    <cellStyle name="Note 31" xfId="3337" xr:uid="{00000000-0005-0000-0000-0000565B0000}"/>
    <cellStyle name="Note 31 2" xfId="4571" xr:uid="{00000000-0005-0000-0000-0000575B0000}"/>
    <cellStyle name="Note 31 2 2" xfId="12550" xr:uid="{00000000-0005-0000-0000-0000585B0000}"/>
    <cellStyle name="Note 31 2 2 2" xfId="23838" xr:uid="{00000000-0005-0000-0000-0000595B0000}"/>
    <cellStyle name="Note 31 2 3" xfId="10556" xr:uid="{00000000-0005-0000-0000-00005A5B0000}"/>
    <cellStyle name="Note 31 2 3 2" xfId="21844" xr:uid="{00000000-0005-0000-0000-00005B5B0000}"/>
    <cellStyle name="Note 31 2 4" xfId="8562" xr:uid="{00000000-0005-0000-0000-00005C5B0000}"/>
    <cellStyle name="Note 31 2 4 2" xfId="19850" xr:uid="{00000000-0005-0000-0000-00005D5B0000}"/>
    <cellStyle name="Note 31 2 5" xfId="6568" xr:uid="{00000000-0005-0000-0000-00005E5B0000}"/>
    <cellStyle name="Note 31 2 5 2" xfId="17856" xr:uid="{00000000-0005-0000-0000-00005F5B0000}"/>
    <cellStyle name="Note 31 2 6" xfId="15862" xr:uid="{00000000-0005-0000-0000-0000605B0000}"/>
    <cellStyle name="Note 31 3" xfId="11553" xr:uid="{00000000-0005-0000-0000-0000615B0000}"/>
    <cellStyle name="Note 31 3 2" xfId="22841" xr:uid="{00000000-0005-0000-0000-0000625B0000}"/>
    <cellStyle name="Note 31 4" xfId="9559" xr:uid="{00000000-0005-0000-0000-0000635B0000}"/>
    <cellStyle name="Note 31 4 2" xfId="20847" xr:uid="{00000000-0005-0000-0000-0000645B0000}"/>
    <cellStyle name="Note 31 5" xfId="7565" xr:uid="{00000000-0005-0000-0000-0000655B0000}"/>
    <cellStyle name="Note 31 5 2" xfId="18853" xr:uid="{00000000-0005-0000-0000-0000665B0000}"/>
    <cellStyle name="Note 31 6" xfId="5571" xr:uid="{00000000-0005-0000-0000-0000675B0000}"/>
    <cellStyle name="Note 31 6 2" xfId="16859" xr:uid="{00000000-0005-0000-0000-0000685B0000}"/>
    <cellStyle name="Note 31 7" xfId="14865" xr:uid="{00000000-0005-0000-0000-0000695B0000}"/>
    <cellStyle name="Note 31 8" xfId="13549" xr:uid="{00000000-0005-0000-0000-00006A5B0000}"/>
    <cellStyle name="Note 32" xfId="3338" xr:uid="{00000000-0005-0000-0000-00006B5B0000}"/>
    <cellStyle name="Note 32 2" xfId="4572" xr:uid="{00000000-0005-0000-0000-00006C5B0000}"/>
    <cellStyle name="Note 32 2 2" xfId="12551" xr:uid="{00000000-0005-0000-0000-00006D5B0000}"/>
    <cellStyle name="Note 32 2 2 2" xfId="23839" xr:uid="{00000000-0005-0000-0000-00006E5B0000}"/>
    <cellStyle name="Note 32 2 3" xfId="10557" xr:uid="{00000000-0005-0000-0000-00006F5B0000}"/>
    <cellStyle name="Note 32 2 3 2" xfId="21845" xr:uid="{00000000-0005-0000-0000-0000705B0000}"/>
    <cellStyle name="Note 32 2 4" xfId="8563" xr:uid="{00000000-0005-0000-0000-0000715B0000}"/>
    <cellStyle name="Note 32 2 4 2" xfId="19851" xr:uid="{00000000-0005-0000-0000-0000725B0000}"/>
    <cellStyle name="Note 32 2 5" xfId="6569" xr:uid="{00000000-0005-0000-0000-0000735B0000}"/>
    <cellStyle name="Note 32 2 5 2" xfId="17857" xr:uid="{00000000-0005-0000-0000-0000745B0000}"/>
    <cellStyle name="Note 32 2 6" xfId="15863" xr:uid="{00000000-0005-0000-0000-0000755B0000}"/>
    <cellStyle name="Note 32 3" xfId="11554" xr:uid="{00000000-0005-0000-0000-0000765B0000}"/>
    <cellStyle name="Note 32 3 2" xfId="22842" xr:uid="{00000000-0005-0000-0000-0000775B0000}"/>
    <cellStyle name="Note 32 4" xfId="9560" xr:uid="{00000000-0005-0000-0000-0000785B0000}"/>
    <cellStyle name="Note 32 4 2" xfId="20848" xr:uid="{00000000-0005-0000-0000-0000795B0000}"/>
    <cellStyle name="Note 32 5" xfId="7566" xr:uid="{00000000-0005-0000-0000-00007A5B0000}"/>
    <cellStyle name="Note 32 5 2" xfId="18854" xr:uid="{00000000-0005-0000-0000-00007B5B0000}"/>
    <cellStyle name="Note 32 6" xfId="5572" xr:uid="{00000000-0005-0000-0000-00007C5B0000}"/>
    <cellStyle name="Note 32 6 2" xfId="16860" xr:uid="{00000000-0005-0000-0000-00007D5B0000}"/>
    <cellStyle name="Note 32 7" xfId="14866" xr:uid="{00000000-0005-0000-0000-00007E5B0000}"/>
    <cellStyle name="Note 32 8" xfId="13550" xr:uid="{00000000-0005-0000-0000-00007F5B0000}"/>
    <cellStyle name="Note 33" xfId="3339" xr:uid="{00000000-0005-0000-0000-0000805B0000}"/>
    <cellStyle name="Note 33 2" xfId="4573" xr:uid="{00000000-0005-0000-0000-0000815B0000}"/>
    <cellStyle name="Note 33 2 2" xfId="12552" xr:uid="{00000000-0005-0000-0000-0000825B0000}"/>
    <cellStyle name="Note 33 2 2 2" xfId="23840" xr:uid="{00000000-0005-0000-0000-0000835B0000}"/>
    <cellStyle name="Note 33 2 3" xfId="10558" xr:uid="{00000000-0005-0000-0000-0000845B0000}"/>
    <cellStyle name="Note 33 2 3 2" xfId="21846" xr:uid="{00000000-0005-0000-0000-0000855B0000}"/>
    <cellStyle name="Note 33 2 4" xfId="8564" xr:uid="{00000000-0005-0000-0000-0000865B0000}"/>
    <cellStyle name="Note 33 2 4 2" xfId="19852" xr:uid="{00000000-0005-0000-0000-0000875B0000}"/>
    <cellStyle name="Note 33 2 5" xfId="6570" xr:uid="{00000000-0005-0000-0000-0000885B0000}"/>
    <cellStyle name="Note 33 2 5 2" xfId="17858" xr:uid="{00000000-0005-0000-0000-0000895B0000}"/>
    <cellStyle name="Note 33 2 6" xfId="15864" xr:uid="{00000000-0005-0000-0000-00008A5B0000}"/>
    <cellStyle name="Note 33 3" xfId="11555" xr:uid="{00000000-0005-0000-0000-00008B5B0000}"/>
    <cellStyle name="Note 33 3 2" xfId="22843" xr:uid="{00000000-0005-0000-0000-00008C5B0000}"/>
    <cellStyle name="Note 33 4" xfId="9561" xr:uid="{00000000-0005-0000-0000-00008D5B0000}"/>
    <cellStyle name="Note 33 4 2" xfId="20849" xr:uid="{00000000-0005-0000-0000-00008E5B0000}"/>
    <cellStyle name="Note 33 5" xfId="7567" xr:uid="{00000000-0005-0000-0000-00008F5B0000}"/>
    <cellStyle name="Note 33 5 2" xfId="18855" xr:uid="{00000000-0005-0000-0000-0000905B0000}"/>
    <cellStyle name="Note 33 6" xfId="5573" xr:uid="{00000000-0005-0000-0000-0000915B0000}"/>
    <cellStyle name="Note 33 6 2" xfId="16861" xr:uid="{00000000-0005-0000-0000-0000925B0000}"/>
    <cellStyle name="Note 33 7" xfId="14867" xr:uid="{00000000-0005-0000-0000-0000935B0000}"/>
    <cellStyle name="Note 33 8" xfId="13551" xr:uid="{00000000-0005-0000-0000-0000945B0000}"/>
    <cellStyle name="Note 34" xfId="3340" xr:uid="{00000000-0005-0000-0000-0000955B0000}"/>
    <cellStyle name="Note 34 2" xfId="4574" xr:uid="{00000000-0005-0000-0000-0000965B0000}"/>
    <cellStyle name="Note 34 2 2" xfId="12553" xr:uid="{00000000-0005-0000-0000-0000975B0000}"/>
    <cellStyle name="Note 34 2 2 2" xfId="23841" xr:uid="{00000000-0005-0000-0000-0000985B0000}"/>
    <cellStyle name="Note 34 2 3" xfId="10559" xr:uid="{00000000-0005-0000-0000-0000995B0000}"/>
    <cellStyle name="Note 34 2 3 2" xfId="21847" xr:uid="{00000000-0005-0000-0000-00009A5B0000}"/>
    <cellStyle name="Note 34 2 4" xfId="8565" xr:uid="{00000000-0005-0000-0000-00009B5B0000}"/>
    <cellStyle name="Note 34 2 4 2" xfId="19853" xr:uid="{00000000-0005-0000-0000-00009C5B0000}"/>
    <cellStyle name="Note 34 2 5" xfId="6571" xr:uid="{00000000-0005-0000-0000-00009D5B0000}"/>
    <cellStyle name="Note 34 2 5 2" xfId="17859" xr:uid="{00000000-0005-0000-0000-00009E5B0000}"/>
    <cellStyle name="Note 34 2 6" xfId="15865" xr:uid="{00000000-0005-0000-0000-00009F5B0000}"/>
    <cellStyle name="Note 34 3" xfId="11556" xr:uid="{00000000-0005-0000-0000-0000A05B0000}"/>
    <cellStyle name="Note 34 3 2" xfId="22844" xr:uid="{00000000-0005-0000-0000-0000A15B0000}"/>
    <cellStyle name="Note 34 4" xfId="9562" xr:uid="{00000000-0005-0000-0000-0000A25B0000}"/>
    <cellStyle name="Note 34 4 2" xfId="20850" xr:uid="{00000000-0005-0000-0000-0000A35B0000}"/>
    <cellStyle name="Note 34 5" xfId="7568" xr:uid="{00000000-0005-0000-0000-0000A45B0000}"/>
    <cellStyle name="Note 34 5 2" xfId="18856" xr:uid="{00000000-0005-0000-0000-0000A55B0000}"/>
    <cellStyle name="Note 34 6" xfId="5574" xr:uid="{00000000-0005-0000-0000-0000A65B0000}"/>
    <cellStyle name="Note 34 6 2" xfId="16862" xr:uid="{00000000-0005-0000-0000-0000A75B0000}"/>
    <cellStyle name="Note 34 7" xfId="14868" xr:uid="{00000000-0005-0000-0000-0000A85B0000}"/>
    <cellStyle name="Note 34 8" xfId="13552" xr:uid="{00000000-0005-0000-0000-0000A95B0000}"/>
    <cellStyle name="Note 35" xfId="3341" xr:uid="{00000000-0005-0000-0000-0000AA5B0000}"/>
    <cellStyle name="Note 35 2" xfId="4575" xr:uid="{00000000-0005-0000-0000-0000AB5B0000}"/>
    <cellStyle name="Note 35 2 2" xfId="12554" xr:uid="{00000000-0005-0000-0000-0000AC5B0000}"/>
    <cellStyle name="Note 35 2 2 2" xfId="23842" xr:uid="{00000000-0005-0000-0000-0000AD5B0000}"/>
    <cellStyle name="Note 35 2 3" xfId="10560" xr:uid="{00000000-0005-0000-0000-0000AE5B0000}"/>
    <cellStyle name="Note 35 2 3 2" xfId="21848" xr:uid="{00000000-0005-0000-0000-0000AF5B0000}"/>
    <cellStyle name="Note 35 2 4" xfId="8566" xr:uid="{00000000-0005-0000-0000-0000B05B0000}"/>
    <cellStyle name="Note 35 2 4 2" xfId="19854" xr:uid="{00000000-0005-0000-0000-0000B15B0000}"/>
    <cellStyle name="Note 35 2 5" xfId="6572" xr:uid="{00000000-0005-0000-0000-0000B25B0000}"/>
    <cellStyle name="Note 35 2 5 2" xfId="17860" xr:uid="{00000000-0005-0000-0000-0000B35B0000}"/>
    <cellStyle name="Note 35 2 6" xfId="15866" xr:uid="{00000000-0005-0000-0000-0000B45B0000}"/>
    <cellStyle name="Note 35 3" xfId="11557" xr:uid="{00000000-0005-0000-0000-0000B55B0000}"/>
    <cellStyle name="Note 35 3 2" xfId="22845" xr:uid="{00000000-0005-0000-0000-0000B65B0000}"/>
    <cellStyle name="Note 35 4" xfId="9563" xr:uid="{00000000-0005-0000-0000-0000B75B0000}"/>
    <cellStyle name="Note 35 4 2" xfId="20851" xr:uid="{00000000-0005-0000-0000-0000B85B0000}"/>
    <cellStyle name="Note 35 5" xfId="7569" xr:uid="{00000000-0005-0000-0000-0000B95B0000}"/>
    <cellStyle name="Note 35 5 2" xfId="18857" xr:uid="{00000000-0005-0000-0000-0000BA5B0000}"/>
    <cellStyle name="Note 35 6" xfId="5575" xr:uid="{00000000-0005-0000-0000-0000BB5B0000}"/>
    <cellStyle name="Note 35 6 2" xfId="16863" xr:uid="{00000000-0005-0000-0000-0000BC5B0000}"/>
    <cellStyle name="Note 35 7" xfId="14869" xr:uid="{00000000-0005-0000-0000-0000BD5B0000}"/>
    <cellStyle name="Note 35 8" xfId="13553" xr:uid="{00000000-0005-0000-0000-0000BE5B0000}"/>
    <cellStyle name="Note 36" xfId="3342" xr:uid="{00000000-0005-0000-0000-0000BF5B0000}"/>
    <cellStyle name="Note 36 2" xfId="4576" xr:uid="{00000000-0005-0000-0000-0000C05B0000}"/>
    <cellStyle name="Note 36 2 2" xfId="12555" xr:uid="{00000000-0005-0000-0000-0000C15B0000}"/>
    <cellStyle name="Note 36 2 2 2" xfId="23843" xr:uid="{00000000-0005-0000-0000-0000C25B0000}"/>
    <cellStyle name="Note 36 2 3" xfId="10561" xr:uid="{00000000-0005-0000-0000-0000C35B0000}"/>
    <cellStyle name="Note 36 2 3 2" xfId="21849" xr:uid="{00000000-0005-0000-0000-0000C45B0000}"/>
    <cellStyle name="Note 36 2 4" xfId="8567" xr:uid="{00000000-0005-0000-0000-0000C55B0000}"/>
    <cellStyle name="Note 36 2 4 2" xfId="19855" xr:uid="{00000000-0005-0000-0000-0000C65B0000}"/>
    <cellStyle name="Note 36 2 5" xfId="6573" xr:uid="{00000000-0005-0000-0000-0000C75B0000}"/>
    <cellStyle name="Note 36 2 5 2" xfId="17861" xr:uid="{00000000-0005-0000-0000-0000C85B0000}"/>
    <cellStyle name="Note 36 2 6" xfId="15867" xr:uid="{00000000-0005-0000-0000-0000C95B0000}"/>
    <cellStyle name="Note 36 3" xfId="11558" xr:uid="{00000000-0005-0000-0000-0000CA5B0000}"/>
    <cellStyle name="Note 36 3 2" xfId="22846" xr:uid="{00000000-0005-0000-0000-0000CB5B0000}"/>
    <cellStyle name="Note 36 4" xfId="9564" xr:uid="{00000000-0005-0000-0000-0000CC5B0000}"/>
    <cellStyle name="Note 36 4 2" xfId="20852" xr:uid="{00000000-0005-0000-0000-0000CD5B0000}"/>
    <cellStyle name="Note 36 5" xfId="7570" xr:uid="{00000000-0005-0000-0000-0000CE5B0000}"/>
    <cellStyle name="Note 36 5 2" xfId="18858" xr:uid="{00000000-0005-0000-0000-0000CF5B0000}"/>
    <cellStyle name="Note 36 6" xfId="5576" xr:uid="{00000000-0005-0000-0000-0000D05B0000}"/>
    <cellStyle name="Note 36 6 2" xfId="16864" xr:uid="{00000000-0005-0000-0000-0000D15B0000}"/>
    <cellStyle name="Note 36 7" xfId="14870" xr:uid="{00000000-0005-0000-0000-0000D25B0000}"/>
    <cellStyle name="Note 36 8" xfId="13554" xr:uid="{00000000-0005-0000-0000-0000D35B0000}"/>
    <cellStyle name="Note 37" xfId="3343" xr:uid="{00000000-0005-0000-0000-0000D45B0000}"/>
    <cellStyle name="Note 37 2" xfId="4577" xr:uid="{00000000-0005-0000-0000-0000D55B0000}"/>
    <cellStyle name="Note 37 2 2" xfId="12556" xr:uid="{00000000-0005-0000-0000-0000D65B0000}"/>
    <cellStyle name="Note 37 2 2 2" xfId="23844" xr:uid="{00000000-0005-0000-0000-0000D75B0000}"/>
    <cellStyle name="Note 37 2 3" xfId="10562" xr:uid="{00000000-0005-0000-0000-0000D85B0000}"/>
    <cellStyle name="Note 37 2 3 2" xfId="21850" xr:uid="{00000000-0005-0000-0000-0000D95B0000}"/>
    <cellStyle name="Note 37 2 4" xfId="8568" xr:uid="{00000000-0005-0000-0000-0000DA5B0000}"/>
    <cellStyle name="Note 37 2 4 2" xfId="19856" xr:uid="{00000000-0005-0000-0000-0000DB5B0000}"/>
    <cellStyle name="Note 37 2 5" xfId="6574" xr:uid="{00000000-0005-0000-0000-0000DC5B0000}"/>
    <cellStyle name="Note 37 2 5 2" xfId="17862" xr:uid="{00000000-0005-0000-0000-0000DD5B0000}"/>
    <cellStyle name="Note 37 2 6" xfId="15868" xr:uid="{00000000-0005-0000-0000-0000DE5B0000}"/>
    <cellStyle name="Note 37 3" xfId="11559" xr:uid="{00000000-0005-0000-0000-0000DF5B0000}"/>
    <cellStyle name="Note 37 3 2" xfId="22847" xr:uid="{00000000-0005-0000-0000-0000E05B0000}"/>
    <cellStyle name="Note 37 4" xfId="9565" xr:uid="{00000000-0005-0000-0000-0000E15B0000}"/>
    <cellStyle name="Note 37 4 2" xfId="20853" xr:uid="{00000000-0005-0000-0000-0000E25B0000}"/>
    <cellStyle name="Note 37 5" xfId="7571" xr:uid="{00000000-0005-0000-0000-0000E35B0000}"/>
    <cellStyle name="Note 37 5 2" xfId="18859" xr:uid="{00000000-0005-0000-0000-0000E45B0000}"/>
    <cellStyle name="Note 37 6" xfId="5577" xr:uid="{00000000-0005-0000-0000-0000E55B0000}"/>
    <cellStyle name="Note 37 6 2" xfId="16865" xr:uid="{00000000-0005-0000-0000-0000E65B0000}"/>
    <cellStyle name="Note 37 7" xfId="14871" xr:uid="{00000000-0005-0000-0000-0000E75B0000}"/>
    <cellStyle name="Note 37 8" xfId="13555" xr:uid="{00000000-0005-0000-0000-0000E85B0000}"/>
    <cellStyle name="Note 38" xfId="3344" xr:uid="{00000000-0005-0000-0000-0000E95B0000}"/>
    <cellStyle name="Note 38 2" xfId="4578" xr:uid="{00000000-0005-0000-0000-0000EA5B0000}"/>
    <cellStyle name="Note 38 2 2" xfId="12557" xr:uid="{00000000-0005-0000-0000-0000EB5B0000}"/>
    <cellStyle name="Note 38 2 2 2" xfId="23845" xr:uid="{00000000-0005-0000-0000-0000EC5B0000}"/>
    <cellStyle name="Note 38 2 3" xfId="10563" xr:uid="{00000000-0005-0000-0000-0000ED5B0000}"/>
    <cellStyle name="Note 38 2 3 2" xfId="21851" xr:uid="{00000000-0005-0000-0000-0000EE5B0000}"/>
    <cellStyle name="Note 38 2 4" xfId="8569" xr:uid="{00000000-0005-0000-0000-0000EF5B0000}"/>
    <cellStyle name="Note 38 2 4 2" xfId="19857" xr:uid="{00000000-0005-0000-0000-0000F05B0000}"/>
    <cellStyle name="Note 38 2 5" xfId="6575" xr:uid="{00000000-0005-0000-0000-0000F15B0000}"/>
    <cellStyle name="Note 38 2 5 2" xfId="17863" xr:uid="{00000000-0005-0000-0000-0000F25B0000}"/>
    <cellStyle name="Note 38 2 6" xfId="15869" xr:uid="{00000000-0005-0000-0000-0000F35B0000}"/>
    <cellStyle name="Note 38 3" xfId="11560" xr:uid="{00000000-0005-0000-0000-0000F45B0000}"/>
    <cellStyle name="Note 38 3 2" xfId="22848" xr:uid="{00000000-0005-0000-0000-0000F55B0000}"/>
    <cellStyle name="Note 38 4" xfId="9566" xr:uid="{00000000-0005-0000-0000-0000F65B0000}"/>
    <cellStyle name="Note 38 4 2" xfId="20854" xr:uid="{00000000-0005-0000-0000-0000F75B0000}"/>
    <cellStyle name="Note 38 5" xfId="7572" xr:uid="{00000000-0005-0000-0000-0000F85B0000}"/>
    <cellStyle name="Note 38 5 2" xfId="18860" xr:uid="{00000000-0005-0000-0000-0000F95B0000}"/>
    <cellStyle name="Note 38 6" xfId="5578" xr:uid="{00000000-0005-0000-0000-0000FA5B0000}"/>
    <cellStyle name="Note 38 6 2" xfId="16866" xr:uid="{00000000-0005-0000-0000-0000FB5B0000}"/>
    <cellStyle name="Note 38 7" xfId="14872" xr:uid="{00000000-0005-0000-0000-0000FC5B0000}"/>
    <cellStyle name="Note 38 8" xfId="13556" xr:uid="{00000000-0005-0000-0000-0000FD5B0000}"/>
    <cellStyle name="Note 39" xfId="3345" xr:uid="{00000000-0005-0000-0000-0000FE5B0000}"/>
    <cellStyle name="Note 39 2" xfId="4579" xr:uid="{00000000-0005-0000-0000-0000FF5B0000}"/>
    <cellStyle name="Note 39 2 2" xfId="12558" xr:uid="{00000000-0005-0000-0000-0000005C0000}"/>
    <cellStyle name="Note 39 2 2 2" xfId="23846" xr:uid="{00000000-0005-0000-0000-0000015C0000}"/>
    <cellStyle name="Note 39 2 3" xfId="10564" xr:uid="{00000000-0005-0000-0000-0000025C0000}"/>
    <cellStyle name="Note 39 2 3 2" xfId="21852" xr:uid="{00000000-0005-0000-0000-0000035C0000}"/>
    <cellStyle name="Note 39 2 4" xfId="8570" xr:uid="{00000000-0005-0000-0000-0000045C0000}"/>
    <cellStyle name="Note 39 2 4 2" xfId="19858" xr:uid="{00000000-0005-0000-0000-0000055C0000}"/>
    <cellStyle name="Note 39 2 5" xfId="6576" xr:uid="{00000000-0005-0000-0000-0000065C0000}"/>
    <cellStyle name="Note 39 2 5 2" xfId="17864" xr:uid="{00000000-0005-0000-0000-0000075C0000}"/>
    <cellStyle name="Note 39 2 6" xfId="15870" xr:uid="{00000000-0005-0000-0000-0000085C0000}"/>
    <cellStyle name="Note 39 3" xfId="11561" xr:uid="{00000000-0005-0000-0000-0000095C0000}"/>
    <cellStyle name="Note 39 3 2" xfId="22849" xr:uid="{00000000-0005-0000-0000-00000A5C0000}"/>
    <cellStyle name="Note 39 4" xfId="9567" xr:uid="{00000000-0005-0000-0000-00000B5C0000}"/>
    <cellStyle name="Note 39 4 2" xfId="20855" xr:uid="{00000000-0005-0000-0000-00000C5C0000}"/>
    <cellStyle name="Note 39 5" xfId="7573" xr:uid="{00000000-0005-0000-0000-00000D5C0000}"/>
    <cellStyle name="Note 39 5 2" xfId="18861" xr:uid="{00000000-0005-0000-0000-00000E5C0000}"/>
    <cellStyle name="Note 39 6" xfId="5579" xr:uid="{00000000-0005-0000-0000-00000F5C0000}"/>
    <cellStyle name="Note 39 6 2" xfId="16867" xr:uid="{00000000-0005-0000-0000-0000105C0000}"/>
    <cellStyle name="Note 39 7" xfId="14873" xr:uid="{00000000-0005-0000-0000-0000115C0000}"/>
    <cellStyle name="Note 39 8" xfId="13557" xr:uid="{00000000-0005-0000-0000-0000125C0000}"/>
    <cellStyle name="Note 4" xfId="3346" xr:uid="{00000000-0005-0000-0000-0000135C0000}"/>
    <cellStyle name="Note 4 10" xfId="25076" xr:uid="{00000000-0005-0000-0000-0000145C0000}"/>
    <cellStyle name="Note 4 10 2" xfId="25421" xr:uid="{00000000-0005-0000-0000-0000155C0000}"/>
    <cellStyle name="Note 4 10 3" xfId="25680" xr:uid="{00000000-0005-0000-0000-0000165C0000}"/>
    <cellStyle name="Note 4 2" xfId="4580" xr:uid="{00000000-0005-0000-0000-0000175C0000}"/>
    <cellStyle name="Note 4 2 2" xfId="12559" xr:uid="{00000000-0005-0000-0000-0000185C0000}"/>
    <cellStyle name="Note 4 2 2 2" xfId="23847" xr:uid="{00000000-0005-0000-0000-0000195C0000}"/>
    <cellStyle name="Note 4 2 3" xfId="10565" xr:uid="{00000000-0005-0000-0000-00001A5C0000}"/>
    <cellStyle name="Note 4 2 3 2" xfId="21853" xr:uid="{00000000-0005-0000-0000-00001B5C0000}"/>
    <cellStyle name="Note 4 2 4" xfId="8571" xr:uid="{00000000-0005-0000-0000-00001C5C0000}"/>
    <cellStyle name="Note 4 2 4 2" xfId="19859" xr:uid="{00000000-0005-0000-0000-00001D5C0000}"/>
    <cellStyle name="Note 4 2 5" xfId="6577" xr:uid="{00000000-0005-0000-0000-00001E5C0000}"/>
    <cellStyle name="Note 4 2 5 2" xfId="17865" xr:uid="{00000000-0005-0000-0000-00001F5C0000}"/>
    <cellStyle name="Note 4 2 6" xfId="15871" xr:uid="{00000000-0005-0000-0000-0000205C0000}"/>
    <cellStyle name="Note 4 3" xfId="11562" xr:uid="{00000000-0005-0000-0000-0000215C0000}"/>
    <cellStyle name="Note 4 3 2" xfId="22850" xr:uid="{00000000-0005-0000-0000-0000225C0000}"/>
    <cellStyle name="Note 4 4" xfId="9568" xr:uid="{00000000-0005-0000-0000-0000235C0000}"/>
    <cellStyle name="Note 4 4 2" xfId="20856" xr:uid="{00000000-0005-0000-0000-0000245C0000}"/>
    <cellStyle name="Note 4 5" xfId="7574" xr:uid="{00000000-0005-0000-0000-0000255C0000}"/>
    <cellStyle name="Note 4 5 2" xfId="18862" xr:uid="{00000000-0005-0000-0000-0000265C0000}"/>
    <cellStyle name="Note 4 6" xfId="5580" xr:uid="{00000000-0005-0000-0000-0000275C0000}"/>
    <cellStyle name="Note 4 6 2" xfId="16868" xr:uid="{00000000-0005-0000-0000-0000285C0000}"/>
    <cellStyle name="Note 4 7" xfId="14874" xr:uid="{00000000-0005-0000-0000-0000295C0000}"/>
    <cellStyle name="Note 4 8" xfId="13558" xr:uid="{00000000-0005-0000-0000-00002A5C0000}"/>
    <cellStyle name="Note 4 9" xfId="24192" xr:uid="{00000000-0005-0000-0000-00002B5C0000}"/>
    <cellStyle name="Note 4 9 2" xfId="25343" xr:uid="{00000000-0005-0000-0000-00002C5C0000}"/>
    <cellStyle name="Note 4 9 3" xfId="25567" xr:uid="{00000000-0005-0000-0000-00002D5C0000}"/>
    <cellStyle name="Note 40" xfId="3347" xr:uid="{00000000-0005-0000-0000-00002E5C0000}"/>
    <cellStyle name="Note 40 2" xfId="4581" xr:uid="{00000000-0005-0000-0000-00002F5C0000}"/>
    <cellStyle name="Note 40 2 2" xfId="12560" xr:uid="{00000000-0005-0000-0000-0000305C0000}"/>
    <cellStyle name="Note 40 2 2 2" xfId="23848" xr:uid="{00000000-0005-0000-0000-0000315C0000}"/>
    <cellStyle name="Note 40 2 3" xfId="10566" xr:uid="{00000000-0005-0000-0000-0000325C0000}"/>
    <cellStyle name="Note 40 2 3 2" xfId="21854" xr:uid="{00000000-0005-0000-0000-0000335C0000}"/>
    <cellStyle name="Note 40 2 4" xfId="8572" xr:uid="{00000000-0005-0000-0000-0000345C0000}"/>
    <cellStyle name="Note 40 2 4 2" xfId="19860" xr:uid="{00000000-0005-0000-0000-0000355C0000}"/>
    <cellStyle name="Note 40 2 5" xfId="6578" xr:uid="{00000000-0005-0000-0000-0000365C0000}"/>
    <cellStyle name="Note 40 2 5 2" xfId="17866" xr:uid="{00000000-0005-0000-0000-0000375C0000}"/>
    <cellStyle name="Note 40 2 6" xfId="15872" xr:uid="{00000000-0005-0000-0000-0000385C0000}"/>
    <cellStyle name="Note 40 3" xfId="11563" xr:uid="{00000000-0005-0000-0000-0000395C0000}"/>
    <cellStyle name="Note 40 3 2" xfId="22851" xr:uid="{00000000-0005-0000-0000-00003A5C0000}"/>
    <cellStyle name="Note 40 4" xfId="9569" xr:uid="{00000000-0005-0000-0000-00003B5C0000}"/>
    <cellStyle name="Note 40 4 2" xfId="20857" xr:uid="{00000000-0005-0000-0000-00003C5C0000}"/>
    <cellStyle name="Note 40 5" xfId="7575" xr:uid="{00000000-0005-0000-0000-00003D5C0000}"/>
    <cellStyle name="Note 40 5 2" xfId="18863" xr:uid="{00000000-0005-0000-0000-00003E5C0000}"/>
    <cellStyle name="Note 40 6" xfId="5581" xr:uid="{00000000-0005-0000-0000-00003F5C0000}"/>
    <cellStyle name="Note 40 6 2" xfId="16869" xr:uid="{00000000-0005-0000-0000-0000405C0000}"/>
    <cellStyle name="Note 40 7" xfId="14875" xr:uid="{00000000-0005-0000-0000-0000415C0000}"/>
    <cellStyle name="Note 40 8" xfId="13559" xr:uid="{00000000-0005-0000-0000-0000425C0000}"/>
    <cellStyle name="Note 41" xfId="3348" xr:uid="{00000000-0005-0000-0000-0000435C0000}"/>
    <cellStyle name="Note 41 2" xfId="4582" xr:uid="{00000000-0005-0000-0000-0000445C0000}"/>
    <cellStyle name="Note 41 2 2" xfId="12561" xr:uid="{00000000-0005-0000-0000-0000455C0000}"/>
    <cellStyle name="Note 41 2 2 2" xfId="23849" xr:uid="{00000000-0005-0000-0000-0000465C0000}"/>
    <cellStyle name="Note 41 2 3" xfId="10567" xr:uid="{00000000-0005-0000-0000-0000475C0000}"/>
    <cellStyle name="Note 41 2 3 2" xfId="21855" xr:uid="{00000000-0005-0000-0000-0000485C0000}"/>
    <cellStyle name="Note 41 2 4" xfId="8573" xr:uid="{00000000-0005-0000-0000-0000495C0000}"/>
    <cellStyle name="Note 41 2 4 2" xfId="19861" xr:uid="{00000000-0005-0000-0000-00004A5C0000}"/>
    <cellStyle name="Note 41 2 5" xfId="6579" xr:uid="{00000000-0005-0000-0000-00004B5C0000}"/>
    <cellStyle name="Note 41 2 5 2" xfId="17867" xr:uid="{00000000-0005-0000-0000-00004C5C0000}"/>
    <cellStyle name="Note 41 2 6" xfId="15873" xr:uid="{00000000-0005-0000-0000-00004D5C0000}"/>
    <cellStyle name="Note 41 3" xfId="11564" xr:uid="{00000000-0005-0000-0000-00004E5C0000}"/>
    <cellStyle name="Note 41 3 2" xfId="22852" xr:uid="{00000000-0005-0000-0000-00004F5C0000}"/>
    <cellStyle name="Note 41 4" xfId="9570" xr:uid="{00000000-0005-0000-0000-0000505C0000}"/>
    <cellStyle name="Note 41 4 2" xfId="20858" xr:uid="{00000000-0005-0000-0000-0000515C0000}"/>
    <cellStyle name="Note 41 5" xfId="7576" xr:uid="{00000000-0005-0000-0000-0000525C0000}"/>
    <cellStyle name="Note 41 5 2" xfId="18864" xr:uid="{00000000-0005-0000-0000-0000535C0000}"/>
    <cellStyle name="Note 41 6" xfId="5582" xr:uid="{00000000-0005-0000-0000-0000545C0000}"/>
    <cellStyle name="Note 41 6 2" xfId="16870" xr:uid="{00000000-0005-0000-0000-0000555C0000}"/>
    <cellStyle name="Note 41 7" xfId="14876" xr:uid="{00000000-0005-0000-0000-0000565C0000}"/>
    <cellStyle name="Note 41 8" xfId="13560" xr:uid="{00000000-0005-0000-0000-0000575C0000}"/>
    <cellStyle name="Note 42" xfId="3349" xr:uid="{00000000-0005-0000-0000-0000585C0000}"/>
    <cellStyle name="Note 42 2" xfId="4583" xr:uid="{00000000-0005-0000-0000-0000595C0000}"/>
    <cellStyle name="Note 42 2 2" xfId="12562" xr:uid="{00000000-0005-0000-0000-00005A5C0000}"/>
    <cellStyle name="Note 42 2 2 2" xfId="23850" xr:uid="{00000000-0005-0000-0000-00005B5C0000}"/>
    <cellStyle name="Note 42 2 3" xfId="10568" xr:uid="{00000000-0005-0000-0000-00005C5C0000}"/>
    <cellStyle name="Note 42 2 3 2" xfId="21856" xr:uid="{00000000-0005-0000-0000-00005D5C0000}"/>
    <cellStyle name="Note 42 2 4" xfId="8574" xr:uid="{00000000-0005-0000-0000-00005E5C0000}"/>
    <cellStyle name="Note 42 2 4 2" xfId="19862" xr:uid="{00000000-0005-0000-0000-00005F5C0000}"/>
    <cellStyle name="Note 42 2 5" xfId="6580" xr:uid="{00000000-0005-0000-0000-0000605C0000}"/>
    <cellStyle name="Note 42 2 5 2" xfId="17868" xr:uid="{00000000-0005-0000-0000-0000615C0000}"/>
    <cellStyle name="Note 42 2 6" xfId="15874" xr:uid="{00000000-0005-0000-0000-0000625C0000}"/>
    <cellStyle name="Note 42 3" xfId="11565" xr:uid="{00000000-0005-0000-0000-0000635C0000}"/>
    <cellStyle name="Note 42 3 2" xfId="22853" xr:uid="{00000000-0005-0000-0000-0000645C0000}"/>
    <cellStyle name="Note 42 4" xfId="9571" xr:uid="{00000000-0005-0000-0000-0000655C0000}"/>
    <cellStyle name="Note 42 4 2" xfId="20859" xr:uid="{00000000-0005-0000-0000-0000665C0000}"/>
    <cellStyle name="Note 42 5" xfId="7577" xr:uid="{00000000-0005-0000-0000-0000675C0000}"/>
    <cellStyle name="Note 42 5 2" xfId="18865" xr:uid="{00000000-0005-0000-0000-0000685C0000}"/>
    <cellStyle name="Note 42 6" xfId="5583" xr:uid="{00000000-0005-0000-0000-0000695C0000}"/>
    <cellStyle name="Note 42 6 2" xfId="16871" xr:uid="{00000000-0005-0000-0000-00006A5C0000}"/>
    <cellStyle name="Note 42 7" xfId="14877" xr:uid="{00000000-0005-0000-0000-00006B5C0000}"/>
    <cellStyle name="Note 42 8" xfId="13561" xr:uid="{00000000-0005-0000-0000-00006C5C0000}"/>
    <cellStyle name="Note 43" xfId="3350" xr:uid="{00000000-0005-0000-0000-00006D5C0000}"/>
    <cellStyle name="Note 43 2" xfId="4584" xr:uid="{00000000-0005-0000-0000-00006E5C0000}"/>
    <cellStyle name="Note 43 2 2" xfId="12563" xr:uid="{00000000-0005-0000-0000-00006F5C0000}"/>
    <cellStyle name="Note 43 2 2 2" xfId="23851" xr:uid="{00000000-0005-0000-0000-0000705C0000}"/>
    <cellStyle name="Note 43 2 3" xfId="10569" xr:uid="{00000000-0005-0000-0000-0000715C0000}"/>
    <cellStyle name="Note 43 2 3 2" xfId="21857" xr:uid="{00000000-0005-0000-0000-0000725C0000}"/>
    <cellStyle name="Note 43 2 4" xfId="8575" xr:uid="{00000000-0005-0000-0000-0000735C0000}"/>
    <cellStyle name="Note 43 2 4 2" xfId="19863" xr:uid="{00000000-0005-0000-0000-0000745C0000}"/>
    <cellStyle name="Note 43 2 5" xfId="6581" xr:uid="{00000000-0005-0000-0000-0000755C0000}"/>
    <cellStyle name="Note 43 2 5 2" xfId="17869" xr:uid="{00000000-0005-0000-0000-0000765C0000}"/>
    <cellStyle name="Note 43 2 6" xfId="15875" xr:uid="{00000000-0005-0000-0000-0000775C0000}"/>
    <cellStyle name="Note 43 3" xfId="11566" xr:uid="{00000000-0005-0000-0000-0000785C0000}"/>
    <cellStyle name="Note 43 3 2" xfId="22854" xr:uid="{00000000-0005-0000-0000-0000795C0000}"/>
    <cellStyle name="Note 43 4" xfId="9572" xr:uid="{00000000-0005-0000-0000-00007A5C0000}"/>
    <cellStyle name="Note 43 4 2" xfId="20860" xr:uid="{00000000-0005-0000-0000-00007B5C0000}"/>
    <cellStyle name="Note 43 5" xfId="7578" xr:uid="{00000000-0005-0000-0000-00007C5C0000}"/>
    <cellStyle name="Note 43 5 2" xfId="18866" xr:uid="{00000000-0005-0000-0000-00007D5C0000}"/>
    <cellStyle name="Note 43 6" xfId="5584" xr:uid="{00000000-0005-0000-0000-00007E5C0000}"/>
    <cellStyle name="Note 43 6 2" xfId="16872" xr:uid="{00000000-0005-0000-0000-00007F5C0000}"/>
    <cellStyle name="Note 43 7" xfId="14878" xr:uid="{00000000-0005-0000-0000-0000805C0000}"/>
    <cellStyle name="Note 43 8" xfId="13562" xr:uid="{00000000-0005-0000-0000-0000815C0000}"/>
    <cellStyle name="Note 44" xfId="3351" xr:uid="{00000000-0005-0000-0000-0000825C0000}"/>
    <cellStyle name="Note 44 2" xfId="4585" xr:uid="{00000000-0005-0000-0000-0000835C0000}"/>
    <cellStyle name="Note 44 2 2" xfId="12564" xr:uid="{00000000-0005-0000-0000-0000845C0000}"/>
    <cellStyle name="Note 44 2 2 2" xfId="23852" xr:uid="{00000000-0005-0000-0000-0000855C0000}"/>
    <cellStyle name="Note 44 2 3" xfId="10570" xr:uid="{00000000-0005-0000-0000-0000865C0000}"/>
    <cellStyle name="Note 44 2 3 2" xfId="21858" xr:uid="{00000000-0005-0000-0000-0000875C0000}"/>
    <cellStyle name="Note 44 2 4" xfId="8576" xr:uid="{00000000-0005-0000-0000-0000885C0000}"/>
    <cellStyle name="Note 44 2 4 2" xfId="19864" xr:uid="{00000000-0005-0000-0000-0000895C0000}"/>
    <cellStyle name="Note 44 2 5" xfId="6582" xr:uid="{00000000-0005-0000-0000-00008A5C0000}"/>
    <cellStyle name="Note 44 2 5 2" xfId="17870" xr:uid="{00000000-0005-0000-0000-00008B5C0000}"/>
    <cellStyle name="Note 44 2 6" xfId="15876" xr:uid="{00000000-0005-0000-0000-00008C5C0000}"/>
    <cellStyle name="Note 44 3" xfId="11567" xr:uid="{00000000-0005-0000-0000-00008D5C0000}"/>
    <cellStyle name="Note 44 3 2" xfId="22855" xr:uid="{00000000-0005-0000-0000-00008E5C0000}"/>
    <cellStyle name="Note 44 4" xfId="9573" xr:uid="{00000000-0005-0000-0000-00008F5C0000}"/>
    <cellStyle name="Note 44 4 2" xfId="20861" xr:uid="{00000000-0005-0000-0000-0000905C0000}"/>
    <cellStyle name="Note 44 5" xfId="7579" xr:uid="{00000000-0005-0000-0000-0000915C0000}"/>
    <cellStyle name="Note 44 5 2" xfId="18867" xr:uid="{00000000-0005-0000-0000-0000925C0000}"/>
    <cellStyle name="Note 44 6" xfId="5585" xr:uid="{00000000-0005-0000-0000-0000935C0000}"/>
    <cellStyle name="Note 44 6 2" xfId="16873" xr:uid="{00000000-0005-0000-0000-0000945C0000}"/>
    <cellStyle name="Note 44 7" xfId="14879" xr:uid="{00000000-0005-0000-0000-0000955C0000}"/>
    <cellStyle name="Note 44 8" xfId="13563" xr:uid="{00000000-0005-0000-0000-0000965C0000}"/>
    <cellStyle name="Note 45" xfId="3352" xr:uid="{00000000-0005-0000-0000-0000975C0000}"/>
    <cellStyle name="Note 45 2" xfId="4586" xr:uid="{00000000-0005-0000-0000-0000985C0000}"/>
    <cellStyle name="Note 45 2 2" xfId="12565" xr:uid="{00000000-0005-0000-0000-0000995C0000}"/>
    <cellStyle name="Note 45 2 2 2" xfId="23853" xr:uid="{00000000-0005-0000-0000-00009A5C0000}"/>
    <cellStyle name="Note 45 2 3" xfId="10571" xr:uid="{00000000-0005-0000-0000-00009B5C0000}"/>
    <cellStyle name="Note 45 2 3 2" xfId="21859" xr:uid="{00000000-0005-0000-0000-00009C5C0000}"/>
    <cellStyle name="Note 45 2 4" xfId="8577" xr:uid="{00000000-0005-0000-0000-00009D5C0000}"/>
    <cellStyle name="Note 45 2 4 2" xfId="19865" xr:uid="{00000000-0005-0000-0000-00009E5C0000}"/>
    <cellStyle name="Note 45 2 5" xfId="6583" xr:uid="{00000000-0005-0000-0000-00009F5C0000}"/>
    <cellStyle name="Note 45 2 5 2" xfId="17871" xr:uid="{00000000-0005-0000-0000-0000A05C0000}"/>
    <cellStyle name="Note 45 2 6" xfId="15877" xr:uid="{00000000-0005-0000-0000-0000A15C0000}"/>
    <cellStyle name="Note 45 3" xfId="11568" xr:uid="{00000000-0005-0000-0000-0000A25C0000}"/>
    <cellStyle name="Note 45 3 2" xfId="22856" xr:uid="{00000000-0005-0000-0000-0000A35C0000}"/>
    <cellStyle name="Note 45 4" xfId="9574" xr:uid="{00000000-0005-0000-0000-0000A45C0000}"/>
    <cellStyle name="Note 45 4 2" xfId="20862" xr:uid="{00000000-0005-0000-0000-0000A55C0000}"/>
    <cellStyle name="Note 45 5" xfId="7580" xr:uid="{00000000-0005-0000-0000-0000A65C0000}"/>
    <cellStyle name="Note 45 5 2" xfId="18868" xr:uid="{00000000-0005-0000-0000-0000A75C0000}"/>
    <cellStyle name="Note 45 6" xfId="5586" xr:uid="{00000000-0005-0000-0000-0000A85C0000}"/>
    <cellStyle name="Note 45 6 2" xfId="16874" xr:uid="{00000000-0005-0000-0000-0000A95C0000}"/>
    <cellStyle name="Note 45 7" xfId="14880" xr:uid="{00000000-0005-0000-0000-0000AA5C0000}"/>
    <cellStyle name="Note 45 8" xfId="13564" xr:uid="{00000000-0005-0000-0000-0000AB5C0000}"/>
    <cellStyle name="Note 46" xfId="3353" xr:uid="{00000000-0005-0000-0000-0000AC5C0000}"/>
    <cellStyle name="Note 46 2" xfId="4587" xr:uid="{00000000-0005-0000-0000-0000AD5C0000}"/>
    <cellStyle name="Note 46 2 2" xfId="12566" xr:uid="{00000000-0005-0000-0000-0000AE5C0000}"/>
    <cellStyle name="Note 46 2 2 2" xfId="23854" xr:uid="{00000000-0005-0000-0000-0000AF5C0000}"/>
    <cellStyle name="Note 46 2 3" xfId="10572" xr:uid="{00000000-0005-0000-0000-0000B05C0000}"/>
    <cellStyle name="Note 46 2 3 2" xfId="21860" xr:uid="{00000000-0005-0000-0000-0000B15C0000}"/>
    <cellStyle name="Note 46 2 4" xfId="8578" xr:uid="{00000000-0005-0000-0000-0000B25C0000}"/>
    <cellStyle name="Note 46 2 4 2" xfId="19866" xr:uid="{00000000-0005-0000-0000-0000B35C0000}"/>
    <cellStyle name="Note 46 2 5" xfId="6584" xr:uid="{00000000-0005-0000-0000-0000B45C0000}"/>
    <cellStyle name="Note 46 2 5 2" xfId="17872" xr:uid="{00000000-0005-0000-0000-0000B55C0000}"/>
    <cellStyle name="Note 46 2 6" xfId="15878" xr:uid="{00000000-0005-0000-0000-0000B65C0000}"/>
    <cellStyle name="Note 46 3" xfId="11569" xr:uid="{00000000-0005-0000-0000-0000B75C0000}"/>
    <cellStyle name="Note 46 3 2" xfId="22857" xr:uid="{00000000-0005-0000-0000-0000B85C0000}"/>
    <cellStyle name="Note 46 4" xfId="9575" xr:uid="{00000000-0005-0000-0000-0000B95C0000}"/>
    <cellStyle name="Note 46 4 2" xfId="20863" xr:uid="{00000000-0005-0000-0000-0000BA5C0000}"/>
    <cellStyle name="Note 46 5" xfId="7581" xr:uid="{00000000-0005-0000-0000-0000BB5C0000}"/>
    <cellStyle name="Note 46 5 2" xfId="18869" xr:uid="{00000000-0005-0000-0000-0000BC5C0000}"/>
    <cellStyle name="Note 46 6" xfId="5587" xr:uid="{00000000-0005-0000-0000-0000BD5C0000}"/>
    <cellStyle name="Note 46 6 2" xfId="16875" xr:uid="{00000000-0005-0000-0000-0000BE5C0000}"/>
    <cellStyle name="Note 46 7" xfId="14881" xr:uid="{00000000-0005-0000-0000-0000BF5C0000}"/>
    <cellStyle name="Note 46 8" xfId="13565" xr:uid="{00000000-0005-0000-0000-0000C05C0000}"/>
    <cellStyle name="Note 47" xfId="3354" xr:uid="{00000000-0005-0000-0000-0000C15C0000}"/>
    <cellStyle name="Note 47 2" xfId="4588" xr:uid="{00000000-0005-0000-0000-0000C25C0000}"/>
    <cellStyle name="Note 47 2 2" xfId="12567" xr:uid="{00000000-0005-0000-0000-0000C35C0000}"/>
    <cellStyle name="Note 47 2 2 2" xfId="23855" xr:uid="{00000000-0005-0000-0000-0000C45C0000}"/>
    <cellStyle name="Note 47 2 3" xfId="10573" xr:uid="{00000000-0005-0000-0000-0000C55C0000}"/>
    <cellStyle name="Note 47 2 3 2" xfId="21861" xr:uid="{00000000-0005-0000-0000-0000C65C0000}"/>
    <cellStyle name="Note 47 2 4" xfId="8579" xr:uid="{00000000-0005-0000-0000-0000C75C0000}"/>
    <cellStyle name="Note 47 2 4 2" xfId="19867" xr:uid="{00000000-0005-0000-0000-0000C85C0000}"/>
    <cellStyle name="Note 47 2 5" xfId="6585" xr:uid="{00000000-0005-0000-0000-0000C95C0000}"/>
    <cellStyle name="Note 47 2 5 2" xfId="17873" xr:uid="{00000000-0005-0000-0000-0000CA5C0000}"/>
    <cellStyle name="Note 47 2 6" xfId="15879" xr:uid="{00000000-0005-0000-0000-0000CB5C0000}"/>
    <cellStyle name="Note 47 3" xfId="11570" xr:uid="{00000000-0005-0000-0000-0000CC5C0000}"/>
    <cellStyle name="Note 47 3 2" xfId="22858" xr:uid="{00000000-0005-0000-0000-0000CD5C0000}"/>
    <cellStyle name="Note 47 4" xfId="9576" xr:uid="{00000000-0005-0000-0000-0000CE5C0000}"/>
    <cellStyle name="Note 47 4 2" xfId="20864" xr:uid="{00000000-0005-0000-0000-0000CF5C0000}"/>
    <cellStyle name="Note 47 5" xfId="7582" xr:uid="{00000000-0005-0000-0000-0000D05C0000}"/>
    <cellStyle name="Note 47 5 2" xfId="18870" xr:uid="{00000000-0005-0000-0000-0000D15C0000}"/>
    <cellStyle name="Note 47 6" xfId="5588" xr:uid="{00000000-0005-0000-0000-0000D25C0000}"/>
    <cellStyle name="Note 47 6 2" xfId="16876" xr:uid="{00000000-0005-0000-0000-0000D35C0000}"/>
    <cellStyle name="Note 47 7" xfId="14882" xr:uid="{00000000-0005-0000-0000-0000D45C0000}"/>
    <cellStyle name="Note 47 8" xfId="13566" xr:uid="{00000000-0005-0000-0000-0000D55C0000}"/>
    <cellStyle name="Note 48" xfId="3355" xr:uid="{00000000-0005-0000-0000-0000D65C0000}"/>
    <cellStyle name="Note 48 2" xfId="4589" xr:uid="{00000000-0005-0000-0000-0000D75C0000}"/>
    <cellStyle name="Note 48 2 2" xfId="12568" xr:uid="{00000000-0005-0000-0000-0000D85C0000}"/>
    <cellStyle name="Note 48 2 2 2" xfId="23856" xr:uid="{00000000-0005-0000-0000-0000D95C0000}"/>
    <cellStyle name="Note 48 2 3" xfId="10574" xr:uid="{00000000-0005-0000-0000-0000DA5C0000}"/>
    <cellStyle name="Note 48 2 3 2" xfId="21862" xr:uid="{00000000-0005-0000-0000-0000DB5C0000}"/>
    <cellStyle name="Note 48 2 4" xfId="8580" xr:uid="{00000000-0005-0000-0000-0000DC5C0000}"/>
    <cellStyle name="Note 48 2 4 2" xfId="19868" xr:uid="{00000000-0005-0000-0000-0000DD5C0000}"/>
    <cellStyle name="Note 48 2 5" xfId="6586" xr:uid="{00000000-0005-0000-0000-0000DE5C0000}"/>
    <cellStyle name="Note 48 2 5 2" xfId="17874" xr:uid="{00000000-0005-0000-0000-0000DF5C0000}"/>
    <cellStyle name="Note 48 2 6" xfId="15880" xr:uid="{00000000-0005-0000-0000-0000E05C0000}"/>
    <cellStyle name="Note 48 3" xfId="11571" xr:uid="{00000000-0005-0000-0000-0000E15C0000}"/>
    <cellStyle name="Note 48 3 2" xfId="22859" xr:uid="{00000000-0005-0000-0000-0000E25C0000}"/>
    <cellStyle name="Note 48 4" xfId="9577" xr:uid="{00000000-0005-0000-0000-0000E35C0000}"/>
    <cellStyle name="Note 48 4 2" xfId="20865" xr:uid="{00000000-0005-0000-0000-0000E45C0000}"/>
    <cellStyle name="Note 48 5" xfId="7583" xr:uid="{00000000-0005-0000-0000-0000E55C0000}"/>
    <cellStyle name="Note 48 5 2" xfId="18871" xr:uid="{00000000-0005-0000-0000-0000E65C0000}"/>
    <cellStyle name="Note 48 6" xfId="5589" xr:uid="{00000000-0005-0000-0000-0000E75C0000}"/>
    <cellStyle name="Note 48 6 2" xfId="16877" xr:uid="{00000000-0005-0000-0000-0000E85C0000}"/>
    <cellStyle name="Note 48 7" xfId="14883" xr:uid="{00000000-0005-0000-0000-0000E95C0000}"/>
    <cellStyle name="Note 48 8" xfId="13567" xr:uid="{00000000-0005-0000-0000-0000EA5C0000}"/>
    <cellStyle name="Note 49" xfId="3356" xr:uid="{00000000-0005-0000-0000-0000EB5C0000}"/>
    <cellStyle name="Note 49 2" xfId="4590" xr:uid="{00000000-0005-0000-0000-0000EC5C0000}"/>
    <cellStyle name="Note 49 2 2" xfId="12569" xr:uid="{00000000-0005-0000-0000-0000ED5C0000}"/>
    <cellStyle name="Note 49 2 2 2" xfId="23857" xr:uid="{00000000-0005-0000-0000-0000EE5C0000}"/>
    <cellStyle name="Note 49 2 3" xfId="10575" xr:uid="{00000000-0005-0000-0000-0000EF5C0000}"/>
    <cellStyle name="Note 49 2 3 2" xfId="21863" xr:uid="{00000000-0005-0000-0000-0000F05C0000}"/>
    <cellStyle name="Note 49 2 4" xfId="8581" xr:uid="{00000000-0005-0000-0000-0000F15C0000}"/>
    <cellStyle name="Note 49 2 4 2" xfId="19869" xr:uid="{00000000-0005-0000-0000-0000F25C0000}"/>
    <cellStyle name="Note 49 2 5" xfId="6587" xr:uid="{00000000-0005-0000-0000-0000F35C0000}"/>
    <cellStyle name="Note 49 2 5 2" xfId="17875" xr:uid="{00000000-0005-0000-0000-0000F45C0000}"/>
    <cellStyle name="Note 49 2 6" xfId="15881" xr:uid="{00000000-0005-0000-0000-0000F55C0000}"/>
    <cellStyle name="Note 49 3" xfId="11572" xr:uid="{00000000-0005-0000-0000-0000F65C0000}"/>
    <cellStyle name="Note 49 3 2" xfId="22860" xr:uid="{00000000-0005-0000-0000-0000F75C0000}"/>
    <cellStyle name="Note 49 4" xfId="9578" xr:uid="{00000000-0005-0000-0000-0000F85C0000}"/>
    <cellStyle name="Note 49 4 2" xfId="20866" xr:uid="{00000000-0005-0000-0000-0000F95C0000}"/>
    <cellStyle name="Note 49 5" xfId="7584" xr:uid="{00000000-0005-0000-0000-0000FA5C0000}"/>
    <cellStyle name="Note 49 5 2" xfId="18872" xr:uid="{00000000-0005-0000-0000-0000FB5C0000}"/>
    <cellStyle name="Note 49 6" xfId="5590" xr:uid="{00000000-0005-0000-0000-0000FC5C0000}"/>
    <cellStyle name="Note 49 6 2" xfId="16878" xr:uid="{00000000-0005-0000-0000-0000FD5C0000}"/>
    <cellStyle name="Note 49 7" xfId="14884" xr:uid="{00000000-0005-0000-0000-0000FE5C0000}"/>
    <cellStyle name="Note 49 8" xfId="13568" xr:uid="{00000000-0005-0000-0000-0000FF5C0000}"/>
    <cellStyle name="Note 5" xfId="3357" xr:uid="{00000000-0005-0000-0000-0000005D0000}"/>
    <cellStyle name="Note 5 10" xfId="25077" xr:uid="{00000000-0005-0000-0000-0000015D0000}"/>
    <cellStyle name="Note 5 10 2" xfId="25338" xr:uid="{00000000-0005-0000-0000-0000025D0000}"/>
    <cellStyle name="Note 5 10 3" xfId="25681" xr:uid="{00000000-0005-0000-0000-0000035D0000}"/>
    <cellStyle name="Note 5 2" xfId="4591" xr:uid="{00000000-0005-0000-0000-0000045D0000}"/>
    <cellStyle name="Note 5 2 2" xfId="12570" xr:uid="{00000000-0005-0000-0000-0000055D0000}"/>
    <cellStyle name="Note 5 2 2 2" xfId="23858" xr:uid="{00000000-0005-0000-0000-0000065D0000}"/>
    <cellStyle name="Note 5 2 3" xfId="10576" xr:uid="{00000000-0005-0000-0000-0000075D0000}"/>
    <cellStyle name="Note 5 2 3 2" xfId="21864" xr:uid="{00000000-0005-0000-0000-0000085D0000}"/>
    <cellStyle name="Note 5 2 4" xfId="8582" xr:uid="{00000000-0005-0000-0000-0000095D0000}"/>
    <cellStyle name="Note 5 2 4 2" xfId="19870" xr:uid="{00000000-0005-0000-0000-00000A5D0000}"/>
    <cellStyle name="Note 5 2 5" xfId="6588" xr:uid="{00000000-0005-0000-0000-00000B5D0000}"/>
    <cellStyle name="Note 5 2 5 2" xfId="17876" xr:uid="{00000000-0005-0000-0000-00000C5D0000}"/>
    <cellStyle name="Note 5 2 6" xfId="15882" xr:uid="{00000000-0005-0000-0000-00000D5D0000}"/>
    <cellStyle name="Note 5 3" xfId="11573" xr:uid="{00000000-0005-0000-0000-00000E5D0000}"/>
    <cellStyle name="Note 5 3 2" xfId="22861" xr:uid="{00000000-0005-0000-0000-00000F5D0000}"/>
    <cellStyle name="Note 5 4" xfId="9579" xr:uid="{00000000-0005-0000-0000-0000105D0000}"/>
    <cellStyle name="Note 5 4 2" xfId="20867" xr:uid="{00000000-0005-0000-0000-0000115D0000}"/>
    <cellStyle name="Note 5 5" xfId="7585" xr:uid="{00000000-0005-0000-0000-0000125D0000}"/>
    <cellStyle name="Note 5 5 2" xfId="18873" xr:uid="{00000000-0005-0000-0000-0000135D0000}"/>
    <cellStyle name="Note 5 6" xfId="5591" xr:uid="{00000000-0005-0000-0000-0000145D0000}"/>
    <cellStyle name="Note 5 6 2" xfId="16879" xr:uid="{00000000-0005-0000-0000-0000155D0000}"/>
    <cellStyle name="Note 5 7" xfId="14885" xr:uid="{00000000-0005-0000-0000-0000165D0000}"/>
    <cellStyle name="Note 5 8" xfId="13569" xr:uid="{00000000-0005-0000-0000-0000175D0000}"/>
    <cellStyle name="Note 5 9" xfId="24193" xr:uid="{00000000-0005-0000-0000-0000185D0000}"/>
    <cellStyle name="Note 5 9 2" xfId="25444" xr:uid="{00000000-0005-0000-0000-0000195D0000}"/>
    <cellStyle name="Note 5 9 3" xfId="25568" xr:uid="{00000000-0005-0000-0000-00001A5D0000}"/>
    <cellStyle name="Note 50" xfId="3358" xr:uid="{00000000-0005-0000-0000-00001B5D0000}"/>
    <cellStyle name="Note 50 2" xfId="4592" xr:uid="{00000000-0005-0000-0000-00001C5D0000}"/>
    <cellStyle name="Note 50 2 2" xfId="12571" xr:uid="{00000000-0005-0000-0000-00001D5D0000}"/>
    <cellStyle name="Note 50 2 2 2" xfId="23859" xr:uid="{00000000-0005-0000-0000-00001E5D0000}"/>
    <cellStyle name="Note 50 2 3" xfId="10577" xr:uid="{00000000-0005-0000-0000-00001F5D0000}"/>
    <cellStyle name="Note 50 2 3 2" xfId="21865" xr:uid="{00000000-0005-0000-0000-0000205D0000}"/>
    <cellStyle name="Note 50 2 4" xfId="8583" xr:uid="{00000000-0005-0000-0000-0000215D0000}"/>
    <cellStyle name="Note 50 2 4 2" xfId="19871" xr:uid="{00000000-0005-0000-0000-0000225D0000}"/>
    <cellStyle name="Note 50 2 5" xfId="6589" xr:uid="{00000000-0005-0000-0000-0000235D0000}"/>
    <cellStyle name="Note 50 2 5 2" xfId="17877" xr:uid="{00000000-0005-0000-0000-0000245D0000}"/>
    <cellStyle name="Note 50 2 6" xfId="15883" xr:uid="{00000000-0005-0000-0000-0000255D0000}"/>
    <cellStyle name="Note 50 3" xfId="11574" xr:uid="{00000000-0005-0000-0000-0000265D0000}"/>
    <cellStyle name="Note 50 3 2" xfId="22862" xr:uid="{00000000-0005-0000-0000-0000275D0000}"/>
    <cellStyle name="Note 50 4" xfId="9580" xr:uid="{00000000-0005-0000-0000-0000285D0000}"/>
    <cellStyle name="Note 50 4 2" xfId="20868" xr:uid="{00000000-0005-0000-0000-0000295D0000}"/>
    <cellStyle name="Note 50 5" xfId="7586" xr:uid="{00000000-0005-0000-0000-00002A5D0000}"/>
    <cellStyle name="Note 50 5 2" xfId="18874" xr:uid="{00000000-0005-0000-0000-00002B5D0000}"/>
    <cellStyle name="Note 50 6" xfId="5592" xr:uid="{00000000-0005-0000-0000-00002C5D0000}"/>
    <cellStyle name="Note 50 6 2" xfId="16880" xr:uid="{00000000-0005-0000-0000-00002D5D0000}"/>
    <cellStyle name="Note 50 7" xfId="14886" xr:uid="{00000000-0005-0000-0000-00002E5D0000}"/>
    <cellStyle name="Note 50 8" xfId="13570" xr:uid="{00000000-0005-0000-0000-00002F5D0000}"/>
    <cellStyle name="Note 51" xfId="3359" xr:uid="{00000000-0005-0000-0000-0000305D0000}"/>
    <cellStyle name="Note 51 2" xfId="4593" xr:uid="{00000000-0005-0000-0000-0000315D0000}"/>
    <cellStyle name="Note 51 2 2" xfId="12572" xr:uid="{00000000-0005-0000-0000-0000325D0000}"/>
    <cellStyle name="Note 51 2 2 2" xfId="23860" xr:uid="{00000000-0005-0000-0000-0000335D0000}"/>
    <cellStyle name="Note 51 2 3" xfId="10578" xr:uid="{00000000-0005-0000-0000-0000345D0000}"/>
    <cellStyle name="Note 51 2 3 2" xfId="21866" xr:uid="{00000000-0005-0000-0000-0000355D0000}"/>
    <cellStyle name="Note 51 2 4" xfId="8584" xr:uid="{00000000-0005-0000-0000-0000365D0000}"/>
    <cellStyle name="Note 51 2 4 2" xfId="19872" xr:uid="{00000000-0005-0000-0000-0000375D0000}"/>
    <cellStyle name="Note 51 2 5" xfId="6590" xr:uid="{00000000-0005-0000-0000-0000385D0000}"/>
    <cellStyle name="Note 51 2 5 2" xfId="17878" xr:uid="{00000000-0005-0000-0000-0000395D0000}"/>
    <cellStyle name="Note 51 2 6" xfId="15884" xr:uid="{00000000-0005-0000-0000-00003A5D0000}"/>
    <cellStyle name="Note 51 3" xfId="11575" xr:uid="{00000000-0005-0000-0000-00003B5D0000}"/>
    <cellStyle name="Note 51 3 2" xfId="22863" xr:uid="{00000000-0005-0000-0000-00003C5D0000}"/>
    <cellStyle name="Note 51 4" xfId="9581" xr:uid="{00000000-0005-0000-0000-00003D5D0000}"/>
    <cellStyle name="Note 51 4 2" xfId="20869" xr:uid="{00000000-0005-0000-0000-00003E5D0000}"/>
    <cellStyle name="Note 51 5" xfId="7587" xr:uid="{00000000-0005-0000-0000-00003F5D0000}"/>
    <cellStyle name="Note 51 5 2" xfId="18875" xr:uid="{00000000-0005-0000-0000-0000405D0000}"/>
    <cellStyle name="Note 51 6" xfId="5593" xr:uid="{00000000-0005-0000-0000-0000415D0000}"/>
    <cellStyle name="Note 51 6 2" xfId="16881" xr:uid="{00000000-0005-0000-0000-0000425D0000}"/>
    <cellStyle name="Note 51 7" xfId="14887" xr:uid="{00000000-0005-0000-0000-0000435D0000}"/>
    <cellStyle name="Note 51 8" xfId="13571" xr:uid="{00000000-0005-0000-0000-0000445D0000}"/>
    <cellStyle name="Note 52" xfId="3360" xr:uid="{00000000-0005-0000-0000-0000455D0000}"/>
    <cellStyle name="Note 52 2" xfId="4594" xr:uid="{00000000-0005-0000-0000-0000465D0000}"/>
    <cellStyle name="Note 52 2 2" xfId="12573" xr:uid="{00000000-0005-0000-0000-0000475D0000}"/>
    <cellStyle name="Note 52 2 2 2" xfId="23861" xr:uid="{00000000-0005-0000-0000-0000485D0000}"/>
    <cellStyle name="Note 52 2 3" xfId="10579" xr:uid="{00000000-0005-0000-0000-0000495D0000}"/>
    <cellStyle name="Note 52 2 3 2" xfId="21867" xr:uid="{00000000-0005-0000-0000-00004A5D0000}"/>
    <cellStyle name="Note 52 2 4" xfId="8585" xr:uid="{00000000-0005-0000-0000-00004B5D0000}"/>
    <cellStyle name="Note 52 2 4 2" xfId="19873" xr:uid="{00000000-0005-0000-0000-00004C5D0000}"/>
    <cellStyle name="Note 52 2 5" xfId="6591" xr:uid="{00000000-0005-0000-0000-00004D5D0000}"/>
    <cellStyle name="Note 52 2 5 2" xfId="17879" xr:uid="{00000000-0005-0000-0000-00004E5D0000}"/>
    <cellStyle name="Note 52 2 6" xfId="15885" xr:uid="{00000000-0005-0000-0000-00004F5D0000}"/>
    <cellStyle name="Note 52 3" xfId="11576" xr:uid="{00000000-0005-0000-0000-0000505D0000}"/>
    <cellStyle name="Note 52 3 2" xfId="22864" xr:uid="{00000000-0005-0000-0000-0000515D0000}"/>
    <cellStyle name="Note 52 4" xfId="9582" xr:uid="{00000000-0005-0000-0000-0000525D0000}"/>
    <cellStyle name="Note 52 4 2" xfId="20870" xr:uid="{00000000-0005-0000-0000-0000535D0000}"/>
    <cellStyle name="Note 52 5" xfId="7588" xr:uid="{00000000-0005-0000-0000-0000545D0000}"/>
    <cellStyle name="Note 52 5 2" xfId="18876" xr:uid="{00000000-0005-0000-0000-0000555D0000}"/>
    <cellStyle name="Note 52 6" xfId="5594" xr:uid="{00000000-0005-0000-0000-0000565D0000}"/>
    <cellStyle name="Note 52 6 2" xfId="16882" xr:uid="{00000000-0005-0000-0000-0000575D0000}"/>
    <cellStyle name="Note 52 7" xfId="14888" xr:uid="{00000000-0005-0000-0000-0000585D0000}"/>
    <cellStyle name="Note 52 8" xfId="13572" xr:uid="{00000000-0005-0000-0000-0000595D0000}"/>
    <cellStyle name="Note 53" xfId="3361" xr:uid="{00000000-0005-0000-0000-00005A5D0000}"/>
    <cellStyle name="Note 53 2" xfId="4595" xr:uid="{00000000-0005-0000-0000-00005B5D0000}"/>
    <cellStyle name="Note 53 2 2" xfId="12574" xr:uid="{00000000-0005-0000-0000-00005C5D0000}"/>
    <cellStyle name="Note 53 2 2 2" xfId="23862" xr:uid="{00000000-0005-0000-0000-00005D5D0000}"/>
    <cellStyle name="Note 53 2 3" xfId="10580" xr:uid="{00000000-0005-0000-0000-00005E5D0000}"/>
    <cellStyle name="Note 53 2 3 2" xfId="21868" xr:uid="{00000000-0005-0000-0000-00005F5D0000}"/>
    <cellStyle name="Note 53 2 4" xfId="8586" xr:uid="{00000000-0005-0000-0000-0000605D0000}"/>
    <cellStyle name="Note 53 2 4 2" xfId="19874" xr:uid="{00000000-0005-0000-0000-0000615D0000}"/>
    <cellStyle name="Note 53 2 5" xfId="6592" xr:uid="{00000000-0005-0000-0000-0000625D0000}"/>
    <cellStyle name="Note 53 2 5 2" xfId="17880" xr:uid="{00000000-0005-0000-0000-0000635D0000}"/>
    <cellStyle name="Note 53 2 6" xfId="15886" xr:uid="{00000000-0005-0000-0000-0000645D0000}"/>
    <cellStyle name="Note 53 3" xfId="11577" xr:uid="{00000000-0005-0000-0000-0000655D0000}"/>
    <cellStyle name="Note 53 3 2" xfId="22865" xr:uid="{00000000-0005-0000-0000-0000665D0000}"/>
    <cellStyle name="Note 53 4" xfId="9583" xr:uid="{00000000-0005-0000-0000-0000675D0000}"/>
    <cellStyle name="Note 53 4 2" xfId="20871" xr:uid="{00000000-0005-0000-0000-0000685D0000}"/>
    <cellStyle name="Note 53 5" xfId="7589" xr:uid="{00000000-0005-0000-0000-0000695D0000}"/>
    <cellStyle name="Note 53 5 2" xfId="18877" xr:uid="{00000000-0005-0000-0000-00006A5D0000}"/>
    <cellStyle name="Note 53 6" xfId="5595" xr:uid="{00000000-0005-0000-0000-00006B5D0000}"/>
    <cellStyle name="Note 53 6 2" xfId="16883" xr:uid="{00000000-0005-0000-0000-00006C5D0000}"/>
    <cellStyle name="Note 53 7" xfId="14889" xr:uid="{00000000-0005-0000-0000-00006D5D0000}"/>
    <cellStyle name="Note 53 8" xfId="13573" xr:uid="{00000000-0005-0000-0000-00006E5D0000}"/>
    <cellStyle name="Note 54" xfId="3362" xr:uid="{00000000-0005-0000-0000-00006F5D0000}"/>
    <cellStyle name="Note 54 2" xfId="4596" xr:uid="{00000000-0005-0000-0000-0000705D0000}"/>
    <cellStyle name="Note 54 2 2" xfId="12575" xr:uid="{00000000-0005-0000-0000-0000715D0000}"/>
    <cellStyle name="Note 54 2 2 2" xfId="23863" xr:uid="{00000000-0005-0000-0000-0000725D0000}"/>
    <cellStyle name="Note 54 2 3" xfId="10581" xr:uid="{00000000-0005-0000-0000-0000735D0000}"/>
    <cellStyle name="Note 54 2 3 2" xfId="21869" xr:uid="{00000000-0005-0000-0000-0000745D0000}"/>
    <cellStyle name="Note 54 2 4" xfId="8587" xr:uid="{00000000-0005-0000-0000-0000755D0000}"/>
    <cellStyle name="Note 54 2 4 2" xfId="19875" xr:uid="{00000000-0005-0000-0000-0000765D0000}"/>
    <cellStyle name="Note 54 2 5" xfId="6593" xr:uid="{00000000-0005-0000-0000-0000775D0000}"/>
    <cellStyle name="Note 54 2 5 2" xfId="17881" xr:uid="{00000000-0005-0000-0000-0000785D0000}"/>
    <cellStyle name="Note 54 2 6" xfId="15887" xr:uid="{00000000-0005-0000-0000-0000795D0000}"/>
    <cellStyle name="Note 54 3" xfId="11578" xr:uid="{00000000-0005-0000-0000-00007A5D0000}"/>
    <cellStyle name="Note 54 3 2" xfId="22866" xr:uid="{00000000-0005-0000-0000-00007B5D0000}"/>
    <cellStyle name="Note 54 4" xfId="9584" xr:uid="{00000000-0005-0000-0000-00007C5D0000}"/>
    <cellStyle name="Note 54 4 2" xfId="20872" xr:uid="{00000000-0005-0000-0000-00007D5D0000}"/>
    <cellStyle name="Note 54 5" xfId="7590" xr:uid="{00000000-0005-0000-0000-00007E5D0000}"/>
    <cellStyle name="Note 54 5 2" xfId="18878" xr:uid="{00000000-0005-0000-0000-00007F5D0000}"/>
    <cellStyle name="Note 54 6" xfId="5596" xr:uid="{00000000-0005-0000-0000-0000805D0000}"/>
    <cellStyle name="Note 54 6 2" xfId="16884" xr:uid="{00000000-0005-0000-0000-0000815D0000}"/>
    <cellStyle name="Note 54 7" xfId="14890" xr:uid="{00000000-0005-0000-0000-0000825D0000}"/>
    <cellStyle name="Note 54 8" xfId="13574" xr:uid="{00000000-0005-0000-0000-0000835D0000}"/>
    <cellStyle name="Note 55" xfId="3363" xr:uid="{00000000-0005-0000-0000-0000845D0000}"/>
    <cellStyle name="Note 55 2" xfId="4597" xr:uid="{00000000-0005-0000-0000-0000855D0000}"/>
    <cellStyle name="Note 55 2 2" xfId="12576" xr:uid="{00000000-0005-0000-0000-0000865D0000}"/>
    <cellStyle name="Note 55 2 2 2" xfId="23864" xr:uid="{00000000-0005-0000-0000-0000875D0000}"/>
    <cellStyle name="Note 55 2 3" xfId="10582" xr:uid="{00000000-0005-0000-0000-0000885D0000}"/>
    <cellStyle name="Note 55 2 3 2" xfId="21870" xr:uid="{00000000-0005-0000-0000-0000895D0000}"/>
    <cellStyle name="Note 55 2 4" xfId="8588" xr:uid="{00000000-0005-0000-0000-00008A5D0000}"/>
    <cellStyle name="Note 55 2 4 2" xfId="19876" xr:uid="{00000000-0005-0000-0000-00008B5D0000}"/>
    <cellStyle name="Note 55 2 5" xfId="6594" xr:uid="{00000000-0005-0000-0000-00008C5D0000}"/>
    <cellStyle name="Note 55 2 5 2" xfId="17882" xr:uid="{00000000-0005-0000-0000-00008D5D0000}"/>
    <cellStyle name="Note 55 2 6" xfId="15888" xr:uid="{00000000-0005-0000-0000-00008E5D0000}"/>
    <cellStyle name="Note 55 3" xfId="11579" xr:uid="{00000000-0005-0000-0000-00008F5D0000}"/>
    <cellStyle name="Note 55 3 2" xfId="22867" xr:uid="{00000000-0005-0000-0000-0000905D0000}"/>
    <cellStyle name="Note 55 4" xfId="9585" xr:uid="{00000000-0005-0000-0000-0000915D0000}"/>
    <cellStyle name="Note 55 4 2" xfId="20873" xr:uid="{00000000-0005-0000-0000-0000925D0000}"/>
    <cellStyle name="Note 55 5" xfId="7591" xr:uid="{00000000-0005-0000-0000-0000935D0000}"/>
    <cellStyle name="Note 55 5 2" xfId="18879" xr:uid="{00000000-0005-0000-0000-0000945D0000}"/>
    <cellStyle name="Note 55 6" xfId="5597" xr:uid="{00000000-0005-0000-0000-0000955D0000}"/>
    <cellStyle name="Note 55 6 2" xfId="16885" xr:uid="{00000000-0005-0000-0000-0000965D0000}"/>
    <cellStyle name="Note 55 7" xfId="14891" xr:uid="{00000000-0005-0000-0000-0000975D0000}"/>
    <cellStyle name="Note 55 8" xfId="13575" xr:uid="{00000000-0005-0000-0000-0000985D0000}"/>
    <cellStyle name="Note 56" xfId="3364" xr:uid="{00000000-0005-0000-0000-0000995D0000}"/>
    <cellStyle name="Note 56 2" xfId="4598" xr:uid="{00000000-0005-0000-0000-00009A5D0000}"/>
    <cellStyle name="Note 56 2 2" xfId="12577" xr:uid="{00000000-0005-0000-0000-00009B5D0000}"/>
    <cellStyle name="Note 56 2 2 2" xfId="23865" xr:uid="{00000000-0005-0000-0000-00009C5D0000}"/>
    <cellStyle name="Note 56 2 3" xfId="10583" xr:uid="{00000000-0005-0000-0000-00009D5D0000}"/>
    <cellStyle name="Note 56 2 3 2" xfId="21871" xr:uid="{00000000-0005-0000-0000-00009E5D0000}"/>
    <cellStyle name="Note 56 2 4" xfId="8589" xr:uid="{00000000-0005-0000-0000-00009F5D0000}"/>
    <cellStyle name="Note 56 2 4 2" xfId="19877" xr:uid="{00000000-0005-0000-0000-0000A05D0000}"/>
    <cellStyle name="Note 56 2 5" xfId="6595" xr:uid="{00000000-0005-0000-0000-0000A15D0000}"/>
    <cellStyle name="Note 56 2 5 2" xfId="17883" xr:uid="{00000000-0005-0000-0000-0000A25D0000}"/>
    <cellStyle name="Note 56 2 6" xfId="15889" xr:uid="{00000000-0005-0000-0000-0000A35D0000}"/>
    <cellStyle name="Note 56 3" xfId="11580" xr:uid="{00000000-0005-0000-0000-0000A45D0000}"/>
    <cellStyle name="Note 56 3 2" xfId="22868" xr:uid="{00000000-0005-0000-0000-0000A55D0000}"/>
    <cellStyle name="Note 56 4" xfId="9586" xr:uid="{00000000-0005-0000-0000-0000A65D0000}"/>
    <cellStyle name="Note 56 4 2" xfId="20874" xr:uid="{00000000-0005-0000-0000-0000A75D0000}"/>
    <cellStyle name="Note 56 5" xfId="7592" xr:uid="{00000000-0005-0000-0000-0000A85D0000}"/>
    <cellStyle name="Note 56 5 2" xfId="18880" xr:uid="{00000000-0005-0000-0000-0000A95D0000}"/>
    <cellStyle name="Note 56 6" xfId="5598" xr:uid="{00000000-0005-0000-0000-0000AA5D0000}"/>
    <cellStyle name="Note 56 6 2" xfId="16886" xr:uid="{00000000-0005-0000-0000-0000AB5D0000}"/>
    <cellStyle name="Note 56 7" xfId="14892" xr:uid="{00000000-0005-0000-0000-0000AC5D0000}"/>
    <cellStyle name="Note 56 8" xfId="13576" xr:uid="{00000000-0005-0000-0000-0000AD5D0000}"/>
    <cellStyle name="Note 57" xfId="3365" xr:uid="{00000000-0005-0000-0000-0000AE5D0000}"/>
    <cellStyle name="Note 57 2" xfId="4599" xr:uid="{00000000-0005-0000-0000-0000AF5D0000}"/>
    <cellStyle name="Note 57 2 2" xfId="12578" xr:uid="{00000000-0005-0000-0000-0000B05D0000}"/>
    <cellStyle name="Note 57 2 2 2" xfId="23866" xr:uid="{00000000-0005-0000-0000-0000B15D0000}"/>
    <cellStyle name="Note 57 2 3" xfId="10584" xr:uid="{00000000-0005-0000-0000-0000B25D0000}"/>
    <cellStyle name="Note 57 2 3 2" xfId="21872" xr:uid="{00000000-0005-0000-0000-0000B35D0000}"/>
    <cellStyle name="Note 57 2 4" xfId="8590" xr:uid="{00000000-0005-0000-0000-0000B45D0000}"/>
    <cellStyle name="Note 57 2 4 2" xfId="19878" xr:uid="{00000000-0005-0000-0000-0000B55D0000}"/>
    <cellStyle name="Note 57 2 5" xfId="6596" xr:uid="{00000000-0005-0000-0000-0000B65D0000}"/>
    <cellStyle name="Note 57 2 5 2" xfId="17884" xr:uid="{00000000-0005-0000-0000-0000B75D0000}"/>
    <cellStyle name="Note 57 2 6" xfId="15890" xr:uid="{00000000-0005-0000-0000-0000B85D0000}"/>
    <cellStyle name="Note 57 3" xfId="11581" xr:uid="{00000000-0005-0000-0000-0000B95D0000}"/>
    <cellStyle name="Note 57 3 2" xfId="22869" xr:uid="{00000000-0005-0000-0000-0000BA5D0000}"/>
    <cellStyle name="Note 57 4" xfId="9587" xr:uid="{00000000-0005-0000-0000-0000BB5D0000}"/>
    <cellStyle name="Note 57 4 2" xfId="20875" xr:uid="{00000000-0005-0000-0000-0000BC5D0000}"/>
    <cellStyle name="Note 57 5" xfId="7593" xr:uid="{00000000-0005-0000-0000-0000BD5D0000}"/>
    <cellStyle name="Note 57 5 2" xfId="18881" xr:uid="{00000000-0005-0000-0000-0000BE5D0000}"/>
    <cellStyle name="Note 57 6" xfId="5599" xr:uid="{00000000-0005-0000-0000-0000BF5D0000}"/>
    <cellStyle name="Note 57 6 2" xfId="16887" xr:uid="{00000000-0005-0000-0000-0000C05D0000}"/>
    <cellStyle name="Note 57 7" xfId="14893" xr:uid="{00000000-0005-0000-0000-0000C15D0000}"/>
    <cellStyle name="Note 57 8" xfId="13577" xr:uid="{00000000-0005-0000-0000-0000C25D0000}"/>
    <cellStyle name="Note 58" xfId="3366" xr:uid="{00000000-0005-0000-0000-0000C35D0000}"/>
    <cellStyle name="Note 58 2" xfId="4600" xr:uid="{00000000-0005-0000-0000-0000C45D0000}"/>
    <cellStyle name="Note 58 2 2" xfId="12579" xr:uid="{00000000-0005-0000-0000-0000C55D0000}"/>
    <cellStyle name="Note 58 2 2 2" xfId="23867" xr:uid="{00000000-0005-0000-0000-0000C65D0000}"/>
    <cellStyle name="Note 58 2 3" xfId="10585" xr:uid="{00000000-0005-0000-0000-0000C75D0000}"/>
    <cellStyle name="Note 58 2 3 2" xfId="21873" xr:uid="{00000000-0005-0000-0000-0000C85D0000}"/>
    <cellStyle name="Note 58 2 4" xfId="8591" xr:uid="{00000000-0005-0000-0000-0000C95D0000}"/>
    <cellStyle name="Note 58 2 4 2" xfId="19879" xr:uid="{00000000-0005-0000-0000-0000CA5D0000}"/>
    <cellStyle name="Note 58 2 5" xfId="6597" xr:uid="{00000000-0005-0000-0000-0000CB5D0000}"/>
    <cellStyle name="Note 58 2 5 2" xfId="17885" xr:uid="{00000000-0005-0000-0000-0000CC5D0000}"/>
    <cellStyle name="Note 58 2 6" xfId="15891" xr:uid="{00000000-0005-0000-0000-0000CD5D0000}"/>
    <cellStyle name="Note 58 3" xfId="11582" xr:uid="{00000000-0005-0000-0000-0000CE5D0000}"/>
    <cellStyle name="Note 58 3 2" xfId="22870" xr:uid="{00000000-0005-0000-0000-0000CF5D0000}"/>
    <cellStyle name="Note 58 4" xfId="9588" xr:uid="{00000000-0005-0000-0000-0000D05D0000}"/>
    <cellStyle name="Note 58 4 2" xfId="20876" xr:uid="{00000000-0005-0000-0000-0000D15D0000}"/>
    <cellStyle name="Note 58 5" xfId="7594" xr:uid="{00000000-0005-0000-0000-0000D25D0000}"/>
    <cellStyle name="Note 58 5 2" xfId="18882" xr:uid="{00000000-0005-0000-0000-0000D35D0000}"/>
    <cellStyle name="Note 58 6" xfId="5600" xr:uid="{00000000-0005-0000-0000-0000D45D0000}"/>
    <cellStyle name="Note 58 6 2" xfId="16888" xr:uid="{00000000-0005-0000-0000-0000D55D0000}"/>
    <cellStyle name="Note 58 7" xfId="14894" xr:uid="{00000000-0005-0000-0000-0000D65D0000}"/>
    <cellStyle name="Note 58 8" xfId="13578" xr:uid="{00000000-0005-0000-0000-0000D75D0000}"/>
    <cellStyle name="Note 59" xfId="3367" xr:uid="{00000000-0005-0000-0000-0000D85D0000}"/>
    <cellStyle name="Note 59 2" xfId="4601" xr:uid="{00000000-0005-0000-0000-0000D95D0000}"/>
    <cellStyle name="Note 59 2 2" xfId="12580" xr:uid="{00000000-0005-0000-0000-0000DA5D0000}"/>
    <cellStyle name="Note 59 2 2 2" xfId="23868" xr:uid="{00000000-0005-0000-0000-0000DB5D0000}"/>
    <cellStyle name="Note 59 2 3" xfId="10586" xr:uid="{00000000-0005-0000-0000-0000DC5D0000}"/>
    <cellStyle name="Note 59 2 3 2" xfId="21874" xr:uid="{00000000-0005-0000-0000-0000DD5D0000}"/>
    <cellStyle name="Note 59 2 4" xfId="8592" xr:uid="{00000000-0005-0000-0000-0000DE5D0000}"/>
    <cellStyle name="Note 59 2 4 2" xfId="19880" xr:uid="{00000000-0005-0000-0000-0000DF5D0000}"/>
    <cellStyle name="Note 59 2 5" xfId="6598" xr:uid="{00000000-0005-0000-0000-0000E05D0000}"/>
    <cellStyle name="Note 59 2 5 2" xfId="17886" xr:uid="{00000000-0005-0000-0000-0000E15D0000}"/>
    <cellStyle name="Note 59 2 6" xfId="15892" xr:uid="{00000000-0005-0000-0000-0000E25D0000}"/>
    <cellStyle name="Note 59 3" xfId="11583" xr:uid="{00000000-0005-0000-0000-0000E35D0000}"/>
    <cellStyle name="Note 59 3 2" xfId="22871" xr:uid="{00000000-0005-0000-0000-0000E45D0000}"/>
    <cellStyle name="Note 59 4" xfId="9589" xr:uid="{00000000-0005-0000-0000-0000E55D0000}"/>
    <cellStyle name="Note 59 4 2" xfId="20877" xr:uid="{00000000-0005-0000-0000-0000E65D0000}"/>
    <cellStyle name="Note 59 5" xfId="7595" xr:uid="{00000000-0005-0000-0000-0000E75D0000}"/>
    <cellStyle name="Note 59 5 2" xfId="18883" xr:uid="{00000000-0005-0000-0000-0000E85D0000}"/>
    <cellStyle name="Note 59 6" xfId="5601" xr:uid="{00000000-0005-0000-0000-0000E95D0000}"/>
    <cellStyle name="Note 59 6 2" xfId="16889" xr:uid="{00000000-0005-0000-0000-0000EA5D0000}"/>
    <cellStyle name="Note 59 7" xfId="14895" xr:uid="{00000000-0005-0000-0000-0000EB5D0000}"/>
    <cellStyle name="Note 59 8" xfId="13579" xr:uid="{00000000-0005-0000-0000-0000EC5D0000}"/>
    <cellStyle name="Note 6" xfId="3368" xr:uid="{00000000-0005-0000-0000-0000ED5D0000}"/>
    <cellStyle name="Note 6 10" xfId="24756" xr:uid="{00000000-0005-0000-0000-0000EE5D0000}"/>
    <cellStyle name="Note 6 11" xfId="25078" xr:uid="{00000000-0005-0000-0000-0000EF5D0000}"/>
    <cellStyle name="Note 6 2" xfId="4602" xr:uid="{00000000-0005-0000-0000-0000F05D0000}"/>
    <cellStyle name="Note 6 2 2" xfId="12581" xr:uid="{00000000-0005-0000-0000-0000F15D0000}"/>
    <cellStyle name="Note 6 2 2 2" xfId="23869" xr:uid="{00000000-0005-0000-0000-0000F25D0000}"/>
    <cellStyle name="Note 6 2 3" xfId="10587" xr:uid="{00000000-0005-0000-0000-0000F35D0000}"/>
    <cellStyle name="Note 6 2 3 2" xfId="21875" xr:uid="{00000000-0005-0000-0000-0000F45D0000}"/>
    <cellStyle name="Note 6 2 4" xfId="8593" xr:uid="{00000000-0005-0000-0000-0000F55D0000}"/>
    <cellStyle name="Note 6 2 4 2" xfId="19881" xr:uid="{00000000-0005-0000-0000-0000F65D0000}"/>
    <cellStyle name="Note 6 2 5" xfId="6599" xr:uid="{00000000-0005-0000-0000-0000F75D0000}"/>
    <cellStyle name="Note 6 2 5 2" xfId="17887" xr:uid="{00000000-0005-0000-0000-0000F85D0000}"/>
    <cellStyle name="Note 6 2 6" xfId="15893" xr:uid="{00000000-0005-0000-0000-0000F95D0000}"/>
    <cellStyle name="Note 6 2 7" xfId="24460" xr:uid="{00000000-0005-0000-0000-0000FA5D0000}"/>
    <cellStyle name="Note 6 2 8" xfId="24904" xr:uid="{00000000-0005-0000-0000-0000FB5D0000}"/>
    <cellStyle name="Note 6 2 9" xfId="25266" xr:uid="{00000000-0005-0000-0000-0000FC5D0000}"/>
    <cellStyle name="Note 6 3" xfId="11584" xr:uid="{00000000-0005-0000-0000-0000FD5D0000}"/>
    <cellStyle name="Note 6 3 2" xfId="22872" xr:uid="{00000000-0005-0000-0000-0000FE5D0000}"/>
    <cellStyle name="Note 6 4" xfId="9590" xr:uid="{00000000-0005-0000-0000-0000FF5D0000}"/>
    <cellStyle name="Note 6 4 2" xfId="20878" xr:uid="{00000000-0005-0000-0000-0000005E0000}"/>
    <cellStyle name="Note 6 5" xfId="7596" xr:uid="{00000000-0005-0000-0000-0000015E0000}"/>
    <cellStyle name="Note 6 5 2" xfId="18884" xr:uid="{00000000-0005-0000-0000-0000025E0000}"/>
    <cellStyle name="Note 6 6" xfId="5602" xr:uid="{00000000-0005-0000-0000-0000035E0000}"/>
    <cellStyle name="Note 6 6 2" xfId="16890" xr:uid="{00000000-0005-0000-0000-0000045E0000}"/>
    <cellStyle name="Note 6 7" xfId="14896" xr:uid="{00000000-0005-0000-0000-0000055E0000}"/>
    <cellStyle name="Note 6 8" xfId="13580" xr:uid="{00000000-0005-0000-0000-0000065E0000}"/>
    <cellStyle name="Note 6 9" xfId="24194" xr:uid="{00000000-0005-0000-0000-0000075E0000}"/>
    <cellStyle name="Note 60" xfId="3369" xr:uid="{00000000-0005-0000-0000-0000085E0000}"/>
    <cellStyle name="Note 60 2" xfId="4603" xr:uid="{00000000-0005-0000-0000-0000095E0000}"/>
    <cellStyle name="Note 60 2 2" xfId="12582" xr:uid="{00000000-0005-0000-0000-00000A5E0000}"/>
    <cellStyle name="Note 60 2 2 2" xfId="23870" xr:uid="{00000000-0005-0000-0000-00000B5E0000}"/>
    <cellStyle name="Note 60 2 3" xfId="10588" xr:uid="{00000000-0005-0000-0000-00000C5E0000}"/>
    <cellStyle name="Note 60 2 3 2" xfId="21876" xr:uid="{00000000-0005-0000-0000-00000D5E0000}"/>
    <cellStyle name="Note 60 2 4" xfId="8594" xr:uid="{00000000-0005-0000-0000-00000E5E0000}"/>
    <cellStyle name="Note 60 2 4 2" xfId="19882" xr:uid="{00000000-0005-0000-0000-00000F5E0000}"/>
    <cellStyle name="Note 60 2 5" xfId="6600" xr:uid="{00000000-0005-0000-0000-0000105E0000}"/>
    <cellStyle name="Note 60 2 5 2" xfId="17888" xr:uid="{00000000-0005-0000-0000-0000115E0000}"/>
    <cellStyle name="Note 60 2 6" xfId="15894" xr:uid="{00000000-0005-0000-0000-0000125E0000}"/>
    <cellStyle name="Note 60 3" xfId="11585" xr:uid="{00000000-0005-0000-0000-0000135E0000}"/>
    <cellStyle name="Note 60 3 2" xfId="22873" xr:uid="{00000000-0005-0000-0000-0000145E0000}"/>
    <cellStyle name="Note 60 4" xfId="9591" xr:uid="{00000000-0005-0000-0000-0000155E0000}"/>
    <cellStyle name="Note 60 4 2" xfId="20879" xr:uid="{00000000-0005-0000-0000-0000165E0000}"/>
    <cellStyle name="Note 60 5" xfId="7597" xr:uid="{00000000-0005-0000-0000-0000175E0000}"/>
    <cellStyle name="Note 60 5 2" xfId="18885" xr:uid="{00000000-0005-0000-0000-0000185E0000}"/>
    <cellStyle name="Note 60 6" xfId="5603" xr:uid="{00000000-0005-0000-0000-0000195E0000}"/>
    <cellStyle name="Note 60 6 2" xfId="16891" xr:uid="{00000000-0005-0000-0000-00001A5E0000}"/>
    <cellStyle name="Note 60 7" xfId="14897" xr:uid="{00000000-0005-0000-0000-00001B5E0000}"/>
    <cellStyle name="Note 60 8" xfId="13581" xr:uid="{00000000-0005-0000-0000-00001C5E0000}"/>
    <cellStyle name="Note 61" xfId="3370" xr:uid="{00000000-0005-0000-0000-00001D5E0000}"/>
    <cellStyle name="Note 61 2" xfId="4604" xr:uid="{00000000-0005-0000-0000-00001E5E0000}"/>
    <cellStyle name="Note 61 2 2" xfId="12583" xr:uid="{00000000-0005-0000-0000-00001F5E0000}"/>
    <cellStyle name="Note 61 2 2 2" xfId="23871" xr:uid="{00000000-0005-0000-0000-0000205E0000}"/>
    <cellStyle name="Note 61 2 3" xfId="10589" xr:uid="{00000000-0005-0000-0000-0000215E0000}"/>
    <cellStyle name="Note 61 2 3 2" xfId="21877" xr:uid="{00000000-0005-0000-0000-0000225E0000}"/>
    <cellStyle name="Note 61 2 4" xfId="8595" xr:uid="{00000000-0005-0000-0000-0000235E0000}"/>
    <cellStyle name="Note 61 2 4 2" xfId="19883" xr:uid="{00000000-0005-0000-0000-0000245E0000}"/>
    <cellStyle name="Note 61 2 5" xfId="6601" xr:uid="{00000000-0005-0000-0000-0000255E0000}"/>
    <cellStyle name="Note 61 2 5 2" xfId="17889" xr:uid="{00000000-0005-0000-0000-0000265E0000}"/>
    <cellStyle name="Note 61 2 6" xfId="15895" xr:uid="{00000000-0005-0000-0000-0000275E0000}"/>
    <cellStyle name="Note 61 3" xfId="11586" xr:uid="{00000000-0005-0000-0000-0000285E0000}"/>
    <cellStyle name="Note 61 3 2" xfId="22874" xr:uid="{00000000-0005-0000-0000-0000295E0000}"/>
    <cellStyle name="Note 61 4" xfId="9592" xr:uid="{00000000-0005-0000-0000-00002A5E0000}"/>
    <cellStyle name="Note 61 4 2" xfId="20880" xr:uid="{00000000-0005-0000-0000-00002B5E0000}"/>
    <cellStyle name="Note 61 5" xfId="7598" xr:uid="{00000000-0005-0000-0000-00002C5E0000}"/>
    <cellStyle name="Note 61 5 2" xfId="18886" xr:uid="{00000000-0005-0000-0000-00002D5E0000}"/>
    <cellStyle name="Note 61 6" xfId="5604" xr:uid="{00000000-0005-0000-0000-00002E5E0000}"/>
    <cellStyle name="Note 61 6 2" xfId="16892" xr:uid="{00000000-0005-0000-0000-00002F5E0000}"/>
    <cellStyle name="Note 61 7" xfId="14898" xr:uid="{00000000-0005-0000-0000-0000305E0000}"/>
    <cellStyle name="Note 61 8" xfId="13582" xr:uid="{00000000-0005-0000-0000-0000315E0000}"/>
    <cellStyle name="Note 62" xfId="3371" xr:uid="{00000000-0005-0000-0000-0000325E0000}"/>
    <cellStyle name="Note 62 2" xfId="4605" xr:uid="{00000000-0005-0000-0000-0000335E0000}"/>
    <cellStyle name="Note 62 2 2" xfId="12584" xr:uid="{00000000-0005-0000-0000-0000345E0000}"/>
    <cellStyle name="Note 62 2 2 2" xfId="23872" xr:uid="{00000000-0005-0000-0000-0000355E0000}"/>
    <cellStyle name="Note 62 2 3" xfId="10590" xr:uid="{00000000-0005-0000-0000-0000365E0000}"/>
    <cellStyle name="Note 62 2 3 2" xfId="21878" xr:uid="{00000000-0005-0000-0000-0000375E0000}"/>
    <cellStyle name="Note 62 2 4" xfId="8596" xr:uid="{00000000-0005-0000-0000-0000385E0000}"/>
    <cellStyle name="Note 62 2 4 2" xfId="19884" xr:uid="{00000000-0005-0000-0000-0000395E0000}"/>
    <cellStyle name="Note 62 2 5" xfId="6602" xr:uid="{00000000-0005-0000-0000-00003A5E0000}"/>
    <cellStyle name="Note 62 2 5 2" xfId="17890" xr:uid="{00000000-0005-0000-0000-00003B5E0000}"/>
    <cellStyle name="Note 62 2 6" xfId="15896" xr:uid="{00000000-0005-0000-0000-00003C5E0000}"/>
    <cellStyle name="Note 62 3" xfId="11587" xr:uid="{00000000-0005-0000-0000-00003D5E0000}"/>
    <cellStyle name="Note 62 3 2" xfId="22875" xr:uid="{00000000-0005-0000-0000-00003E5E0000}"/>
    <cellStyle name="Note 62 4" xfId="9593" xr:uid="{00000000-0005-0000-0000-00003F5E0000}"/>
    <cellStyle name="Note 62 4 2" xfId="20881" xr:uid="{00000000-0005-0000-0000-0000405E0000}"/>
    <cellStyle name="Note 62 5" xfId="7599" xr:uid="{00000000-0005-0000-0000-0000415E0000}"/>
    <cellStyle name="Note 62 5 2" xfId="18887" xr:uid="{00000000-0005-0000-0000-0000425E0000}"/>
    <cellStyle name="Note 62 6" xfId="5605" xr:uid="{00000000-0005-0000-0000-0000435E0000}"/>
    <cellStyle name="Note 62 6 2" xfId="16893" xr:uid="{00000000-0005-0000-0000-0000445E0000}"/>
    <cellStyle name="Note 62 7" xfId="14899" xr:uid="{00000000-0005-0000-0000-0000455E0000}"/>
    <cellStyle name="Note 62 8" xfId="13583" xr:uid="{00000000-0005-0000-0000-0000465E0000}"/>
    <cellStyle name="Note 63" xfId="3372" xr:uid="{00000000-0005-0000-0000-0000475E0000}"/>
    <cellStyle name="Note 63 2" xfId="4606" xr:uid="{00000000-0005-0000-0000-0000485E0000}"/>
    <cellStyle name="Note 63 2 2" xfId="12585" xr:uid="{00000000-0005-0000-0000-0000495E0000}"/>
    <cellStyle name="Note 63 2 2 2" xfId="23873" xr:uid="{00000000-0005-0000-0000-00004A5E0000}"/>
    <cellStyle name="Note 63 2 3" xfId="10591" xr:uid="{00000000-0005-0000-0000-00004B5E0000}"/>
    <cellStyle name="Note 63 2 3 2" xfId="21879" xr:uid="{00000000-0005-0000-0000-00004C5E0000}"/>
    <cellStyle name="Note 63 2 4" xfId="8597" xr:uid="{00000000-0005-0000-0000-00004D5E0000}"/>
    <cellStyle name="Note 63 2 4 2" xfId="19885" xr:uid="{00000000-0005-0000-0000-00004E5E0000}"/>
    <cellStyle name="Note 63 2 5" xfId="6603" xr:uid="{00000000-0005-0000-0000-00004F5E0000}"/>
    <cellStyle name="Note 63 2 5 2" xfId="17891" xr:uid="{00000000-0005-0000-0000-0000505E0000}"/>
    <cellStyle name="Note 63 2 6" xfId="15897" xr:uid="{00000000-0005-0000-0000-0000515E0000}"/>
    <cellStyle name="Note 63 3" xfId="11588" xr:uid="{00000000-0005-0000-0000-0000525E0000}"/>
    <cellStyle name="Note 63 3 2" xfId="22876" xr:uid="{00000000-0005-0000-0000-0000535E0000}"/>
    <cellStyle name="Note 63 4" xfId="9594" xr:uid="{00000000-0005-0000-0000-0000545E0000}"/>
    <cellStyle name="Note 63 4 2" xfId="20882" xr:uid="{00000000-0005-0000-0000-0000555E0000}"/>
    <cellStyle name="Note 63 5" xfId="7600" xr:uid="{00000000-0005-0000-0000-0000565E0000}"/>
    <cellStyle name="Note 63 5 2" xfId="18888" xr:uid="{00000000-0005-0000-0000-0000575E0000}"/>
    <cellStyle name="Note 63 6" xfId="5606" xr:uid="{00000000-0005-0000-0000-0000585E0000}"/>
    <cellStyle name="Note 63 6 2" xfId="16894" xr:uid="{00000000-0005-0000-0000-0000595E0000}"/>
    <cellStyle name="Note 63 7" xfId="14900" xr:uid="{00000000-0005-0000-0000-00005A5E0000}"/>
    <cellStyle name="Note 63 8" xfId="13584" xr:uid="{00000000-0005-0000-0000-00005B5E0000}"/>
    <cellStyle name="Note 64" xfId="3373" xr:uid="{00000000-0005-0000-0000-00005C5E0000}"/>
    <cellStyle name="Note 64 2" xfId="4607" xr:uid="{00000000-0005-0000-0000-00005D5E0000}"/>
    <cellStyle name="Note 64 2 2" xfId="12586" xr:uid="{00000000-0005-0000-0000-00005E5E0000}"/>
    <cellStyle name="Note 64 2 2 2" xfId="23874" xr:uid="{00000000-0005-0000-0000-00005F5E0000}"/>
    <cellStyle name="Note 64 2 3" xfId="10592" xr:uid="{00000000-0005-0000-0000-0000605E0000}"/>
    <cellStyle name="Note 64 2 3 2" xfId="21880" xr:uid="{00000000-0005-0000-0000-0000615E0000}"/>
    <cellStyle name="Note 64 2 4" xfId="8598" xr:uid="{00000000-0005-0000-0000-0000625E0000}"/>
    <cellStyle name="Note 64 2 4 2" xfId="19886" xr:uid="{00000000-0005-0000-0000-0000635E0000}"/>
    <cellStyle name="Note 64 2 5" xfId="6604" xr:uid="{00000000-0005-0000-0000-0000645E0000}"/>
    <cellStyle name="Note 64 2 5 2" xfId="17892" xr:uid="{00000000-0005-0000-0000-0000655E0000}"/>
    <cellStyle name="Note 64 2 6" xfId="15898" xr:uid="{00000000-0005-0000-0000-0000665E0000}"/>
    <cellStyle name="Note 64 3" xfId="11589" xr:uid="{00000000-0005-0000-0000-0000675E0000}"/>
    <cellStyle name="Note 64 3 2" xfId="22877" xr:uid="{00000000-0005-0000-0000-0000685E0000}"/>
    <cellStyle name="Note 64 4" xfId="9595" xr:uid="{00000000-0005-0000-0000-0000695E0000}"/>
    <cellStyle name="Note 64 4 2" xfId="20883" xr:uid="{00000000-0005-0000-0000-00006A5E0000}"/>
    <cellStyle name="Note 64 5" xfId="7601" xr:uid="{00000000-0005-0000-0000-00006B5E0000}"/>
    <cellStyle name="Note 64 5 2" xfId="18889" xr:uid="{00000000-0005-0000-0000-00006C5E0000}"/>
    <cellStyle name="Note 64 6" xfId="5607" xr:uid="{00000000-0005-0000-0000-00006D5E0000}"/>
    <cellStyle name="Note 64 6 2" xfId="16895" xr:uid="{00000000-0005-0000-0000-00006E5E0000}"/>
    <cellStyle name="Note 64 7" xfId="14901" xr:uid="{00000000-0005-0000-0000-00006F5E0000}"/>
    <cellStyle name="Note 64 8" xfId="13585" xr:uid="{00000000-0005-0000-0000-0000705E0000}"/>
    <cellStyle name="Note 65" xfId="3374" xr:uid="{00000000-0005-0000-0000-0000715E0000}"/>
    <cellStyle name="Note 65 2" xfId="4608" xr:uid="{00000000-0005-0000-0000-0000725E0000}"/>
    <cellStyle name="Note 65 2 2" xfId="12587" xr:uid="{00000000-0005-0000-0000-0000735E0000}"/>
    <cellStyle name="Note 65 2 2 2" xfId="23875" xr:uid="{00000000-0005-0000-0000-0000745E0000}"/>
    <cellStyle name="Note 65 2 3" xfId="10593" xr:uid="{00000000-0005-0000-0000-0000755E0000}"/>
    <cellStyle name="Note 65 2 3 2" xfId="21881" xr:uid="{00000000-0005-0000-0000-0000765E0000}"/>
    <cellStyle name="Note 65 2 4" xfId="8599" xr:uid="{00000000-0005-0000-0000-0000775E0000}"/>
    <cellStyle name="Note 65 2 4 2" xfId="19887" xr:uid="{00000000-0005-0000-0000-0000785E0000}"/>
    <cellStyle name="Note 65 2 5" xfId="6605" xr:uid="{00000000-0005-0000-0000-0000795E0000}"/>
    <cellStyle name="Note 65 2 5 2" xfId="17893" xr:uid="{00000000-0005-0000-0000-00007A5E0000}"/>
    <cellStyle name="Note 65 2 6" xfId="15899" xr:uid="{00000000-0005-0000-0000-00007B5E0000}"/>
    <cellStyle name="Note 65 3" xfId="11590" xr:uid="{00000000-0005-0000-0000-00007C5E0000}"/>
    <cellStyle name="Note 65 3 2" xfId="22878" xr:uid="{00000000-0005-0000-0000-00007D5E0000}"/>
    <cellStyle name="Note 65 4" xfId="9596" xr:uid="{00000000-0005-0000-0000-00007E5E0000}"/>
    <cellStyle name="Note 65 4 2" xfId="20884" xr:uid="{00000000-0005-0000-0000-00007F5E0000}"/>
    <cellStyle name="Note 65 5" xfId="7602" xr:uid="{00000000-0005-0000-0000-0000805E0000}"/>
    <cellStyle name="Note 65 5 2" xfId="18890" xr:uid="{00000000-0005-0000-0000-0000815E0000}"/>
    <cellStyle name="Note 65 6" xfId="5608" xr:uid="{00000000-0005-0000-0000-0000825E0000}"/>
    <cellStyle name="Note 65 6 2" xfId="16896" xr:uid="{00000000-0005-0000-0000-0000835E0000}"/>
    <cellStyle name="Note 65 7" xfId="14902" xr:uid="{00000000-0005-0000-0000-0000845E0000}"/>
    <cellStyle name="Note 65 8" xfId="13586" xr:uid="{00000000-0005-0000-0000-0000855E0000}"/>
    <cellStyle name="Note 66" xfId="3375" xr:uid="{00000000-0005-0000-0000-0000865E0000}"/>
    <cellStyle name="Note 66 2" xfId="4609" xr:uid="{00000000-0005-0000-0000-0000875E0000}"/>
    <cellStyle name="Note 66 2 2" xfId="12588" xr:uid="{00000000-0005-0000-0000-0000885E0000}"/>
    <cellStyle name="Note 66 2 2 2" xfId="23876" xr:uid="{00000000-0005-0000-0000-0000895E0000}"/>
    <cellStyle name="Note 66 2 3" xfId="10594" xr:uid="{00000000-0005-0000-0000-00008A5E0000}"/>
    <cellStyle name="Note 66 2 3 2" xfId="21882" xr:uid="{00000000-0005-0000-0000-00008B5E0000}"/>
    <cellStyle name="Note 66 2 4" xfId="8600" xr:uid="{00000000-0005-0000-0000-00008C5E0000}"/>
    <cellStyle name="Note 66 2 4 2" xfId="19888" xr:uid="{00000000-0005-0000-0000-00008D5E0000}"/>
    <cellStyle name="Note 66 2 5" xfId="6606" xr:uid="{00000000-0005-0000-0000-00008E5E0000}"/>
    <cellStyle name="Note 66 2 5 2" xfId="17894" xr:uid="{00000000-0005-0000-0000-00008F5E0000}"/>
    <cellStyle name="Note 66 2 6" xfId="15900" xr:uid="{00000000-0005-0000-0000-0000905E0000}"/>
    <cellStyle name="Note 66 3" xfId="11591" xr:uid="{00000000-0005-0000-0000-0000915E0000}"/>
    <cellStyle name="Note 66 3 2" xfId="22879" xr:uid="{00000000-0005-0000-0000-0000925E0000}"/>
    <cellStyle name="Note 66 4" xfId="9597" xr:uid="{00000000-0005-0000-0000-0000935E0000}"/>
    <cellStyle name="Note 66 4 2" xfId="20885" xr:uid="{00000000-0005-0000-0000-0000945E0000}"/>
    <cellStyle name="Note 66 5" xfId="7603" xr:uid="{00000000-0005-0000-0000-0000955E0000}"/>
    <cellStyle name="Note 66 5 2" xfId="18891" xr:uid="{00000000-0005-0000-0000-0000965E0000}"/>
    <cellStyle name="Note 66 6" xfId="5609" xr:uid="{00000000-0005-0000-0000-0000975E0000}"/>
    <cellStyle name="Note 66 6 2" xfId="16897" xr:uid="{00000000-0005-0000-0000-0000985E0000}"/>
    <cellStyle name="Note 66 7" xfId="14903" xr:uid="{00000000-0005-0000-0000-0000995E0000}"/>
    <cellStyle name="Note 66 8" xfId="13587" xr:uid="{00000000-0005-0000-0000-00009A5E0000}"/>
    <cellStyle name="Note 67" xfId="3376" xr:uid="{00000000-0005-0000-0000-00009B5E0000}"/>
    <cellStyle name="Note 67 2" xfId="4610" xr:uid="{00000000-0005-0000-0000-00009C5E0000}"/>
    <cellStyle name="Note 67 2 2" xfId="12589" xr:uid="{00000000-0005-0000-0000-00009D5E0000}"/>
    <cellStyle name="Note 67 2 2 2" xfId="23877" xr:uid="{00000000-0005-0000-0000-00009E5E0000}"/>
    <cellStyle name="Note 67 2 3" xfId="10595" xr:uid="{00000000-0005-0000-0000-00009F5E0000}"/>
    <cellStyle name="Note 67 2 3 2" xfId="21883" xr:uid="{00000000-0005-0000-0000-0000A05E0000}"/>
    <cellStyle name="Note 67 2 4" xfId="8601" xr:uid="{00000000-0005-0000-0000-0000A15E0000}"/>
    <cellStyle name="Note 67 2 4 2" xfId="19889" xr:uid="{00000000-0005-0000-0000-0000A25E0000}"/>
    <cellStyle name="Note 67 2 5" xfId="6607" xr:uid="{00000000-0005-0000-0000-0000A35E0000}"/>
    <cellStyle name="Note 67 2 5 2" xfId="17895" xr:uid="{00000000-0005-0000-0000-0000A45E0000}"/>
    <cellStyle name="Note 67 2 6" xfId="15901" xr:uid="{00000000-0005-0000-0000-0000A55E0000}"/>
    <cellStyle name="Note 67 3" xfId="11592" xr:uid="{00000000-0005-0000-0000-0000A65E0000}"/>
    <cellStyle name="Note 67 3 2" xfId="22880" xr:uid="{00000000-0005-0000-0000-0000A75E0000}"/>
    <cellStyle name="Note 67 4" xfId="9598" xr:uid="{00000000-0005-0000-0000-0000A85E0000}"/>
    <cellStyle name="Note 67 4 2" xfId="20886" xr:uid="{00000000-0005-0000-0000-0000A95E0000}"/>
    <cellStyle name="Note 67 5" xfId="7604" xr:uid="{00000000-0005-0000-0000-0000AA5E0000}"/>
    <cellStyle name="Note 67 5 2" xfId="18892" xr:uid="{00000000-0005-0000-0000-0000AB5E0000}"/>
    <cellStyle name="Note 67 6" xfId="5610" xr:uid="{00000000-0005-0000-0000-0000AC5E0000}"/>
    <cellStyle name="Note 67 6 2" xfId="16898" xr:uid="{00000000-0005-0000-0000-0000AD5E0000}"/>
    <cellStyle name="Note 67 7" xfId="14904" xr:uid="{00000000-0005-0000-0000-0000AE5E0000}"/>
    <cellStyle name="Note 67 8" xfId="13588" xr:uid="{00000000-0005-0000-0000-0000AF5E0000}"/>
    <cellStyle name="Note 68" xfId="3377" xr:uid="{00000000-0005-0000-0000-0000B05E0000}"/>
    <cellStyle name="Note 68 2" xfId="4611" xr:uid="{00000000-0005-0000-0000-0000B15E0000}"/>
    <cellStyle name="Note 68 2 2" xfId="12590" xr:uid="{00000000-0005-0000-0000-0000B25E0000}"/>
    <cellStyle name="Note 68 2 2 2" xfId="23878" xr:uid="{00000000-0005-0000-0000-0000B35E0000}"/>
    <cellStyle name="Note 68 2 3" xfId="10596" xr:uid="{00000000-0005-0000-0000-0000B45E0000}"/>
    <cellStyle name="Note 68 2 3 2" xfId="21884" xr:uid="{00000000-0005-0000-0000-0000B55E0000}"/>
    <cellStyle name="Note 68 2 4" xfId="8602" xr:uid="{00000000-0005-0000-0000-0000B65E0000}"/>
    <cellStyle name="Note 68 2 4 2" xfId="19890" xr:uid="{00000000-0005-0000-0000-0000B75E0000}"/>
    <cellStyle name="Note 68 2 5" xfId="6608" xr:uid="{00000000-0005-0000-0000-0000B85E0000}"/>
    <cellStyle name="Note 68 2 5 2" xfId="17896" xr:uid="{00000000-0005-0000-0000-0000B95E0000}"/>
    <cellStyle name="Note 68 2 6" xfId="15902" xr:uid="{00000000-0005-0000-0000-0000BA5E0000}"/>
    <cellStyle name="Note 68 3" xfId="11593" xr:uid="{00000000-0005-0000-0000-0000BB5E0000}"/>
    <cellStyle name="Note 68 3 2" xfId="22881" xr:uid="{00000000-0005-0000-0000-0000BC5E0000}"/>
    <cellStyle name="Note 68 4" xfId="9599" xr:uid="{00000000-0005-0000-0000-0000BD5E0000}"/>
    <cellStyle name="Note 68 4 2" xfId="20887" xr:uid="{00000000-0005-0000-0000-0000BE5E0000}"/>
    <cellStyle name="Note 68 5" xfId="7605" xr:uid="{00000000-0005-0000-0000-0000BF5E0000}"/>
    <cellStyle name="Note 68 5 2" xfId="18893" xr:uid="{00000000-0005-0000-0000-0000C05E0000}"/>
    <cellStyle name="Note 68 6" xfId="5611" xr:uid="{00000000-0005-0000-0000-0000C15E0000}"/>
    <cellStyle name="Note 68 6 2" xfId="16899" xr:uid="{00000000-0005-0000-0000-0000C25E0000}"/>
    <cellStyle name="Note 68 7" xfId="14905" xr:uid="{00000000-0005-0000-0000-0000C35E0000}"/>
    <cellStyle name="Note 68 8" xfId="13589" xr:uid="{00000000-0005-0000-0000-0000C45E0000}"/>
    <cellStyle name="Note 69" xfId="3378" xr:uid="{00000000-0005-0000-0000-0000C55E0000}"/>
    <cellStyle name="Note 69 2" xfId="4612" xr:uid="{00000000-0005-0000-0000-0000C65E0000}"/>
    <cellStyle name="Note 69 2 2" xfId="12591" xr:uid="{00000000-0005-0000-0000-0000C75E0000}"/>
    <cellStyle name="Note 69 2 2 2" xfId="23879" xr:uid="{00000000-0005-0000-0000-0000C85E0000}"/>
    <cellStyle name="Note 69 2 3" xfId="10597" xr:uid="{00000000-0005-0000-0000-0000C95E0000}"/>
    <cellStyle name="Note 69 2 3 2" xfId="21885" xr:uid="{00000000-0005-0000-0000-0000CA5E0000}"/>
    <cellStyle name="Note 69 2 4" xfId="8603" xr:uid="{00000000-0005-0000-0000-0000CB5E0000}"/>
    <cellStyle name="Note 69 2 4 2" xfId="19891" xr:uid="{00000000-0005-0000-0000-0000CC5E0000}"/>
    <cellStyle name="Note 69 2 5" xfId="6609" xr:uid="{00000000-0005-0000-0000-0000CD5E0000}"/>
    <cellStyle name="Note 69 2 5 2" xfId="17897" xr:uid="{00000000-0005-0000-0000-0000CE5E0000}"/>
    <cellStyle name="Note 69 2 6" xfId="15903" xr:uid="{00000000-0005-0000-0000-0000CF5E0000}"/>
    <cellStyle name="Note 69 3" xfId="11594" xr:uid="{00000000-0005-0000-0000-0000D05E0000}"/>
    <cellStyle name="Note 69 3 2" xfId="22882" xr:uid="{00000000-0005-0000-0000-0000D15E0000}"/>
    <cellStyle name="Note 69 4" xfId="9600" xr:uid="{00000000-0005-0000-0000-0000D25E0000}"/>
    <cellStyle name="Note 69 4 2" xfId="20888" xr:uid="{00000000-0005-0000-0000-0000D35E0000}"/>
    <cellStyle name="Note 69 5" xfId="7606" xr:uid="{00000000-0005-0000-0000-0000D45E0000}"/>
    <cellStyle name="Note 69 5 2" xfId="18894" xr:uid="{00000000-0005-0000-0000-0000D55E0000}"/>
    <cellStyle name="Note 69 6" xfId="5612" xr:uid="{00000000-0005-0000-0000-0000D65E0000}"/>
    <cellStyle name="Note 69 6 2" xfId="16900" xr:uid="{00000000-0005-0000-0000-0000D75E0000}"/>
    <cellStyle name="Note 69 7" xfId="14906" xr:uid="{00000000-0005-0000-0000-0000D85E0000}"/>
    <cellStyle name="Note 69 8" xfId="13590" xr:uid="{00000000-0005-0000-0000-0000D95E0000}"/>
    <cellStyle name="Note 7" xfId="3379" xr:uid="{00000000-0005-0000-0000-0000DA5E0000}"/>
    <cellStyle name="Note 7 10" xfId="24757" xr:uid="{00000000-0005-0000-0000-0000DB5E0000}"/>
    <cellStyle name="Note 7 11" xfId="25079" xr:uid="{00000000-0005-0000-0000-0000DC5E0000}"/>
    <cellStyle name="Note 7 2" xfId="4613" xr:uid="{00000000-0005-0000-0000-0000DD5E0000}"/>
    <cellStyle name="Note 7 2 2" xfId="12592" xr:uid="{00000000-0005-0000-0000-0000DE5E0000}"/>
    <cellStyle name="Note 7 2 2 2" xfId="23880" xr:uid="{00000000-0005-0000-0000-0000DF5E0000}"/>
    <cellStyle name="Note 7 2 3" xfId="10598" xr:uid="{00000000-0005-0000-0000-0000E05E0000}"/>
    <cellStyle name="Note 7 2 3 2" xfId="21886" xr:uid="{00000000-0005-0000-0000-0000E15E0000}"/>
    <cellStyle name="Note 7 2 4" xfId="8604" xr:uid="{00000000-0005-0000-0000-0000E25E0000}"/>
    <cellStyle name="Note 7 2 4 2" xfId="19892" xr:uid="{00000000-0005-0000-0000-0000E35E0000}"/>
    <cellStyle name="Note 7 2 5" xfId="6610" xr:uid="{00000000-0005-0000-0000-0000E45E0000}"/>
    <cellStyle name="Note 7 2 5 2" xfId="17898" xr:uid="{00000000-0005-0000-0000-0000E55E0000}"/>
    <cellStyle name="Note 7 2 6" xfId="15904" xr:uid="{00000000-0005-0000-0000-0000E65E0000}"/>
    <cellStyle name="Note 7 2 7" xfId="24461" xr:uid="{00000000-0005-0000-0000-0000E75E0000}"/>
    <cellStyle name="Note 7 2 8" xfId="24905" xr:uid="{00000000-0005-0000-0000-0000E85E0000}"/>
    <cellStyle name="Note 7 2 9" xfId="25267" xr:uid="{00000000-0005-0000-0000-0000E95E0000}"/>
    <cellStyle name="Note 7 3" xfId="11595" xr:uid="{00000000-0005-0000-0000-0000EA5E0000}"/>
    <cellStyle name="Note 7 3 2" xfId="22883" xr:uid="{00000000-0005-0000-0000-0000EB5E0000}"/>
    <cellStyle name="Note 7 4" xfId="9601" xr:uid="{00000000-0005-0000-0000-0000EC5E0000}"/>
    <cellStyle name="Note 7 4 2" xfId="20889" xr:uid="{00000000-0005-0000-0000-0000ED5E0000}"/>
    <cellStyle name="Note 7 5" xfId="7607" xr:uid="{00000000-0005-0000-0000-0000EE5E0000}"/>
    <cellStyle name="Note 7 5 2" xfId="18895" xr:uid="{00000000-0005-0000-0000-0000EF5E0000}"/>
    <cellStyle name="Note 7 6" xfId="5613" xr:uid="{00000000-0005-0000-0000-0000F05E0000}"/>
    <cellStyle name="Note 7 6 2" xfId="16901" xr:uid="{00000000-0005-0000-0000-0000F15E0000}"/>
    <cellStyle name="Note 7 7" xfId="14907" xr:uid="{00000000-0005-0000-0000-0000F25E0000}"/>
    <cellStyle name="Note 7 8" xfId="13591" xr:uid="{00000000-0005-0000-0000-0000F35E0000}"/>
    <cellStyle name="Note 7 9" xfId="24195" xr:uid="{00000000-0005-0000-0000-0000F45E0000}"/>
    <cellStyle name="Note 70" xfId="3380" xr:uid="{00000000-0005-0000-0000-0000F55E0000}"/>
    <cellStyle name="Note 70 2" xfId="4614" xr:uid="{00000000-0005-0000-0000-0000F65E0000}"/>
    <cellStyle name="Note 70 2 2" xfId="12593" xr:uid="{00000000-0005-0000-0000-0000F75E0000}"/>
    <cellStyle name="Note 70 2 2 2" xfId="23881" xr:uid="{00000000-0005-0000-0000-0000F85E0000}"/>
    <cellStyle name="Note 70 2 3" xfId="10599" xr:uid="{00000000-0005-0000-0000-0000F95E0000}"/>
    <cellStyle name="Note 70 2 3 2" xfId="21887" xr:uid="{00000000-0005-0000-0000-0000FA5E0000}"/>
    <cellStyle name="Note 70 2 4" xfId="8605" xr:uid="{00000000-0005-0000-0000-0000FB5E0000}"/>
    <cellStyle name="Note 70 2 4 2" xfId="19893" xr:uid="{00000000-0005-0000-0000-0000FC5E0000}"/>
    <cellStyle name="Note 70 2 5" xfId="6611" xr:uid="{00000000-0005-0000-0000-0000FD5E0000}"/>
    <cellStyle name="Note 70 2 5 2" xfId="17899" xr:uid="{00000000-0005-0000-0000-0000FE5E0000}"/>
    <cellStyle name="Note 70 2 6" xfId="15905" xr:uid="{00000000-0005-0000-0000-0000FF5E0000}"/>
    <cellStyle name="Note 70 3" xfId="11596" xr:uid="{00000000-0005-0000-0000-0000005F0000}"/>
    <cellStyle name="Note 70 3 2" xfId="22884" xr:uid="{00000000-0005-0000-0000-0000015F0000}"/>
    <cellStyle name="Note 70 4" xfId="9602" xr:uid="{00000000-0005-0000-0000-0000025F0000}"/>
    <cellStyle name="Note 70 4 2" xfId="20890" xr:uid="{00000000-0005-0000-0000-0000035F0000}"/>
    <cellStyle name="Note 70 5" xfId="7608" xr:uid="{00000000-0005-0000-0000-0000045F0000}"/>
    <cellStyle name="Note 70 5 2" xfId="18896" xr:uid="{00000000-0005-0000-0000-0000055F0000}"/>
    <cellStyle name="Note 70 6" xfId="5614" xr:uid="{00000000-0005-0000-0000-0000065F0000}"/>
    <cellStyle name="Note 70 6 2" xfId="16902" xr:uid="{00000000-0005-0000-0000-0000075F0000}"/>
    <cellStyle name="Note 70 7" xfId="14908" xr:uid="{00000000-0005-0000-0000-0000085F0000}"/>
    <cellStyle name="Note 70 8" xfId="13592" xr:uid="{00000000-0005-0000-0000-0000095F0000}"/>
    <cellStyle name="Note 71" xfId="3381" xr:uid="{00000000-0005-0000-0000-00000A5F0000}"/>
    <cellStyle name="Note 71 2" xfId="4615" xr:uid="{00000000-0005-0000-0000-00000B5F0000}"/>
    <cellStyle name="Note 71 2 2" xfId="12594" xr:uid="{00000000-0005-0000-0000-00000C5F0000}"/>
    <cellStyle name="Note 71 2 2 2" xfId="23882" xr:uid="{00000000-0005-0000-0000-00000D5F0000}"/>
    <cellStyle name="Note 71 2 3" xfId="10600" xr:uid="{00000000-0005-0000-0000-00000E5F0000}"/>
    <cellStyle name="Note 71 2 3 2" xfId="21888" xr:uid="{00000000-0005-0000-0000-00000F5F0000}"/>
    <cellStyle name="Note 71 2 4" xfId="8606" xr:uid="{00000000-0005-0000-0000-0000105F0000}"/>
    <cellStyle name="Note 71 2 4 2" xfId="19894" xr:uid="{00000000-0005-0000-0000-0000115F0000}"/>
    <cellStyle name="Note 71 2 5" xfId="6612" xr:uid="{00000000-0005-0000-0000-0000125F0000}"/>
    <cellStyle name="Note 71 2 5 2" xfId="17900" xr:uid="{00000000-0005-0000-0000-0000135F0000}"/>
    <cellStyle name="Note 71 2 6" xfId="15906" xr:uid="{00000000-0005-0000-0000-0000145F0000}"/>
    <cellStyle name="Note 71 3" xfId="11597" xr:uid="{00000000-0005-0000-0000-0000155F0000}"/>
    <cellStyle name="Note 71 3 2" xfId="22885" xr:uid="{00000000-0005-0000-0000-0000165F0000}"/>
    <cellStyle name="Note 71 4" xfId="9603" xr:uid="{00000000-0005-0000-0000-0000175F0000}"/>
    <cellStyle name="Note 71 4 2" xfId="20891" xr:uid="{00000000-0005-0000-0000-0000185F0000}"/>
    <cellStyle name="Note 71 5" xfId="7609" xr:uid="{00000000-0005-0000-0000-0000195F0000}"/>
    <cellStyle name="Note 71 5 2" xfId="18897" xr:uid="{00000000-0005-0000-0000-00001A5F0000}"/>
    <cellStyle name="Note 71 6" xfId="5615" xr:uid="{00000000-0005-0000-0000-00001B5F0000}"/>
    <cellStyle name="Note 71 6 2" xfId="16903" xr:uid="{00000000-0005-0000-0000-00001C5F0000}"/>
    <cellStyle name="Note 71 7" xfId="14909" xr:uid="{00000000-0005-0000-0000-00001D5F0000}"/>
    <cellStyle name="Note 71 8" xfId="13593" xr:uid="{00000000-0005-0000-0000-00001E5F0000}"/>
    <cellStyle name="Note 72" xfId="3382" xr:uid="{00000000-0005-0000-0000-00001F5F0000}"/>
    <cellStyle name="Note 72 2" xfId="4616" xr:uid="{00000000-0005-0000-0000-0000205F0000}"/>
    <cellStyle name="Note 72 2 2" xfId="12595" xr:uid="{00000000-0005-0000-0000-0000215F0000}"/>
    <cellStyle name="Note 72 2 2 2" xfId="23883" xr:uid="{00000000-0005-0000-0000-0000225F0000}"/>
    <cellStyle name="Note 72 2 3" xfId="10601" xr:uid="{00000000-0005-0000-0000-0000235F0000}"/>
    <cellStyle name="Note 72 2 3 2" xfId="21889" xr:uid="{00000000-0005-0000-0000-0000245F0000}"/>
    <cellStyle name="Note 72 2 4" xfId="8607" xr:uid="{00000000-0005-0000-0000-0000255F0000}"/>
    <cellStyle name="Note 72 2 4 2" xfId="19895" xr:uid="{00000000-0005-0000-0000-0000265F0000}"/>
    <cellStyle name="Note 72 2 5" xfId="6613" xr:uid="{00000000-0005-0000-0000-0000275F0000}"/>
    <cellStyle name="Note 72 2 5 2" xfId="17901" xr:uid="{00000000-0005-0000-0000-0000285F0000}"/>
    <cellStyle name="Note 72 2 6" xfId="15907" xr:uid="{00000000-0005-0000-0000-0000295F0000}"/>
    <cellStyle name="Note 72 3" xfId="11598" xr:uid="{00000000-0005-0000-0000-00002A5F0000}"/>
    <cellStyle name="Note 72 3 2" xfId="22886" xr:uid="{00000000-0005-0000-0000-00002B5F0000}"/>
    <cellStyle name="Note 72 4" xfId="9604" xr:uid="{00000000-0005-0000-0000-00002C5F0000}"/>
    <cellStyle name="Note 72 4 2" xfId="20892" xr:uid="{00000000-0005-0000-0000-00002D5F0000}"/>
    <cellStyle name="Note 72 5" xfId="7610" xr:uid="{00000000-0005-0000-0000-00002E5F0000}"/>
    <cellStyle name="Note 72 5 2" xfId="18898" xr:uid="{00000000-0005-0000-0000-00002F5F0000}"/>
    <cellStyle name="Note 72 6" xfId="5616" xr:uid="{00000000-0005-0000-0000-0000305F0000}"/>
    <cellStyle name="Note 72 6 2" xfId="16904" xr:uid="{00000000-0005-0000-0000-0000315F0000}"/>
    <cellStyle name="Note 72 7" xfId="14910" xr:uid="{00000000-0005-0000-0000-0000325F0000}"/>
    <cellStyle name="Note 72 8" xfId="13594" xr:uid="{00000000-0005-0000-0000-0000335F0000}"/>
    <cellStyle name="Note 8" xfId="3383" xr:uid="{00000000-0005-0000-0000-0000345F0000}"/>
    <cellStyle name="Note 8 10" xfId="24758" xr:uid="{00000000-0005-0000-0000-0000355F0000}"/>
    <cellStyle name="Note 8 11" xfId="25080" xr:uid="{00000000-0005-0000-0000-0000365F0000}"/>
    <cellStyle name="Note 8 2" xfId="4617" xr:uid="{00000000-0005-0000-0000-0000375F0000}"/>
    <cellStyle name="Note 8 2 2" xfId="12596" xr:uid="{00000000-0005-0000-0000-0000385F0000}"/>
    <cellStyle name="Note 8 2 2 2" xfId="23884" xr:uid="{00000000-0005-0000-0000-0000395F0000}"/>
    <cellStyle name="Note 8 2 3" xfId="10602" xr:uid="{00000000-0005-0000-0000-00003A5F0000}"/>
    <cellStyle name="Note 8 2 3 2" xfId="21890" xr:uid="{00000000-0005-0000-0000-00003B5F0000}"/>
    <cellStyle name="Note 8 2 4" xfId="8608" xr:uid="{00000000-0005-0000-0000-00003C5F0000}"/>
    <cellStyle name="Note 8 2 4 2" xfId="19896" xr:uid="{00000000-0005-0000-0000-00003D5F0000}"/>
    <cellStyle name="Note 8 2 5" xfId="6614" xr:uid="{00000000-0005-0000-0000-00003E5F0000}"/>
    <cellStyle name="Note 8 2 5 2" xfId="17902" xr:uid="{00000000-0005-0000-0000-00003F5F0000}"/>
    <cellStyle name="Note 8 2 6" xfId="15908" xr:uid="{00000000-0005-0000-0000-0000405F0000}"/>
    <cellStyle name="Note 8 2 7" xfId="24462" xr:uid="{00000000-0005-0000-0000-0000415F0000}"/>
    <cellStyle name="Note 8 2 8" xfId="24906" xr:uid="{00000000-0005-0000-0000-0000425F0000}"/>
    <cellStyle name="Note 8 2 9" xfId="25268" xr:uid="{00000000-0005-0000-0000-0000435F0000}"/>
    <cellStyle name="Note 8 3" xfId="11599" xr:uid="{00000000-0005-0000-0000-0000445F0000}"/>
    <cellStyle name="Note 8 3 2" xfId="22887" xr:uid="{00000000-0005-0000-0000-0000455F0000}"/>
    <cellStyle name="Note 8 4" xfId="9605" xr:uid="{00000000-0005-0000-0000-0000465F0000}"/>
    <cellStyle name="Note 8 4 2" xfId="20893" xr:uid="{00000000-0005-0000-0000-0000475F0000}"/>
    <cellStyle name="Note 8 5" xfId="7611" xr:uid="{00000000-0005-0000-0000-0000485F0000}"/>
    <cellStyle name="Note 8 5 2" xfId="18899" xr:uid="{00000000-0005-0000-0000-0000495F0000}"/>
    <cellStyle name="Note 8 6" xfId="5617" xr:uid="{00000000-0005-0000-0000-00004A5F0000}"/>
    <cellStyle name="Note 8 6 2" xfId="16905" xr:uid="{00000000-0005-0000-0000-00004B5F0000}"/>
    <cellStyle name="Note 8 7" xfId="14911" xr:uid="{00000000-0005-0000-0000-00004C5F0000}"/>
    <cellStyle name="Note 8 8" xfId="13595" xr:uid="{00000000-0005-0000-0000-00004D5F0000}"/>
    <cellStyle name="Note 8 9" xfId="24196" xr:uid="{00000000-0005-0000-0000-00004E5F0000}"/>
    <cellStyle name="Note 9" xfId="3384" xr:uid="{00000000-0005-0000-0000-00004F5F0000}"/>
    <cellStyle name="Note 9 10" xfId="24759" xr:uid="{00000000-0005-0000-0000-0000505F0000}"/>
    <cellStyle name="Note 9 11" xfId="25081" xr:uid="{00000000-0005-0000-0000-0000515F0000}"/>
    <cellStyle name="Note 9 2" xfId="4618" xr:uid="{00000000-0005-0000-0000-0000525F0000}"/>
    <cellStyle name="Note 9 2 2" xfId="12597" xr:uid="{00000000-0005-0000-0000-0000535F0000}"/>
    <cellStyle name="Note 9 2 2 2" xfId="23885" xr:uid="{00000000-0005-0000-0000-0000545F0000}"/>
    <cellStyle name="Note 9 2 3" xfId="10603" xr:uid="{00000000-0005-0000-0000-0000555F0000}"/>
    <cellStyle name="Note 9 2 3 2" xfId="21891" xr:uid="{00000000-0005-0000-0000-0000565F0000}"/>
    <cellStyle name="Note 9 2 4" xfId="8609" xr:uid="{00000000-0005-0000-0000-0000575F0000}"/>
    <cellStyle name="Note 9 2 4 2" xfId="19897" xr:uid="{00000000-0005-0000-0000-0000585F0000}"/>
    <cellStyle name="Note 9 2 5" xfId="6615" xr:uid="{00000000-0005-0000-0000-0000595F0000}"/>
    <cellStyle name="Note 9 2 5 2" xfId="17903" xr:uid="{00000000-0005-0000-0000-00005A5F0000}"/>
    <cellStyle name="Note 9 2 6" xfId="15909" xr:uid="{00000000-0005-0000-0000-00005B5F0000}"/>
    <cellStyle name="Note 9 2 7" xfId="24463" xr:uid="{00000000-0005-0000-0000-00005C5F0000}"/>
    <cellStyle name="Note 9 2 8" xfId="24907" xr:uid="{00000000-0005-0000-0000-00005D5F0000}"/>
    <cellStyle name="Note 9 2 9" xfId="25269" xr:uid="{00000000-0005-0000-0000-00005E5F0000}"/>
    <cellStyle name="Note 9 3" xfId="11600" xr:uid="{00000000-0005-0000-0000-00005F5F0000}"/>
    <cellStyle name="Note 9 3 2" xfId="22888" xr:uid="{00000000-0005-0000-0000-0000605F0000}"/>
    <cellStyle name="Note 9 4" xfId="9606" xr:uid="{00000000-0005-0000-0000-0000615F0000}"/>
    <cellStyle name="Note 9 4 2" xfId="20894" xr:uid="{00000000-0005-0000-0000-0000625F0000}"/>
    <cellStyle name="Note 9 5" xfId="7612" xr:uid="{00000000-0005-0000-0000-0000635F0000}"/>
    <cellStyle name="Note 9 5 2" xfId="18900" xr:uid="{00000000-0005-0000-0000-0000645F0000}"/>
    <cellStyle name="Note 9 6" xfId="5618" xr:uid="{00000000-0005-0000-0000-0000655F0000}"/>
    <cellStyle name="Note 9 6 2" xfId="16906" xr:uid="{00000000-0005-0000-0000-0000665F0000}"/>
    <cellStyle name="Note 9 7" xfId="14912" xr:uid="{00000000-0005-0000-0000-0000675F0000}"/>
    <cellStyle name="Note 9 8" xfId="13596" xr:uid="{00000000-0005-0000-0000-0000685F0000}"/>
    <cellStyle name="Note 9 9" xfId="24197" xr:uid="{00000000-0005-0000-0000-0000695F0000}"/>
    <cellStyle name="Number" xfId="62" xr:uid="{00000000-0005-0000-0000-00006A5F0000}"/>
    <cellStyle name="Number 10" xfId="24416" xr:uid="{00000000-0005-0000-0000-00006B5F0000}"/>
    <cellStyle name="number 11" xfId="23923" xr:uid="{00000000-0005-0000-0000-00006C5F0000}"/>
    <cellStyle name="number 12" xfId="24248" xr:uid="{00000000-0005-0000-0000-00006D5F0000}"/>
    <cellStyle name="number 13" xfId="24529" xr:uid="{00000000-0005-0000-0000-00006E5F0000}"/>
    <cellStyle name="number 14" xfId="24518" xr:uid="{00000000-0005-0000-0000-00006F5F0000}"/>
    <cellStyle name="number 15" xfId="24522" xr:uid="{00000000-0005-0000-0000-0000705F0000}"/>
    <cellStyle name="number 16" xfId="24184" xr:uid="{00000000-0005-0000-0000-0000715F0000}"/>
    <cellStyle name="number 17" xfId="24532" xr:uid="{00000000-0005-0000-0000-0000725F0000}"/>
    <cellStyle name="number 18" xfId="24521" xr:uid="{00000000-0005-0000-0000-0000735F0000}"/>
    <cellStyle name="number 19" xfId="24523" xr:uid="{00000000-0005-0000-0000-0000745F0000}"/>
    <cellStyle name="number 2" xfId="24199" xr:uid="{00000000-0005-0000-0000-0000755F0000}"/>
    <cellStyle name="number 20" xfId="24542" xr:uid="{00000000-0005-0000-0000-0000765F0000}"/>
    <cellStyle name="number 21" xfId="24065" xr:uid="{00000000-0005-0000-0000-0000775F0000}"/>
    <cellStyle name="number 22" xfId="24551" xr:uid="{00000000-0005-0000-0000-0000785F0000}"/>
    <cellStyle name="number 23" xfId="24770" xr:uid="{00000000-0005-0000-0000-0000795F0000}"/>
    <cellStyle name="number 24" xfId="24671" xr:uid="{00000000-0005-0000-0000-00007A5F0000}"/>
    <cellStyle name="number 25" xfId="24779" xr:uid="{00000000-0005-0000-0000-00007B5F0000}"/>
    <cellStyle name="number 26" xfId="24860" xr:uid="{00000000-0005-0000-0000-00007C5F0000}"/>
    <cellStyle name="number 27" xfId="24936" xr:uid="{00000000-0005-0000-0000-00007D5F0000}"/>
    <cellStyle name="number 28" xfId="24931" xr:uid="{00000000-0005-0000-0000-00007E5F0000}"/>
    <cellStyle name="number 29" xfId="24764" xr:uid="{00000000-0005-0000-0000-00007F5F0000}"/>
    <cellStyle name="number 3" xfId="24200" xr:uid="{00000000-0005-0000-0000-0000805F0000}"/>
    <cellStyle name="number 30" xfId="24917" xr:uid="{00000000-0005-0000-0000-0000815F0000}"/>
    <cellStyle name="number 31" xfId="24940" xr:uid="{00000000-0005-0000-0000-0000825F0000}"/>
    <cellStyle name="number 32" xfId="24704" xr:uid="{00000000-0005-0000-0000-0000835F0000}"/>
    <cellStyle name="number 33" xfId="24670" xr:uid="{00000000-0005-0000-0000-0000845F0000}"/>
    <cellStyle name="number 34" xfId="24555" xr:uid="{00000000-0005-0000-0000-0000855F0000}"/>
    <cellStyle name="number 35" xfId="24945" xr:uid="{00000000-0005-0000-0000-0000865F0000}"/>
    <cellStyle name="Number 4" xfId="24198" xr:uid="{00000000-0005-0000-0000-0000875F0000}"/>
    <cellStyle name="Number 5" xfId="24311" xr:uid="{00000000-0005-0000-0000-0000885F0000}"/>
    <cellStyle name="Number 6" xfId="24309" xr:uid="{00000000-0005-0000-0000-0000895F0000}"/>
    <cellStyle name="Number 7" xfId="24310" xr:uid="{00000000-0005-0000-0000-00008A5F0000}"/>
    <cellStyle name="Number 8" xfId="24464" xr:uid="{00000000-0005-0000-0000-00008B5F0000}"/>
    <cellStyle name="Number 9" xfId="24394" xr:uid="{00000000-0005-0000-0000-00008C5F0000}"/>
    <cellStyle name="Numbers" xfId="578" xr:uid="{00000000-0005-0000-0000-00008D5F0000}"/>
    <cellStyle name="Numbers - Bold" xfId="579" xr:uid="{00000000-0005-0000-0000-00008E5F0000}"/>
    <cellStyle name="Numbers - Bold 2" xfId="24201" xr:uid="{00000000-0005-0000-0000-00008F5F0000}"/>
    <cellStyle name="Output 10" xfId="3385" xr:uid="{00000000-0005-0000-0000-0000905F0000}"/>
    <cellStyle name="Output 11" xfId="3386" xr:uid="{00000000-0005-0000-0000-0000915F0000}"/>
    <cellStyle name="Output 12" xfId="3387" xr:uid="{00000000-0005-0000-0000-0000925F0000}"/>
    <cellStyle name="Output 13" xfId="3388" xr:uid="{00000000-0005-0000-0000-0000935F0000}"/>
    <cellStyle name="Output 14" xfId="3389" xr:uid="{00000000-0005-0000-0000-0000945F0000}"/>
    <cellStyle name="Output 15" xfId="3390" xr:uid="{00000000-0005-0000-0000-0000955F0000}"/>
    <cellStyle name="Output 16" xfId="3391" xr:uid="{00000000-0005-0000-0000-0000965F0000}"/>
    <cellStyle name="Output 17" xfId="3392" xr:uid="{00000000-0005-0000-0000-0000975F0000}"/>
    <cellStyle name="Output 18" xfId="3393" xr:uid="{00000000-0005-0000-0000-0000985F0000}"/>
    <cellStyle name="Output 19" xfId="3394" xr:uid="{00000000-0005-0000-0000-0000995F0000}"/>
    <cellStyle name="Output 2" xfId="3395" xr:uid="{00000000-0005-0000-0000-00009A5F0000}"/>
    <cellStyle name="Output 2 2" xfId="24203" xr:uid="{00000000-0005-0000-0000-00009B5F0000}"/>
    <cellStyle name="Output 2 2 2" xfId="24696" xr:uid="{00000000-0005-0000-0000-00009C5F0000}"/>
    <cellStyle name="Output 2 2 2 2" xfId="25348" xr:uid="{00000000-0005-0000-0000-00009D5F0000}"/>
    <cellStyle name="Output 2 2 2 3" xfId="25655" xr:uid="{00000000-0005-0000-0000-00009E5F0000}"/>
    <cellStyle name="Output 2 2 3" xfId="25083" xr:uid="{00000000-0005-0000-0000-00009F5F0000}"/>
    <cellStyle name="Output 2 2 3 2" xfId="25416" xr:uid="{00000000-0005-0000-0000-0000A05F0000}"/>
    <cellStyle name="Output 2 2 3 3" xfId="25683" xr:uid="{00000000-0005-0000-0000-0000A15F0000}"/>
    <cellStyle name="Output 2 2 4" xfId="25364" xr:uid="{00000000-0005-0000-0000-0000A25F0000}"/>
    <cellStyle name="Output 2 2 5" xfId="25570" xr:uid="{00000000-0005-0000-0000-0000A35F0000}"/>
    <cellStyle name="Output 2 3" xfId="24202" xr:uid="{00000000-0005-0000-0000-0000A45F0000}"/>
    <cellStyle name="Output 2 3 2" xfId="25453" xr:uid="{00000000-0005-0000-0000-0000A55F0000}"/>
    <cellStyle name="Output 2 3 3" xfId="25569" xr:uid="{00000000-0005-0000-0000-0000A65F0000}"/>
    <cellStyle name="Output 2 4" xfId="24697" xr:uid="{00000000-0005-0000-0000-0000A75F0000}"/>
    <cellStyle name="Output 2 4 2" xfId="25449" xr:uid="{00000000-0005-0000-0000-0000A85F0000}"/>
    <cellStyle name="Output 2 4 3" xfId="25656" xr:uid="{00000000-0005-0000-0000-0000A95F0000}"/>
    <cellStyle name="Output 2 5" xfId="25082" xr:uid="{00000000-0005-0000-0000-0000AA5F0000}"/>
    <cellStyle name="Output 2 5 2" xfId="25315" xr:uid="{00000000-0005-0000-0000-0000AB5F0000}"/>
    <cellStyle name="Output 2 5 3" xfId="25682" xr:uid="{00000000-0005-0000-0000-0000AC5F0000}"/>
    <cellStyle name="Output 20" xfId="3396" xr:uid="{00000000-0005-0000-0000-0000AD5F0000}"/>
    <cellStyle name="Output 21" xfId="3397" xr:uid="{00000000-0005-0000-0000-0000AE5F0000}"/>
    <cellStyle name="Output 22" xfId="3398" xr:uid="{00000000-0005-0000-0000-0000AF5F0000}"/>
    <cellStyle name="Output 23" xfId="3399" xr:uid="{00000000-0005-0000-0000-0000B05F0000}"/>
    <cellStyle name="Output 24" xfId="3400" xr:uid="{00000000-0005-0000-0000-0000B15F0000}"/>
    <cellStyle name="Output 25" xfId="3401" xr:uid="{00000000-0005-0000-0000-0000B25F0000}"/>
    <cellStyle name="Output 26" xfId="3402" xr:uid="{00000000-0005-0000-0000-0000B35F0000}"/>
    <cellStyle name="Output 27" xfId="3403" xr:uid="{00000000-0005-0000-0000-0000B45F0000}"/>
    <cellStyle name="Output 28" xfId="3404" xr:uid="{00000000-0005-0000-0000-0000B55F0000}"/>
    <cellStyle name="Output 29" xfId="3405" xr:uid="{00000000-0005-0000-0000-0000B65F0000}"/>
    <cellStyle name="Output 3" xfId="3406" xr:uid="{00000000-0005-0000-0000-0000B75F0000}"/>
    <cellStyle name="Output 3 2" xfId="24205" xr:uid="{00000000-0005-0000-0000-0000B85F0000}"/>
    <cellStyle name="Output 3 2 2" xfId="24694" xr:uid="{00000000-0005-0000-0000-0000B95F0000}"/>
    <cellStyle name="Output 3 2 2 2" xfId="25331" xr:uid="{00000000-0005-0000-0000-0000BA5F0000}"/>
    <cellStyle name="Output 3 2 2 3" xfId="25653" xr:uid="{00000000-0005-0000-0000-0000BB5F0000}"/>
    <cellStyle name="Output 3 2 3" xfId="25085" xr:uid="{00000000-0005-0000-0000-0000BC5F0000}"/>
    <cellStyle name="Output 3 2 3 2" xfId="25430" xr:uid="{00000000-0005-0000-0000-0000BD5F0000}"/>
    <cellStyle name="Output 3 2 3 3" xfId="25685" xr:uid="{00000000-0005-0000-0000-0000BE5F0000}"/>
    <cellStyle name="Output 3 2 4" xfId="25291" xr:uid="{00000000-0005-0000-0000-0000BF5F0000}"/>
    <cellStyle name="Output 3 2 5" xfId="25572" xr:uid="{00000000-0005-0000-0000-0000C05F0000}"/>
    <cellStyle name="Output 3 3" xfId="24204" xr:uid="{00000000-0005-0000-0000-0000C15F0000}"/>
    <cellStyle name="Output 3 3 2" xfId="25301" xr:uid="{00000000-0005-0000-0000-0000C25F0000}"/>
    <cellStyle name="Output 3 3 3" xfId="25571" xr:uid="{00000000-0005-0000-0000-0000C35F0000}"/>
    <cellStyle name="Output 3 4" xfId="24695" xr:uid="{00000000-0005-0000-0000-0000C45F0000}"/>
    <cellStyle name="Output 3 4 2" xfId="25432" xr:uid="{00000000-0005-0000-0000-0000C55F0000}"/>
    <cellStyle name="Output 3 4 3" xfId="25654" xr:uid="{00000000-0005-0000-0000-0000C65F0000}"/>
    <cellStyle name="Output 3 5" xfId="25084" xr:uid="{00000000-0005-0000-0000-0000C75F0000}"/>
    <cellStyle name="Output 3 5 2" xfId="25329" xr:uid="{00000000-0005-0000-0000-0000C85F0000}"/>
    <cellStyle name="Output 3 5 3" xfId="25684" xr:uid="{00000000-0005-0000-0000-0000C95F0000}"/>
    <cellStyle name="Output 30" xfId="3407" xr:uid="{00000000-0005-0000-0000-0000CA5F0000}"/>
    <cellStyle name="Output 31" xfId="3408" xr:uid="{00000000-0005-0000-0000-0000CB5F0000}"/>
    <cellStyle name="Output 32" xfId="3409" xr:uid="{00000000-0005-0000-0000-0000CC5F0000}"/>
    <cellStyle name="Output 33" xfId="3410" xr:uid="{00000000-0005-0000-0000-0000CD5F0000}"/>
    <cellStyle name="Output 34" xfId="3411" xr:uid="{00000000-0005-0000-0000-0000CE5F0000}"/>
    <cellStyle name="Output 35" xfId="3412" xr:uid="{00000000-0005-0000-0000-0000CF5F0000}"/>
    <cellStyle name="Output 36" xfId="3413" xr:uid="{00000000-0005-0000-0000-0000D05F0000}"/>
    <cellStyle name="Output 37" xfId="3414" xr:uid="{00000000-0005-0000-0000-0000D15F0000}"/>
    <cellStyle name="Output 38" xfId="3415" xr:uid="{00000000-0005-0000-0000-0000D25F0000}"/>
    <cellStyle name="Output 39" xfId="3416" xr:uid="{00000000-0005-0000-0000-0000D35F0000}"/>
    <cellStyle name="Output 4" xfId="3417" xr:uid="{00000000-0005-0000-0000-0000D45F0000}"/>
    <cellStyle name="Output 4 2" xfId="24206" xr:uid="{00000000-0005-0000-0000-0000D55F0000}"/>
    <cellStyle name="Output 4 2 2" xfId="25373" xr:uid="{00000000-0005-0000-0000-0000D65F0000}"/>
    <cellStyle name="Output 4 2 3" xfId="25573" xr:uid="{00000000-0005-0000-0000-0000D75F0000}"/>
    <cellStyle name="Output 4 3" xfId="24693" xr:uid="{00000000-0005-0000-0000-0000D85F0000}"/>
    <cellStyle name="Output 4 3 2" xfId="25417" xr:uid="{00000000-0005-0000-0000-0000D95F0000}"/>
    <cellStyle name="Output 4 3 3" xfId="25652" xr:uid="{00000000-0005-0000-0000-0000DA5F0000}"/>
    <cellStyle name="Output 4 4" xfId="25086" xr:uid="{00000000-0005-0000-0000-0000DB5F0000}"/>
    <cellStyle name="Output 4 4 2" xfId="25346" xr:uid="{00000000-0005-0000-0000-0000DC5F0000}"/>
    <cellStyle name="Output 4 4 3" xfId="25686" xr:uid="{00000000-0005-0000-0000-0000DD5F0000}"/>
    <cellStyle name="Output 40" xfId="3418" xr:uid="{00000000-0005-0000-0000-0000DE5F0000}"/>
    <cellStyle name="Output 41" xfId="3419" xr:uid="{00000000-0005-0000-0000-0000DF5F0000}"/>
    <cellStyle name="Output 42" xfId="3420" xr:uid="{00000000-0005-0000-0000-0000E05F0000}"/>
    <cellStyle name="Output 43" xfId="3421" xr:uid="{00000000-0005-0000-0000-0000E15F0000}"/>
    <cellStyle name="Output 44" xfId="3422" xr:uid="{00000000-0005-0000-0000-0000E25F0000}"/>
    <cellStyle name="Output 45" xfId="3423" xr:uid="{00000000-0005-0000-0000-0000E35F0000}"/>
    <cellStyle name="Output 46" xfId="3424" xr:uid="{00000000-0005-0000-0000-0000E45F0000}"/>
    <cellStyle name="Output 47" xfId="3425" xr:uid="{00000000-0005-0000-0000-0000E55F0000}"/>
    <cellStyle name="Output 48" xfId="3426" xr:uid="{00000000-0005-0000-0000-0000E65F0000}"/>
    <cellStyle name="Output 49" xfId="3427" xr:uid="{00000000-0005-0000-0000-0000E75F0000}"/>
    <cellStyle name="Output 5" xfId="3428" xr:uid="{00000000-0005-0000-0000-0000E85F0000}"/>
    <cellStyle name="Output 5 2" xfId="24207" xr:uid="{00000000-0005-0000-0000-0000E95F0000}"/>
    <cellStyle name="Output 5 2 2" xfId="25386" xr:uid="{00000000-0005-0000-0000-0000EA5F0000}"/>
    <cellStyle name="Output 5 2 3" xfId="25574" xr:uid="{00000000-0005-0000-0000-0000EB5F0000}"/>
    <cellStyle name="Output 5 3" xfId="24692" xr:uid="{00000000-0005-0000-0000-0000EC5F0000}"/>
    <cellStyle name="Output 5 3 2" xfId="25316" xr:uid="{00000000-0005-0000-0000-0000ED5F0000}"/>
    <cellStyle name="Output 5 3 3" xfId="25651" xr:uid="{00000000-0005-0000-0000-0000EE5F0000}"/>
    <cellStyle name="Output 5 4" xfId="25087" xr:uid="{00000000-0005-0000-0000-0000EF5F0000}"/>
    <cellStyle name="Output 5 4 2" xfId="25447" xr:uid="{00000000-0005-0000-0000-0000F05F0000}"/>
    <cellStyle name="Output 5 4 3" xfId="25687" xr:uid="{00000000-0005-0000-0000-0000F15F0000}"/>
    <cellStyle name="Output 50" xfId="3429" xr:uid="{00000000-0005-0000-0000-0000F25F0000}"/>
    <cellStyle name="Output 51" xfId="3430" xr:uid="{00000000-0005-0000-0000-0000F35F0000}"/>
    <cellStyle name="Output 52" xfId="3431" xr:uid="{00000000-0005-0000-0000-0000F45F0000}"/>
    <cellStyle name="Output 53" xfId="3432" xr:uid="{00000000-0005-0000-0000-0000F55F0000}"/>
    <cellStyle name="Output 54" xfId="3433" xr:uid="{00000000-0005-0000-0000-0000F65F0000}"/>
    <cellStyle name="Output 55" xfId="3434" xr:uid="{00000000-0005-0000-0000-0000F75F0000}"/>
    <cellStyle name="Output 56" xfId="3435" xr:uid="{00000000-0005-0000-0000-0000F85F0000}"/>
    <cellStyle name="Output 57" xfId="3436" xr:uid="{00000000-0005-0000-0000-0000F95F0000}"/>
    <cellStyle name="Output 58" xfId="3437" xr:uid="{00000000-0005-0000-0000-0000FA5F0000}"/>
    <cellStyle name="Output 59" xfId="3438" xr:uid="{00000000-0005-0000-0000-0000FB5F0000}"/>
    <cellStyle name="Output 6" xfId="3439" xr:uid="{00000000-0005-0000-0000-0000FC5F0000}"/>
    <cellStyle name="Output 60" xfId="3440" xr:uid="{00000000-0005-0000-0000-0000FD5F0000}"/>
    <cellStyle name="Output 61" xfId="3441" xr:uid="{00000000-0005-0000-0000-0000FE5F0000}"/>
    <cellStyle name="Output 62" xfId="3442" xr:uid="{00000000-0005-0000-0000-0000FF5F0000}"/>
    <cellStyle name="Output 63" xfId="3443" xr:uid="{00000000-0005-0000-0000-000000600000}"/>
    <cellStyle name="Output 64" xfId="3444" xr:uid="{00000000-0005-0000-0000-000001600000}"/>
    <cellStyle name="Output 65" xfId="3445" xr:uid="{00000000-0005-0000-0000-000002600000}"/>
    <cellStyle name="Output 66" xfId="3446" xr:uid="{00000000-0005-0000-0000-000003600000}"/>
    <cellStyle name="Output 67" xfId="3447" xr:uid="{00000000-0005-0000-0000-000004600000}"/>
    <cellStyle name="Output 68" xfId="3448" xr:uid="{00000000-0005-0000-0000-000005600000}"/>
    <cellStyle name="Output 69" xfId="3449" xr:uid="{00000000-0005-0000-0000-000006600000}"/>
    <cellStyle name="Output 7" xfId="3450" xr:uid="{00000000-0005-0000-0000-000007600000}"/>
    <cellStyle name="Output 70" xfId="3451" xr:uid="{00000000-0005-0000-0000-000008600000}"/>
    <cellStyle name="Output 71" xfId="3452" xr:uid="{00000000-0005-0000-0000-000009600000}"/>
    <cellStyle name="Output 72" xfId="3453" xr:uid="{00000000-0005-0000-0000-00000A600000}"/>
    <cellStyle name="Output 8" xfId="3454" xr:uid="{00000000-0005-0000-0000-00000B600000}"/>
    <cellStyle name="Output 9" xfId="3455" xr:uid="{00000000-0005-0000-0000-00000C600000}"/>
    <cellStyle name="Output Amounts" xfId="580" xr:uid="{00000000-0005-0000-0000-00000D600000}"/>
    <cellStyle name="Output Amounts 2" xfId="3456" xr:uid="{00000000-0005-0000-0000-00000E600000}"/>
    <cellStyle name="Output Amounts 2 2" xfId="24208" xr:uid="{00000000-0005-0000-0000-00000F600000}"/>
    <cellStyle name="Output Amounts 3" xfId="13903" xr:uid="{00000000-0005-0000-0000-000010600000}"/>
    <cellStyle name="Output Column Headings" xfId="3457" xr:uid="{00000000-0005-0000-0000-000011600000}"/>
    <cellStyle name="Output Line Items" xfId="581" xr:uid="{00000000-0005-0000-0000-000012600000}"/>
    <cellStyle name="Output Line Items 2" xfId="3458" xr:uid="{00000000-0005-0000-0000-000013600000}"/>
    <cellStyle name="Output Line Items 3" xfId="13904" xr:uid="{00000000-0005-0000-0000-000014600000}"/>
    <cellStyle name="Output Report Heading" xfId="3459" xr:uid="{00000000-0005-0000-0000-000015600000}"/>
    <cellStyle name="Output Report Title" xfId="3460" xr:uid="{00000000-0005-0000-0000-000016600000}"/>
    <cellStyle name="Page Heading Large" xfId="582" xr:uid="{00000000-0005-0000-0000-000017600000}"/>
    <cellStyle name="Page Heading Small" xfId="583" xr:uid="{00000000-0005-0000-0000-000018600000}"/>
    <cellStyle name="Password" xfId="63" xr:uid="{00000000-0005-0000-0000-000019600000}"/>
    <cellStyle name="Password 2" xfId="24525" xr:uid="{00000000-0005-0000-0000-00001A600000}"/>
    <cellStyle name="pct_sub" xfId="584" xr:uid="{00000000-0005-0000-0000-00001B600000}"/>
    <cellStyle name="Percen - Style1" xfId="64" xr:uid="{00000000-0005-0000-0000-00001C600000}"/>
    <cellStyle name="Percen - Style2" xfId="65" xr:uid="{00000000-0005-0000-0000-00001D600000}"/>
    <cellStyle name="Percent" xfId="25795" builtinId="5"/>
    <cellStyle name="Percent (0)" xfId="585" xr:uid="{00000000-0005-0000-0000-00001F600000}"/>
    <cellStyle name="Percent [1]" xfId="586" xr:uid="{00000000-0005-0000-0000-000020600000}"/>
    <cellStyle name="Percent [2]" xfId="66" xr:uid="{00000000-0005-0000-0000-000021600000}"/>
    <cellStyle name="Percent 10" xfId="205" xr:uid="{00000000-0005-0000-0000-000022600000}"/>
    <cellStyle name="Percent 11" xfId="206" xr:uid="{00000000-0005-0000-0000-000023600000}"/>
    <cellStyle name="Percent 12" xfId="207" xr:uid="{00000000-0005-0000-0000-000024600000}"/>
    <cellStyle name="Percent 13" xfId="208" xr:uid="{00000000-0005-0000-0000-000025600000}"/>
    <cellStyle name="Percent 14" xfId="209" xr:uid="{00000000-0005-0000-0000-000026600000}"/>
    <cellStyle name="Percent 15" xfId="210" xr:uid="{00000000-0005-0000-0000-000027600000}"/>
    <cellStyle name="Percent 16" xfId="211" xr:uid="{00000000-0005-0000-0000-000028600000}"/>
    <cellStyle name="Percent 17" xfId="212" xr:uid="{00000000-0005-0000-0000-000029600000}"/>
    <cellStyle name="Percent 18" xfId="286" xr:uid="{00000000-0005-0000-0000-00002A600000}"/>
    <cellStyle name="Percent 19" xfId="287" xr:uid="{00000000-0005-0000-0000-00002B600000}"/>
    <cellStyle name="Percent 2" xfId="67" xr:uid="{00000000-0005-0000-0000-00002C600000}"/>
    <cellStyle name="Percent 2 10" xfId="12601" xr:uid="{00000000-0005-0000-0000-00002D600000}"/>
    <cellStyle name="Percent 2 11" xfId="24210" xr:uid="{00000000-0005-0000-0000-00002E600000}"/>
    <cellStyle name="Percent 2 12" xfId="25750" xr:uid="{00000000-0005-0000-0000-00002F600000}"/>
    <cellStyle name="Percent 2 2" xfId="213" xr:uid="{00000000-0005-0000-0000-000030600000}"/>
    <cellStyle name="Percent 2 2 2" xfId="467" xr:uid="{00000000-0005-0000-0000-000031600000}"/>
    <cellStyle name="Percent 2 2 2 2" xfId="13831" xr:uid="{00000000-0005-0000-0000-000032600000}"/>
    <cellStyle name="Percent 2 2 3" xfId="663" xr:uid="{00000000-0005-0000-0000-000033600000}"/>
    <cellStyle name="Percent 2 2 4" xfId="23897" xr:uid="{00000000-0005-0000-0000-000034600000}"/>
    <cellStyle name="Percent 2 3" xfId="358" xr:uid="{00000000-0005-0000-0000-000035600000}"/>
    <cellStyle name="Percent 2 3 2" xfId="441" xr:uid="{00000000-0005-0000-0000-000036600000}"/>
    <cellStyle name="Percent 2 3 2 2" xfId="527" xr:uid="{00000000-0005-0000-0000-000037600000}"/>
    <cellStyle name="Percent 2 3 2 2 2" xfId="13890" xr:uid="{00000000-0005-0000-0000-000038600000}"/>
    <cellStyle name="Percent 2 3 2 3" xfId="13813" xr:uid="{00000000-0005-0000-0000-000039600000}"/>
    <cellStyle name="Percent 2 3 3" xfId="490" xr:uid="{00000000-0005-0000-0000-00003A600000}"/>
    <cellStyle name="Percent 2 3 3 2" xfId="13853" xr:uid="{00000000-0005-0000-0000-00003B600000}"/>
    <cellStyle name="Percent 2 3 4" xfId="13768" xr:uid="{00000000-0005-0000-0000-00003C600000}"/>
    <cellStyle name="Percent 2 3 5" xfId="24211" xr:uid="{00000000-0005-0000-0000-00003D600000}"/>
    <cellStyle name="Percent 2 4" xfId="410" xr:uid="{00000000-0005-0000-0000-00003E600000}"/>
    <cellStyle name="Percent 2 4 2" xfId="510" xr:uid="{00000000-0005-0000-0000-00003F600000}"/>
    <cellStyle name="Percent 2 4 2 2" xfId="13873" xr:uid="{00000000-0005-0000-0000-000040600000}"/>
    <cellStyle name="Percent 2 4 3" xfId="13792" xr:uid="{00000000-0005-0000-0000-000041600000}"/>
    <cellStyle name="Percent 2 4 4" xfId="24212" xr:uid="{00000000-0005-0000-0000-000042600000}"/>
    <cellStyle name="Percent 2 5" xfId="466" xr:uid="{00000000-0005-0000-0000-000043600000}"/>
    <cellStyle name="Percent 2 5 2" xfId="13830" xr:uid="{00000000-0005-0000-0000-000044600000}"/>
    <cellStyle name="Percent 2 5 3" xfId="24213" xr:uid="{00000000-0005-0000-0000-000045600000}"/>
    <cellStyle name="Percent 2 6" xfId="475" xr:uid="{00000000-0005-0000-0000-000046600000}"/>
    <cellStyle name="Percent 2 6 2" xfId="13838" xr:uid="{00000000-0005-0000-0000-000047600000}"/>
    <cellStyle name="Percent 2 6 3" xfId="24214" xr:uid="{00000000-0005-0000-0000-000048600000}"/>
    <cellStyle name="Percent 2 7" xfId="662" xr:uid="{00000000-0005-0000-0000-000049600000}"/>
    <cellStyle name="Percent 2 7 2" xfId="13914" xr:uid="{00000000-0005-0000-0000-00004A600000}"/>
    <cellStyle name="Percent 2 7 3" xfId="24215" xr:uid="{00000000-0005-0000-0000-00004B600000}"/>
    <cellStyle name="Percent 2 8" xfId="3461" xr:uid="{00000000-0005-0000-0000-00004C600000}"/>
    <cellStyle name="Percent 2 8 2" xfId="24216" xr:uid="{00000000-0005-0000-0000-00004D600000}"/>
    <cellStyle name="Percent 2 9" xfId="13619" xr:uid="{00000000-0005-0000-0000-00004E600000}"/>
    <cellStyle name="Percent 20" xfId="296" xr:uid="{00000000-0005-0000-0000-00004F600000}"/>
    <cellStyle name="Percent 21" xfId="297" xr:uid="{00000000-0005-0000-0000-000050600000}"/>
    <cellStyle name="Percent 22" xfId="298" xr:uid="{00000000-0005-0000-0000-000051600000}"/>
    <cellStyle name="Percent 23" xfId="299" xr:uid="{00000000-0005-0000-0000-000052600000}"/>
    <cellStyle name="Percent 24" xfId="304" xr:uid="{00000000-0005-0000-0000-000053600000}"/>
    <cellStyle name="Percent 25" xfId="305" xr:uid="{00000000-0005-0000-0000-000054600000}"/>
    <cellStyle name="Percent 26" xfId="325" xr:uid="{00000000-0005-0000-0000-000055600000}"/>
    <cellStyle name="Percent 27" xfId="326" xr:uid="{00000000-0005-0000-0000-000056600000}"/>
    <cellStyle name="Percent 28" xfId="327" xr:uid="{00000000-0005-0000-0000-000057600000}"/>
    <cellStyle name="Percent 29" xfId="328" xr:uid="{00000000-0005-0000-0000-000058600000}"/>
    <cellStyle name="Percent 3" xfId="68" xr:uid="{00000000-0005-0000-0000-000059600000}"/>
    <cellStyle name="Percent 3 10" xfId="25088" xr:uid="{00000000-0005-0000-0000-00005A600000}"/>
    <cellStyle name="Percent 3 2" xfId="171" xr:uid="{00000000-0005-0000-0000-00005B600000}"/>
    <cellStyle name="Percent 3 2 2" xfId="362" xr:uid="{00000000-0005-0000-0000-00005C600000}"/>
    <cellStyle name="Percent 3 2 2 2" xfId="444" xr:uid="{00000000-0005-0000-0000-00005D600000}"/>
    <cellStyle name="Percent 3 2 2 2 2" xfId="530" xr:uid="{00000000-0005-0000-0000-00005E600000}"/>
    <cellStyle name="Percent 3 2 2 2 2 2" xfId="13893" xr:uid="{00000000-0005-0000-0000-00005F600000}"/>
    <cellStyle name="Percent 3 2 2 2 3" xfId="13816" xr:uid="{00000000-0005-0000-0000-000060600000}"/>
    <cellStyle name="Percent 3 2 2 3" xfId="493" xr:uid="{00000000-0005-0000-0000-000061600000}"/>
    <cellStyle name="Percent 3 2 2 3 2" xfId="13856" xr:uid="{00000000-0005-0000-0000-000062600000}"/>
    <cellStyle name="Percent 3 2 2 4" xfId="13772" xr:uid="{00000000-0005-0000-0000-000063600000}"/>
    <cellStyle name="Percent 3 2 2 5" xfId="24468" xr:uid="{00000000-0005-0000-0000-000064600000}"/>
    <cellStyle name="Percent 3 2 2 6" xfId="24910" xr:uid="{00000000-0005-0000-0000-000065600000}"/>
    <cellStyle name="Percent 3 2 2 7" xfId="25271" xr:uid="{00000000-0005-0000-0000-000066600000}"/>
    <cellStyle name="Percent 3 2 3" xfId="424" xr:uid="{00000000-0005-0000-0000-000067600000}"/>
    <cellStyle name="Percent 3 2 3 2" xfId="515" xr:uid="{00000000-0005-0000-0000-000068600000}"/>
    <cellStyle name="Percent 3 2 3 2 2" xfId="13878" xr:uid="{00000000-0005-0000-0000-000069600000}"/>
    <cellStyle name="Percent 3 2 3 3" xfId="13801" xr:uid="{00000000-0005-0000-0000-00006A600000}"/>
    <cellStyle name="Percent 3 2 4" xfId="478" xr:uid="{00000000-0005-0000-0000-00006B600000}"/>
    <cellStyle name="Percent 3 2 4 2" xfId="13841" xr:uid="{00000000-0005-0000-0000-00006C600000}"/>
    <cellStyle name="Percent 3 2 5" xfId="13686" xr:uid="{00000000-0005-0000-0000-00006D600000}"/>
    <cellStyle name="Percent 3 2 6" xfId="24218" xr:uid="{00000000-0005-0000-0000-00006E600000}"/>
    <cellStyle name="Percent 3 2 7" xfId="24763" xr:uid="{00000000-0005-0000-0000-00006F600000}"/>
    <cellStyle name="Percent 3 2 8" xfId="25089" xr:uid="{00000000-0005-0000-0000-000070600000}"/>
    <cellStyle name="Percent 3 3" xfId="214" xr:uid="{00000000-0005-0000-0000-000071600000}"/>
    <cellStyle name="Percent 3 3 2" xfId="368" xr:uid="{00000000-0005-0000-0000-000072600000}"/>
    <cellStyle name="Percent 3 3 2 2" xfId="450" xr:uid="{00000000-0005-0000-0000-000073600000}"/>
    <cellStyle name="Percent 3 3 2 2 2" xfId="536" xr:uid="{00000000-0005-0000-0000-000074600000}"/>
    <cellStyle name="Percent 3 3 2 2 2 2" xfId="13899" xr:uid="{00000000-0005-0000-0000-000075600000}"/>
    <cellStyle name="Percent 3 3 2 2 3" xfId="13822" xr:uid="{00000000-0005-0000-0000-000076600000}"/>
    <cellStyle name="Percent 3 3 2 3" xfId="499" xr:uid="{00000000-0005-0000-0000-000077600000}"/>
    <cellStyle name="Percent 3 3 2 3 2" xfId="13862" xr:uid="{00000000-0005-0000-0000-000078600000}"/>
    <cellStyle name="Percent 3 3 2 4" xfId="13778" xr:uid="{00000000-0005-0000-0000-000079600000}"/>
    <cellStyle name="Percent 3 3 3" xfId="431" xr:uid="{00000000-0005-0000-0000-00007A600000}"/>
    <cellStyle name="Percent 3 3 3 2" xfId="521" xr:uid="{00000000-0005-0000-0000-00007B600000}"/>
    <cellStyle name="Percent 3 3 3 2 2" xfId="13884" xr:uid="{00000000-0005-0000-0000-00007C600000}"/>
    <cellStyle name="Percent 3 3 3 3" xfId="13807" xr:uid="{00000000-0005-0000-0000-00007D600000}"/>
    <cellStyle name="Percent 3 3 4" xfId="484" xr:uid="{00000000-0005-0000-0000-00007E600000}"/>
    <cellStyle name="Percent 3 3 4 2" xfId="13847" xr:uid="{00000000-0005-0000-0000-00007F600000}"/>
    <cellStyle name="Percent 3 3 5" xfId="13704" xr:uid="{00000000-0005-0000-0000-000080600000}"/>
    <cellStyle name="Percent 3 3 6" xfId="24467" xr:uid="{00000000-0005-0000-0000-000081600000}"/>
    <cellStyle name="Percent 3 3 7" xfId="24909" xr:uid="{00000000-0005-0000-0000-000082600000}"/>
    <cellStyle name="Percent 3 3 8" xfId="25270" xr:uid="{00000000-0005-0000-0000-000083600000}"/>
    <cellStyle name="Percent 3 4" xfId="3621" xr:uid="{00000000-0005-0000-0000-000084600000}"/>
    <cellStyle name="Percent 3 5" xfId="13620" xr:uid="{00000000-0005-0000-0000-000085600000}"/>
    <cellStyle name="Percent 3 6" xfId="13598" xr:uid="{00000000-0005-0000-0000-000086600000}"/>
    <cellStyle name="Percent 3 7" xfId="23907" xr:uid="{00000000-0005-0000-0000-000087600000}"/>
    <cellStyle name="Percent 3 8" xfId="24217" xr:uid="{00000000-0005-0000-0000-000088600000}"/>
    <cellStyle name="Percent 3 9" xfId="24762" xr:uid="{00000000-0005-0000-0000-000089600000}"/>
    <cellStyle name="Percent 30" xfId="329" xr:uid="{00000000-0005-0000-0000-00008A600000}"/>
    <cellStyle name="Percent 31" xfId="330" xr:uid="{00000000-0005-0000-0000-00008B600000}"/>
    <cellStyle name="Percent 32" xfId="331" xr:uid="{00000000-0005-0000-0000-00008C600000}"/>
    <cellStyle name="Percent 33" xfId="332" xr:uid="{00000000-0005-0000-0000-00008D600000}"/>
    <cellStyle name="Percent 34" xfId="344" xr:uid="{00000000-0005-0000-0000-00008E600000}"/>
    <cellStyle name="Percent 35" xfId="345" xr:uid="{00000000-0005-0000-0000-00008F600000}"/>
    <cellStyle name="Percent 36" xfId="346" xr:uid="{00000000-0005-0000-0000-000090600000}"/>
    <cellStyle name="Percent 37" xfId="347" xr:uid="{00000000-0005-0000-0000-000091600000}"/>
    <cellStyle name="Percent 38" xfId="396" xr:uid="{00000000-0005-0000-0000-000092600000}"/>
    <cellStyle name="Percent 39" xfId="372" xr:uid="{00000000-0005-0000-0000-000093600000}"/>
    <cellStyle name="Percent 39 2" xfId="502" xr:uid="{00000000-0005-0000-0000-000094600000}"/>
    <cellStyle name="Percent 39 2 2" xfId="13865" xr:uid="{00000000-0005-0000-0000-000095600000}"/>
    <cellStyle name="Percent 39 3" xfId="13781" xr:uid="{00000000-0005-0000-0000-000096600000}"/>
    <cellStyle name="Percent 4" xfId="69" xr:uid="{00000000-0005-0000-0000-000097600000}"/>
    <cellStyle name="Percent 4 2" xfId="24304" xr:uid="{00000000-0005-0000-0000-000098600000}"/>
    <cellStyle name="Percent 4 3" xfId="24219" xr:uid="{00000000-0005-0000-0000-000099600000}"/>
    <cellStyle name="Percent 4 4" xfId="25794" xr:uid="{00000000-0005-0000-0000-00009A600000}"/>
    <cellStyle name="Percent 40" xfId="418" xr:uid="{00000000-0005-0000-0000-00009B600000}"/>
    <cellStyle name="Percent 40 2" xfId="511" xr:uid="{00000000-0005-0000-0000-00009C600000}"/>
    <cellStyle name="Percent 40 2 2" xfId="13874" xr:uid="{00000000-0005-0000-0000-00009D600000}"/>
    <cellStyle name="Percent 40 3" xfId="13797" xr:uid="{00000000-0005-0000-0000-00009E600000}"/>
    <cellStyle name="Percent 41" xfId="432" xr:uid="{00000000-0005-0000-0000-00009F600000}"/>
    <cellStyle name="Percent 41 2" xfId="522" xr:uid="{00000000-0005-0000-0000-0000A0600000}"/>
    <cellStyle name="Percent 41 2 2" xfId="13885" xr:uid="{00000000-0005-0000-0000-0000A1600000}"/>
    <cellStyle name="Percent 41 3" xfId="13808" xr:uid="{00000000-0005-0000-0000-0000A2600000}"/>
    <cellStyle name="Percent 42" xfId="453" xr:uid="{00000000-0005-0000-0000-0000A3600000}"/>
    <cellStyle name="Percent 42 2" xfId="539" xr:uid="{00000000-0005-0000-0000-0000A4600000}"/>
    <cellStyle name="Percent 42 2 2" xfId="13902" xr:uid="{00000000-0005-0000-0000-0000A5600000}"/>
    <cellStyle name="Percent 42 3" xfId="13825" xr:uid="{00000000-0005-0000-0000-0000A6600000}"/>
    <cellStyle name="Percent 43" xfId="13602" xr:uid="{00000000-0005-0000-0000-0000A7600000}"/>
    <cellStyle name="Percent 44" xfId="23887" xr:uid="{00000000-0005-0000-0000-0000A8600000}"/>
    <cellStyle name="Percent 45" xfId="23890" xr:uid="{00000000-0005-0000-0000-0000A9600000}"/>
    <cellStyle name="Percent 46" xfId="23894" xr:uid="{00000000-0005-0000-0000-0000AA600000}"/>
    <cellStyle name="Percent 47" xfId="4" xr:uid="{00000000-0005-0000-0000-0000AB600000}"/>
    <cellStyle name="Percent 48" xfId="25279" xr:uid="{00000000-0005-0000-0000-0000AC600000}"/>
    <cellStyle name="Percent 49" xfId="25292" xr:uid="{00000000-0005-0000-0000-0000AD600000}"/>
    <cellStyle name="Percent 5" xfId="70" xr:uid="{00000000-0005-0000-0000-0000AE600000}"/>
    <cellStyle name="Percent 5 2" xfId="24292" xr:uid="{00000000-0005-0000-0000-0000AF600000}"/>
    <cellStyle name="Percent 50" xfId="25458" xr:uid="{00000000-0005-0000-0000-0000B0600000}"/>
    <cellStyle name="Percent 51" xfId="25751" xr:uid="{00000000-0005-0000-0000-0000B1600000}"/>
    <cellStyle name="Percent 52" xfId="25758" xr:uid="{00000000-0005-0000-0000-0000B2600000}"/>
    <cellStyle name="Percent 53" xfId="25760" xr:uid="{00000000-0005-0000-0000-0000B3600000}"/>
    <cellStyle name="Percent 54" xfId="25764" xr:uid="{00000000-0005-0000-0000-0000B4600000}"/>
    <cellStyle name="Percent 55" xfId="25765" xr:uid="{00000000-0005-0000-0000-0000B5600000}"/>
    <cellStyle name="Percent 6" xfId="215" xr:uid="{00000000-0005-0000-0000-0000B6600000}"/>
    <cellStyle name="Percent 6 2" xfId="664" xr:uid="{00000000-0005-0000-0000-0000B7600000}"/>
    <cellStyle name="Percent 6 2 2" xfId="24480" xr:uid="{00000000-0005-0000-0000-0000B8600000}"/>
    <cellStyle name="Percent 6 2 3" xfId="24912" xr:uid="{00000000-0005-0000-0000-0000B9600000}"/>
    <cellStyle name="Percent 6 2 4" xfId="25272" xr:uid="{00000000-0005-0000-0000-0000BA600000}"/>
    <cellStyle name="Percent 6 3" xfId="24294" xr:uid="{00000000-0005-0000-0000-0000BB600000}"/>
    <cellStyle name="Percent 6 4" xfId="24775" xr:uid="{00000000-0005-0000-0000-0000BC600000}"/>
    <cellStyle name="Percent 6 5" xfId="25144" xr:uid="{00000000-0005-0000-0000-0000BD600000}"/>
    <cellStyle name="Percent 7" xfId="216" xr:uid="{00000000-0005-0000-0000-0000BE600000}"/>
    <cellStyle name="Percent 8" xfId="217" xr:uid="{00000000-0005-0000-0000-0000BF600000}"/>
    <cellStyle name="Percent 9" xfId="218" xr:uid="{00000000-0005-0000-0000-0000C0600000}"/>
    <cellStyle name="Percent Hard" xfId="587" xr:uid="{00000000-0005-0000-0000-0000C1600000}"/>
    <cellStyle name="Percent Hard 2" xfId="24220" xr:uid="{00000000-0005-0000-0000-0000C2600000}"/>
    <cellStyle name="Percent(0)" xfId="71" xr:uid="{00000000-0005-0000-0000-0000C3600000}"/>
    <cellStyle name="Percentage" xfId="588" xr:uid="{00000000-0005-0000-0000-0000C4600000}"/>
    <cellStyle name="Perlong" xfId="589" xr:uid="{00000000-0005-0000-0000-0000C5600000}"/>
    <cellStyle name="Private" xfId="590" xr:uid="{00000000-0005-0000-0000-0000C6600000}"/>
    <cellStyle name="Private 2" xfId="24780" xr:uid="{00000000-0005-0000-0000-0000C7600000}"/>
    <cellStyle name="Private1" xfId="591" xr:uid="{00000000-0005-0000-0000-0000C8600000}"/>
    <cellStyle name="Private1 2" xfId="24221" xr:uid="{00000000-0005-0000-0000-0000C9600000}"/>
    <cellStyle name="r" xfId="592" xr:uid="{00000000-0005-0000-0000-0000CA600000}"/>
    <cellStyle name="r 2" xfId="24222" xr:uid="{00000000-0005-0000-0000-0000CB600000}"/>
    <cellStyle name="r_10_21 A&amp;G Review" xfId="593" xr:uid="{00000000-0005-0000-0000-0000CC600000}"/>
    <cellStyle name="r_10_21 A&amp;G Review 2" xfId="24223" xr:uid="{00000000-0005-0000-0000-0000CD600000}"/>
    <cellStyle name="r_10_21 A&amp;G Review Raul" xfId="594" xr:uid="{00000000-0005-0000-0000-0000CE600000}"/>
    <cellStyle name="r_10_21 A&amp;G Review Raul 2" xfId="24224" xr:uid="{00000000-0005-0000-0000-0000CF600000}"/>
    <cellStyle name="r_10-17" xfId="595" xr:uid="{00000000-0005-0000-0000-0000D0600000}"/>
    <cellStyle name="r_10-17 2" xfId="24225" xr:uid="{00000000-0005-0000-0000-0000D1600000}"/>
    <cellStyle name="r_2003 Reduction &amp; Sensitivities" xfId="596" xr:uid="{00000000-0005-0000-0000-0000D2600000}"/>
    <cellStyle name="r_2003 Reduction &amp; Sensitivities 2" xfId="24226" xr:uid="{00000000-0005-0000-0000-0000D3600000}"/>
    <cellStyle name="r_2003BudgetVariances" xfId="597" xr:uid="{00000000-0005-0000-0000-0000D4600000}"/>
    <cellStyle name="r_2003BudgetVariances 2" xfId="24227" xr:uid="{00000000-0005-0000-0000-0000D5600000}"/>
    <cellStyle name="r_Aug 02 FOR" xfId="598" xr:uid="{00000000-0005-0000-0000-0000D6600000}"/>
    <cellStyle name="r_Aug 02 FOR 2" xfId="24228" xr:uid="{00000000-0005-0000-0000-0000D7600000}"/>
    <cellStyle name="r_forecastTools6" xfId="599" xr:uid="{00000000-0005-0000-0000-0000D8600000}"/>
    <cellStyle name="r_forecastTools6 2" xfId="24229" xr:uid="{00000000-0005-0000-0000-0000D9600000}"/>
    <cellStyle name="r_Interest model" xfId="600" xr:uid="{00000000-0005-0000-0000-0000DA600000}"/>
    <cellStyle name="r_Interest model 2" xfId="24230" xr:uid="{00000000-0005-0000-0000-0000DB600000}"/>
    <cellStyle name="r_Interest model_PGE FS 1999 - 2006 10-23 V1 - for budget pres" xfId="601" xr:uid="{00000000-0005-0000-0000-0000DC600000}"/>
    <cellStyle name="r_Interest model_PGE FS 1999 - 2006 10-23 V1 - for budget pres 2" xfId="24231" xr:uid="{00000000-0005-0000-0000-0000DD600000}"/>
    <cellStyle name="r_Mary Cilia Model with Current Projections (LINKED)" xfId="602" xr:uid="{00000000-0005-0000-0000-0000DE600000}"/>
    <cellStyle name="r_Mary Cilia Model with Current Projections (LINKED) 2" xfId="24232" xr:uid="{00000000-0005-0000-0000-0000DF600000}"/>
    <cellStyle name="r_OpCo and Prelim Budget-2003 Final" xfId="603" xr:uid="{00000000-0005-0000-0000-0000E0600000}"/>
    <cellStyle name="r_OpCo and Prelim Budget-2003 Final 2" xfId="24233" xr:uid="{00000000-0005-0000-0000-0000E1600000}"/>
    <cellStyle name="r_OpCo and Prelim Budget-2003 Final_PGE FS 1999 - 2006 10-23 V1 - for budget pres" xfId="604" xr:uid="{00000000-0005-0000-0000-0000E2600000}"/>
    <cellStyle name="r_OpCo and Prelim Budget-2003 Final_PGE FS 1999 - 2006 10-23 V1 - for budget pres 2" xfId="24234" xr:uid="{00000000-0005-0000-0000-0000E3600000}"/>
    <cellStyle name="r_PGE FS 1999 - 2006 10-23 V1 - for budget pres" xfId="605" xr:uid="{00000000-0005-0000-0000-0000E4600000}"/>
    <cellStyle name="r_PGE FS 1999 - 2006 10-23 V1 - for budget pres 2" xfId="24235" xr:uid="{00000000-0005-0000-0000-0000E5600000}"/>
    <cellStyle name="r_PGE OpCo Forecast for Budget Presentation" xfId="606" xr:uid="{00000000-0005-0000-0000-0000E6600000}"/>
    <cellStyle name="r_PGE OpCo Forecast for Budget Presentation 2" xfId="24236" xr:uid="{00000000-0005-0000-0000-0000E7600000}"/>
    <cellStyle name="r_PGG Draft Cons Forecast 4-14 Revised" xfId="607" xr:uid="{00000000-0005-0000-0000-0000E8600000}"/>
    <cellStyle name="r_PGG Draft Cons Forecast 4-14 Revised 2" xfId="24237" xr:uid="{00000000-0005-0000-0000-0000E9600000}"/>
    <cellStyle name="r_PGG Draft Cons Forecast 4-14 Revised_PGE FS 1999 - 2006 10-23 V1 - for budget pres" xfId="608" xr:uid="{00000000-0005-0000-0000-0000EA600000}"/>
    <cellStyle name="r_PGG Draft Cons Forecast 4-14 Revised_PGE FS 1999 - 2006 10-23 V1 - for budget pres 2" xfId="24238" xr:uid="{00000000-0005-0000-0000-0000EB600000}"/>
    <cellStyle name="r_Reg Assets &amp; Liab" xfId="609" xr:uid="{00000000-0005-0000-0000-0000EC600000}"/>
    <cellStyle name="r_Reg Assets &amp; Liab 2" xfId="24239" xr:uid="{00000000-0005-0000-0000-0000ED600000}"/>
    <cellStyle name="r_Summary" xfId="610" xr:uid="{00000000-0005-0000-0000-0000EE600000}"/>
    <cellStyle name="r_Summary - OpCo and Prelim Budget-2003 Final" xfId="611" xr:uid="{00000000-0005-0000-0000-0000EF600000}"/>
    <cellStyle name="r_Summary - OpCo and Prelim Budget-2003 Final 2" xfId="24241" xr:uid="{00000000-0005-0000-0000-0000F0600000}"/>
    <cellStyle name="r_Summary - OpCo and Prelim Budget-2003 Final_PGE FS 1999 - 2006 10-23 V1 - for budget pres" xfId="612" xr:uid="{00000000-0005-0000-0000-0000F1600000}"/>
    <cellStyle name="r_Summary - OpCo and Prelim Budget-2003 Final_PGE FS 1999 - 2006 10-23 V1 - for budget pres 2" xfId="24242" xr:uid="{00000000-0005-0000-0000-0000F2600000}"/>
    <cellStyle name="r_Summary 10" xfId="24465" xr:uid="{00000000-0005-0000-0000-0000F3600000}"/>
    <cellStyle name="r_Summary 11" xfId="24393" xr:uid="{00000000-0005-0000-0000-0000F4600000}"/>
    <cellStyle name="r_Summary 12" xfId="24418" xr:uid="{00000000-0005-0000-0000-0000F5600000}"/>
    <cellStyle name="r_Summary 13" xfId="24395" xr:uid="{00000000-0005-0000-0000-0000F6600000}"/>
    <cellStyle name="r_Summary 14" xfId="24475" xr:uid="{00000000-0005-0000-0000-0000F7600000}"/>
    <cellStyle name="r_Summary 15" xfId="24396" xr:uid="{00000000-0005-0000-0000-0000F8600000}"/>
    <cellStyle name="r_Summary 16" xfId="24415" xr:uid="{00000000-0005-0000-0000-0000F9600000}"/>
    <cellStyle name="r_Summary 17" xfId="24397" xr:uid="{00000000-0005-0000-0000-0000FA600000}"/>
    <cellStyle name="r_Summary 18" xfId="24414" xr:uid="{00000000-0005-0000-0000-0000FB600000}"/>
    <cellStyle name="r_Summary 19" xfId="24499" xr:uid="{00000000-0005-0000-0000-0000FC600000}"/>
    <cellStyle name="r_Summary 2" xfId="24240" xr:uid="{00000000-0005-0000-0000-0000FD600000}"/>
    <cellStyle name="r_Summary 20" xfId="24413" xr:uid="{00000000-0005-0000-0000-0000FE600000}"/>
    <cellStyle name="r_Summary 21" xfId="24398" xr:uid="{00000000-0005-0000-0000-0000FF600000}"/>
    <cellStyle name="r_Summary 22" xfId="24412" xr:uid="{00000000-0005-0000-0000-000000610000}"/>
    <cellStyle name="r_Summary 23" xfId="24505" xr:uid="{00000000-0005-0000-0000-000001610000}"/>
    <cellStyle name="r_Summary 24" xfId="24410" xr:uid="{00000000-0005-0000-0000-000002610000}"/>
    <cellStyle name="r_Summary 25" xfId="24492" xr:uid="{00000000-0005-0000-0000-000003610000}"/>
    <cellStyle name="r_Summary 26" xfId="24473" xr:uid="{00000000-0005-0000-0000-000004610000}"/>
    <cellStyle name="r_Summary 3" xfId="24312" xr:uid="{00000000-0005-0000-0000-000005610000}"/>
    <cellStyle name="r_Summary 4" xfId="24308" xr:uid="{00000000-0005-0000-0000-000006610000}"/>
    <cellStyle name="r_Summary 5" xfId="24313" xr:uid="{00000000-0005-0000-0000-000007610000}"/>
    <cellStyle name="r_Summary 6" xfId="24472" xr:uid="{00000000-0005-0000-0000-000008610000}"/>
    <cellStyle name="r_Summary 7" xfId="24486" xr:uid="{00000000-0005-0000-0000-000009610000}"/>
    <cellStyle name="r_Summary 8" xfId="24469" xr:uid="{00000000-0005-0000-0000-00000A610000}"/>
    <cellStyle name="r_Summary 9" xfId="24504" xr:uid="{00000000-0005-0000-0000-00000B610000}"/>
    <cellStyle name="r_Summary_PGE FS 1999 - 2006 10-23 V1 - for budget pres" xfId="613" xr:uid="{00000000-0005-0000-0000-00000C610000}"/>
    <cellStyle name="r_Summary_PGE FS 1999 - 2006 10-23 V1 - for budget pres 2" xfId="24243" xr:uid="{00000000-0005-0000-0000-00000D610000}"/>
    <cellStyle name="ReportTitlePrompt" xfId="3462" xr:uid="{00000000-0005-0000-0000-00000E610000}"/>
    <cellStyle name="ReportTitleValue" xfId="3463" xr:uid="{00000000-0005-0000-0000-00000F610000}"/>
    <cellStyle name="Right" xfId="614" xr:uid="{00000000-0005-0000-0000-000010610000}"/>
    <cellStyle name="Right 2" xfId="24244" xr:uid="{00000000-0005-0000-0000-000011610000}"/>
    <cellStyle name="RowAcctAbovePrompt" xfId="3464" xr:uid="{00000000-0005-0000-0000-000012610000}"/>
    <cellStyle name="RowAcctSOBAbovePrompt" xfId="3465" xr:uid="{00000000-0005-0000-0000-000013610000}"/>
    <cellStyle name="RowAcctSOBValue" xfId="3466" xr:uid="{00000000-0005-0000-0000-000014610000}"/>
    <cellStyle name="RowAcctValue" xfId="3467" xr:uid="{00000000-0005-0000-0000-000015610000}"/>
    <cellStyle name="RowAttrAbovePrompt" xfId="3468" xr:uid="{00000000-0005-0000-0000-000016610000}"/>
    <cellStyle name="RowAttrValue" xfId="3469" xr:uid="{00000000-0005-0000-0000-000017610000}"/>
    <cellStyle name="RowColSetAbovePrompt" xfId="3470" xr:uid="{00000000-0005-0000-0000-000018610000}"/>
    <cellStyle name="RowColSetLeftPrompt" xfId="3471" xr:uid="{00000000-0005-0000-0000-000019610000}"/>
    <cellStyle name="RowColSetValue" xfId="3472" xr:uid="{00000000-0005-0000-0000-00001A610000}"/>
    <cellStyle name="RowLeftPrompt" xfId="3473" xr:uid="{00000000-0005-0000-0000-00001B610000}"/>
    <cellStyle name="SampleUsingFormatMask" xfId="3474" xr:uid="{00000000-0005-0000-0000-00001C610000}"/>
    <cellStyle name="SampleWithNoFormatMask" xfId="3475" xr:uid="{00000000-0005-0000-0000-00001D610000}"/>
    <cellStyle name="SAPBEXaggData" xfId="72" xr:uid="{00000000-0005-0000-0000-00001E610000}"/>
    <cellStyle name="SAPBEXaggData 2" xfId="13621" xr:uid="{00000000-0005-0000-0000-00001F610000}"/>
    <cellStyle name="SAPBEXaggData 2 2" xfId="25459" xr:uid="{00000000-0005-0000-0000-000020610000}"/>
    <cellStyle name="SAPBEXaggData 3" xfId="24686" xr:uid="{00000000-0005-0000-0000-000021610000}"/>
    <cellStyle name="SAPBEXaggData 3 2" xfId="25423" xr:uid="{00000000-0005-0000-0000-000022610000}"/>
    <cellStyle name="SAPBEXaggData 3 3" xfId="25649" xr:uid="{00000000-0005-0000-0000-000023610000}"/>
    <cellStyle name="SAPBEXaggData 4" xfId="25090" xr:uid="{00000000-0005-0000-0000-000024610000}"/>
    <cellStyle name="SAPBEXaggData 4 2" xfId="25284" xr:uid="{00000000-0005-0000-0000-000025610000}"/>
    <cellStyle name="SAPBEXaggData 4 3" xfId="25688" xr:uid="{00000000-0005-0000-0000-000026610000}"/>
    <cellStyle name="SAPBEXaggDataEmph" xfId="73" xr:uid="{00000000-0005-0000-0000-000027610000}"/>
    <cellStyle name="SAPBEXaggDataEmph 2" xfId="13622" xr:uid="{00000000-0005-0000-0000-000028610000}"/>
    <cellStyle name="SAPBEXaggDataEmph 2 2" xfId="25460" xr:uid="{00000000-0005-0000-0000-000029610000}"/>
    <cellStyle name="SAPBEXaggDataEmph 3" xfId="24685" xr:uid="{00000000-0005-0000-0000-00002A610000}"/>
    <cellStyle name="SAPBEXaggDataEmph 3 2" xfId="25322" xr:uid="{00000000-0005-0000-0000-00002B610000}"/>
    <cellStyle name="SAPBEXaggDataEmph 3 3" xfId="25648" xr:uid="{00000000-0005-0000-0000-00002C610000}"/>
    <cellStyle name="SAPBEXaggDataEmph 4" xfId="25091" xr:uid="{00000000-0005-0000-0000-00002D610000}"/>
    <cellStyle name="SAPBEXaggDataEmph 4 2" xfId="25367" xr:uid="{00000000-0005-0000-0000-00002E610000}"/>
    <cellStyle name="SAPBEXaggDataEmph 4 3" xfId="25689" xr:uid="{00000000-0005-0000-0000-00002F610000}"/>
    <cellStyle name="SAPBEXaggItem" xfId="74" xr:uid="{00000000-0005-0000-0000-000030610000}"/>
    <cellStyle name="SAPBEXaggItem 10" xfId="24684" xr:uid="{00000000-0005-0000-0000-000031610000}"/>
    <cellStyle name="SAPBEXaggItem 10 2" xfId="25409" xr:uid="{00000000-0005-0000-0000-000032610000}"/>
    <cellStyle name="SAPBEXaggItem 10 3" xfId="25647" xr:uid="{00000000-0005-0000-0000-000033610000}"/>
    <cellStyle name="SAPBEXaggItem 11" xfId="25092" xr:uid="{00000000-0005-0000-0000-000034610000}"/>
    <cellStyle name="SAPBEXaggItem 11 2" xfId="25381" xr:uid="{00000000-0005-0000-0000-000035610000}"/>
    <cellStyle name="SAPBEXaggItem 11 3" xfId="25690" xr:uid="{00000000-0005-0000-0000-000036610000}"/>
    <cellStyle name="SAPBEXaggItem 2" xfId="75" xr:uid="{00000000-0005-0000-0000-000037610000}"/>
    <cellStyle name="SAPBEXaggItem 2 2" xfId="13624" xr:uid="{00000000-0005-0000-0000-000038610000}"/>
    <cellStyle name="SAPBEXaggItem 2 2 2" xfId="25462" xr:uid="{00000000-0005-0000-0000-000039610000}"/>
    <cellStyle name="SAPBEXaggItem 3" xfId="219" xr:uid="{00000000-0005-0000-0000-00003A610000}"/>
    <cellStyle name="SAPBEXaggItem 3 2" xfId="13705" xr:uid="{00000000-0005-0000-0000-00003B610000}"/>
    <cellStyle name="SAPBEXaggItem 3 2 2" xfId="25519" xr:uid="{00000000-0005-0000-0000-00003C610000}"/>
    <cellStyle name="SAPBEXaggItem 4" xfId="220" xr:uid="{00000000-0005-0000-0000-00003D610000}"/>
    <cellStyle name="SAPBEXaggItem 4 2" xfId="13706" xr:uid="{00000000-0005-0000-0000-00003E610000}"/>
    <cellStyle name="SAPBEXaggItem 4 2 2" xfId="25520" xr:uid="{00000000-0005-0000-0000-00003F610000}"/>
    <cellStyle name="SAPBEXaggItem 5" xfId="221" xr:uid="{00000000-0005-0000-0000-000040610000}"/>
    <cellStyle name="SAPBEXaggItem 5 2" xfId="13707" xr:uid="{00000000-0005-0000-0000-000041610000}"/>
    <cellStyle name="SAPBEXaggItem 5 2 2" xfId="25521" xr:uid="{00000000-0005-0000-0000-000042610000}"/>
    <cellStyle name="SAPBEXaggItem 6" xfId="222" xr:uid="{00000000-0005-0000-0000-000043610000}"/>
    <cellStyle name="SAPBEXaggItem 6 2" xfId="13708" xr:uid="{00000000-0005-0000-0000-000044610000}"/>
    <cellStyle name="SAPBEXaggItem 6 2 2" xfId="25522" xr:uid="{00000000-0005-0000-0000-000045610000}"/>
    <cellStyle name="SAPBEXaggItem 7" xfId="223" xr:uid="{00000000-0005-0000-0000-000046610000}"/>
    <cellStyle name="SAPBEXaggItem 7 2" xfId="13709" xr:uid="{00000000-0005-0000-0000-000047610000}"/>
    <cellStyle name="SAPBEXaggItem 7 2 2" xfId="25523" xr:uid="{00000000-0005-0000-0000-000048610000}"/>
    <cellStyle name="SAPBEXaggItem 8" xfId="411" xr:uid="{00000000-0005-0000-0000-000049610000}"/>
    <cellStyle name="SAPBEXaggItem 8 2" xfId="13793" xr:uid="{00000000-0005-0000-0000-00004A610000}"/>
    <cellStyle name="SAPBEXaggItem 8 2 2" xfId="25551" xr:uid="{00000000-0005-0000-0000-00004B610000}"/>
    <cellStyle name="SAPBEXaggItem 9" xfId="13623" xr:uid="{00000000-0005-0000-0000-00004C610000}"/>
    <cellStyle name="SAPBEXaggItem 9 2" xfId="25461" xr:uid="{00000000-0005-0000-0000-00004D610000}"/>
    <cellStyle name="SAPBEXaggItem_Copy of xSAPtemp5457" xfId="224" xr:uid="{00000000-0005-0000-0000-00004E610000}"/>
    <cellStyle name="SAPBEXaggItemX" xfId="76" xr:uid="{00000000-0005-0000-0000-00004F610000}"/>
    <cellStyle name="SAPBEXaggItemX 2" xfId="13625" xr:uid="{00000000-0005-0000-0000-000050610000}"/>
    <cellStyle name="SAPBEXaggItemX 2 2" xfId="25463" xr:uid="{00000000-0005-0000-0000-000051610000}"/>
    <cellStyle name="SAPBEXaggItemX 3" xfId="24683" xr:uid="{00000000-0005-0000-0000-000052610000}"/>
    <cellStyle name="SAPBEXaggItemX 3 2" xfId="25307" xr:uid="{00000000-0005-0000-0000-000053610000}"/>
    <cellStyle name="SAPBEXaggItemX 3 3" xfId="25646" xr:uid="{00000000-0005-0000-0000-000054610000}"/>
    <cellStyle name="SAPBEXaggItemX 4" xfId="25093" xr:uid="{00000000-0005-0000-0000-000055610000}"/>
    <cellStyle name="SAPBEXaggItemX 4 2" xfId="25395" xr:uid="{00000000-0005-0000-0000-000056610000}"/>
    <cellStyle name="SAPBEXaggItemX 4 3" xfId="25691" xr:uid="{00000000-0005-0000-0000-000057610000}"/>
    <cellStyle name="SAPBEXchaText" xfId="6" xr:uid="{00000000-0005-0000-0000-000058610000}"/>
    <cellStyle name="SAPBEXchaText 2" xfId="77" xr:uid="{00000000-0005-0000-0000-000059610000}"/>
    <cellStyle name="SAPBEXchaText 2 2" xfId="459" xr:uid="{00000000-0005-0000-0000-00005A610000}"/>
    <cellStyle name="SAPBEXchaText 2 2 2" xfId="13827" xr:uid="{00000000-0005-0000-0000-00005B610000}"/>
    <cellStyle name="SAPBEXchaText 2 2 2 2" xfId="25377" xr:uid="{00000000-0005-0000-0000-00005C610000}"/>
    <cellStyle name="SAPBEXchaText 2 3" xfId="13626" xr:uid="{00000000-0005-0000-0000-00005D610000}"/>
    <cellStyle name="SAPBEXchaText 2 3 2" xfId="25464" xr:uid="{00000000-0005-0000-0000-00005E610000}"/>
    <cellStyle name="SAPBEXchaText 3" xfId="78" xr:uid="{00000000-0005-0000-0000-00005F610000}"/>
    <cellStyle name="SAPBEXchaText 3 2" xfId="225" xr:uid="{00000000-0005-0000-0000-000060610000}"/>
    <cellStyle name="SAPBEXchaText 3 2 2" xfId="13710" xr:uid="{00000000-0005-0000-0000-000061610000}"/>
    <cellStyle name="SAPBEXchaText 3 2 2 2" xfId="25524" xr:uid="{00000000-0005-0000-0000-000062610000}"/>
    <cellStyle name="SAPBEXchaText 4" xfId="226" xr:uid="{00000000-0005-0000-0000-000063610000}"/>
    <cellStyle name="SAPBEXchaText 4 2" xfId="13711" xr:uid="{00000000-0005-0000-0000-000064610000}"/>
    <cellStyle name="SAPBEXchaText 4 2 2" xfId="25525" xr:uid="{00000000-0005-0000-0000-000065610000}"/>
    <cellStyle name="SAPBEXchaText 5" xfId="227" xr:uid="{00000000-0005-0000-0000-000066610000}"/>
    <cellStyle name="SAPBEXchaText 5 2" xfId="13712" xr:uid="{00000000-0005-0000-0000-000067610000}"/>
    <cellStyle name="SAPBEXchaText 5 2 2" xfId="25526" xr:uid="{00000000-0005-0000-0000-000068610000}"/>
    <cellStyle name="SAPBEXchaText 6" xfId="228" xr:uid="{00000000-0005-0000-0000-000069610000}"/>
    <cellStyle name="SAPBEXchaText 6 2" xfId="13713" xr:uid="{00000000-0005-0000-0000-00006A610000}"/>
    <cellStyle name="SAPBEXchaText 6 2 2" xfId="25527" xr:uid="{00000000-0005-0000-0000-00006B610000}"/>
    <cellStyle name="SAPBEXchaText 7" xfId="229" xr:uid="{00000000-0005-0000-0000-00006C610000}"/>
    <cellStyle name="SAPBEXchaText 7 2" xfId="485" xr:uid="{00000000-0005-0000-0000-00006D610000}"/>
    <cellStyle name="SAPBEXchaText 7 2 2" xfId="13848" xr:uid="{00000000-0005-0000-0000-00006E610000}"/>
    <cellStyle name="SAPBEXchaText 7 2 2 2" xfId="25378" xr:uid="{00000000-0005-0000-0000-00006F610000}"/>
    <cellStyle name="SAPBEXchaText 7 2 3" xfId="25281" xr:uid="{00000000-0005-0000-0000-000070610000}"/>
    <cellStyle name="SAPBEXchaText 7 3" xfId="13714" xr:uid="{00000000-0005-0000-0000-000071610000}"/>
    <cellStyle name="SAPBEXchaText 7 3 2" xfId="25375" xr:uid="{00000000-0005-0000-0000-000072610000}"/>
    <cellStyle name="SAPBEXchaText_Copy of xSAPtemp5457" xfId="230" xr:uid="{00000000-0005-0000-0000-000073610000}"/>
    <cellStyle name="SAPBEXexcBad7" xfId="79" xr:uid="{00000000-0005-0000-0000-000074610000}"/>
    <cellStyle name="SAPBEXexcBad7 2" xfId="13627" xr:uid="{00000000-0005-0000-0000-000075610000}"/>
    <cellStyle name="SAPBEXexcBad7 2 2" xfId="25465" xr:uid="{00000000-0005-0000-0000-000076610000}"/>
    <cellStyle name="SAPBEXexcBad7 3" xfId="24682" xr:uid="{00000000-0005-0000-0000-000077610000}"/>
    <cellStyle name="SAPBEXexcBad7 3 2" xfId="25399" xr:uid="{00000000-0005-0000-0000-000078610000}"/>
    <cellStyle name="SAPBEXexcBad7 3 3" xfId="25645" xr:uid="{00000000-0005-0000-0000-000079610000}"/>
    <cellStyle name="SAPBEXexcBad7 4" xfId="25094" xr:uid="{00000000-0005-0000-0000-00007A610000}"/>
    <cellStyle name="SAPBEXexcBad7 4 2" xfId="25304" xr:uid="{00000000-0005-0000-0000-00007B610000}"/>
    <cellStyle name="SAPBEXexcBad7 4 3" xfId="25692" xr:uid="{00000000-0005-0000-0000-00007C610000}"/>
    <cellStyle name="SAPBEXexcBad8" xfId="80" xr:uid="{00000000-0005-0000-0000-00007D610000}"/>
    <cellStyle name="SAPBEXexcBad8 2" xfId="13628" xr:uid="{00000000-0005-0000-0000-00007E610000}"/>
    <cellStyle name="SAPBEXexcBad8 2 2" xfId="25466" xr:uid="{00000000-0005-0000-0000-00007F610000}"/>
    <cellStyle name="SAPBEXexcBad8 3" xfId="24681" xr:uid="{00000000-0005-0000-0000-000080610000}"/>
    <cellStyle name="SAPBEXexcBad8 3 2" xfId="25383" xr:uid="{00000000-0005-0000-0000-000081610000}"/>
    <cellStyle name="SAPBEXexcBad8 3 3" xfId="25644" xr:uid="{00000000-0005-0000-0000-000082610000}"/>
    <cellStyle name="SAPBEXexcBad8 4" xfId="25095" xr:uid="{00000000-0005-0000-0000-000083610000}"/>
    <cellStyle name="SAPBEXexcBad8 4 2" xfId="25407" xr:uid="{00000000-0005-0000-0000-000084610000}"/>
    <cellStyle name="SAPBEXexcBad8 4 3" xfId="25693" xr:uid="{00000000-0005-0000-0000-000085610000}"/>
    <cellStyle name="SAPBEXexcBad9" xfId="81" xr:uid="{00000000-0005-0000-0000-000086610000}"/>
    <cellStyle name="SAPBEXexcBad9 2" xfId="13629" xr:uid="{00000000-0005-0000-0000-000087610000}"/>
    <cellStyle name="SAPBEXexcBad9 2 2" xfId="25467" xr:uid="{00000000-0005-0000-0000-000088610000}"/>
    <cellStyle name="SAPBEXexcBad9 3" xfId="24680" xr:uid="{00000000-0005-0000-0000-000089610000}"/>
    <cellStyle name="SAPBEXexcBad9 3 2" xfId="25370" xr:uid="{00000000-0005-0000-0000-00008A610000}"/>
    <cellStyle name="SAPBEXexcBad9 3 3" xfId="25643" xr:uid="{00000000-0005-0000-0000-00008B610000}"/>
    <cellStyle name="SAPBEXexcBad9 4" xfId="25096" xr:uid="{00000000-0005-0000-0000-00008C610000}"/>
    <cellStyle name="SAPBEXexcBad9 4 2" xfId="25320" xr:uid="{00000000-0005-0000-0000-00008D610000}"/>
    <cellStyle name="SAPBEXexcBad9 4 3" xfId="25694" xr:uid="{00000000-0005-0000-0000-00008E610000}"/>
    <cellStyle name="SAPBEXexcCritical4" xfId="82" xr:uid="{00000000-0005-0000-0000-00008F610000}"/>
    <cellStyle name="SAPBEXexcCritical4 2" xfId="13630" xr:uid="{00000000-0005-0000-0000-000090610000}"/>
    <cellStyle name="SAPBEXexcCritical4 2 2" xfId="25468" xr:uid="{00000000-0005-0000-0000-000091610000}"/>
    <cellStyle name="SAPBEXexcCritical4 3" xfId="24679" xr:uid="{00000000-0005-0000-0000-000092610000}"/>
    <cellStyle name="SAPBEXexcCritical4 3 2" xfId="25288" xr:uid="{00000000-0005-0000-0000-000093610000}"/>
    <cellStyle name="SAPBEXexcCritical4 3 3" xfId="25642" xr:uid="{00000000-0005-0000-0000-000094610000}"/>
    <cellStyle name="SAPBEXexcCritical4 4" xfId="25097" xr:uid="{00000000-0005-0000-0000-000095610000}"/>
    <cellStyle name="SAPBEXexcCritical4 4 2" xfId="25419" xr:uid="{00000000-0005-0000-0000-000096610000}"/>
    <cellStyle name="SAPBEXexcCritical4 4 3" xfId="25695" xr:uid="{00000000-0005-0000-0000-000097610000}"/>
    <cellStyle name="SAPBEXexcCritical5" xfId="83" xr:uid="{00000000-0005-0000-0000-000098610000}"/>
    <cellStyle name="SAPBEXexcCritical5 2" xfId="13631" xr:uid="{00000000-0005-0000-0000-000099610000}"/>
    <cellStyle name="SAPBEXexcCritical5 2 2" xfId="25469" xr:uid="{00000000-0005-0000-0000-00009A610000}"/>
    <cellStyle name="SAPBEXexcCritical5 3" xfId="24678" xr:uid="{00000000-0005-0000-0000-00009B610000}"/>
    <cellStyle name="SAPBEXexcCritical5 3 2" xfId="25299" xr:uid="{00000000-0005-0000-0000-00009C610000}"/>
    <cellStyle name="SAPBEXexcCritical5 3 3" xfId="25641" xr:uid="{00000000-0005-0000-0000-00009D610000}"/>
    <cellStyle name="SAPBEXexcCritical5 4" xfId="25098" xr:uid="{00000000-0005-0000-0000-00009E610000}"/>
    <cellStyle name="SAPBEXexcCritical5 4 2" xfId="25336" xr:uid="{00000000-0005-0000-0000-00009F610000}"/>
    <cellStyle name="SAPBEXexcCritical5 4 3" xfId="25696" xr:uid="{00000000-0005-0000-0000-0000A0610000}"/>
    <cellStyle name="SAPBEXexcCritical6" xfId="84" xr:uid="{00000000-0005-0000-0000-0000A1610000}"/>
    <cellStyle name="SAPBEXexcCritical6 2" xfId="13632" xr:uid="{00000000-0005-0000-0000-0000A2610000}"/>
    <cellStyle name="SAPBEXexcCritical6 2 2" xfId="25470" xr:uid="{00000000-0005-0000-0000-0000A3610000}"/>
    <cellStyle name="SAPBEXexcCritical6 3" xfId="24677" xr:uid="{00000000-0005-0000-0000-0000A4610000}"/>
    <cellStyle name="SAPBEXexcCritical6 3 2" xfId="25362" xr:uid="{00000000-0005-0000-0000-0000A5610000}"/>
    <cellStyle name="SAPBEXexcCritical6 3 3" xfId="25640" xr:uid="{00000000-0005-0000-0000-0000A6610000}"/>
    <cellStyle name="SAPBEXexcCritical6 4" xfId="25099" xr:uid="{00000000-0005-0000-0000-0000A7610000}"/>
    <cellStyle name="SAPBEXexcCritical6 4 2" xfId="25438" xr:uid="{00000000-0005-0000-0000-0000A8610000}"/>
    <cellStyle name="SAPBEXexcCritical6 4 3" xfId="25697" xr:uid="{00000000-0005-0000-0000-0000A9610000}"/>
    <cellStyle name="SAPBEXexcGood1" xfId="85" xr:uid="{00000000-0005-0000-0000-0000AA610000}"/>
    <cellStyle name="SAPBEXexcGood1 2" xfId="13633" xr:uid="{00000000-0005-0000-0000-0000AB610000}"/>
    <cellStyle name="SAPBEXexcGood1 2 2" xfId="25471" xr:uid="{00000000-0005-0000-0000-0000AC610000}"/>
    <cellStyle name="SAPBEXexcGood1 3" xfId="24676" xr:uid="{00000000-0005-0000-0000-0000AD610000}"/>
    <cellStyle name="SAPBEXexcGood1 3 2" xfId="25450" xr:uid="{00000000-0005-0000-0000-0000AE610000}"/>
    <cellStyle name="SAPBEXexcGood1 3 3" xfId="25639" xr:uid="{00000000-0005-0000-0000-0000AF610000}"/>
    <cellStyle name="SAPBEXexcGood1 4" xfId="25100" xr:uid="{00000000-0005-0000-0000-0000B0610000}"/>
    <cellStyle name="SAPBEXexcGood1 4 2" xfId="25355" xr:uid="{00000000-0005-0000-0000-0000B1610000}"/>
    <cellStyle name="SAPBEXexcGood1 4 3" xfId="25698" xr:uid="{00000000-0005-0000-0000-0000B2610000}"/>
    <cellStyle name="SAPBEXexcGood2" xfId="86" xr:uid="{00000000-0005-0000-0000-0000B3610000}"/>
    <cellStyle name="SAPBEXexcGood2 2" xfId="13634" xr:uid="{00000000-0005-0000-0000-0000B4610000}"/>
    <cellStyle name="SAPBEXexcGood2 2 2" xfId="25472" xr:uid="{00000000-0005-0000-0000-0000B5610000}"/>
    <cellStyle name="SAPBEXexcGood2 3" xfId="24675" xr:uid="{00000000-0005-0000-0000-0000B6610000}"/>
    <cellStyle name="SAPBEXexcGood2 3 2" xfId="25349" xr:uid="{00000000-0005-0000-0000-0000B7610000}"/>
    <cellStyle name="SAPBEXexcGood2 3 3" xfId="25638" xr:uid="{00000000-0005-0000-0000-0000B8610000}"/>
    <cellStyle name="SAPBEXexcGood2 4" xfId="25101" xr:uid="{00000000-0005-0000-0000-0000B9610000}"/>
    <cellStyle name="SAPBEXexcGood2 4 2" xfId="25389" xr:uid="{00000000-0005-0000-0000-0000BA610000}"/>
    <cellStyle name="SAPBEXexcGood2 4 3" xfId="25699" xr:uid="{00000000-0005-0000-0000-0000BB610000}"/>
    <cellStyle name="SAPBEXexcGood3" xfId="87" xr:uid="{00000000-0005-0000-0000-0000BC610000}"/>
    <cellStyle name="SAPBEXexcGood3 2" xfId="13635" xr:uid="{00000000-0005-0000-0000-0000BD610000}"/>
    <cellStyle name="SAPBEXexcGood3 2 2" xfId="25473" xr:uid="{00000000-0005-0000-0000-0000BE610000}"/>
    <cellStyle name="SAPBEXexcGood3 3" xfId="24674" xr:uid="{00000000-0005-0000-0000-0000BF610000}"/>
    <cellStyle name="SAPBEXexcGood3 3 2" xfId="25433" xr:uid="{00000000-0005-0000-0000-0000C0610000}"/>
    <cellStyle name="SAPBEXexcGood3 3 3" xfId="25637" xr:uid="{00000000-0005-0000-0000-0000C1610000}"/>
    <cellStyle name="SAPBEXexcGood3 4" xfId="25102" xr:uid="{00000000-0005-0000-0000-0000C2610000}"/>
    <cellStyle name="SAPBEXexcGood3 4 2" xfId="25403" xr:uid="{00000000-0005-0000-0000-0000C3610000}"/>
    <cellStyle name="SAPBEXexcGood3 4 3" xfId="25700" xr:uid="{00000000-0005-0000-0000-0000C4610000}"/>
    <cellStyle name="SAPBEXfilterDrill" xfId="88" xr:uid="{00000000-0005-0000-0000-0000C5610000}"/>
    <cellStyle name="SAPBEXfilterItem" xfId="89" xr:uid="{00000000-0005-0000-0000-0000C6610000}"/>
    <cellStyle name="SAPBEXfilterItem 2" xfId="90" xr:uid="{00000000-0005-0000-0000-0000C7610000}"/>
    <cellStyle name="SAPBEXfilterItem 3" xfId="231" xr:uid="{00000000-0005-0000-0000-0000C8610000}"/>
    <cellStyle name="SAPBEXfilterItem 4" xfId="232" xr:uid="{00000000-0005-0000-0000-0000C9610000}"/>
    <cellStyle name="SAPBEXfilterItem 5" xfId="233" xr:uid="{00000000-0005-0000-0000-0000CA610000}"/>
    <cellStyle name="SAPBEXfilterItem 6" xfId="234" xr:uid="{00000000-0005-0000-0000-0000CB610000}"/>
    <cellStyle name="SAPBEXfilterItem 7" xfId="235" xr:uid="{00000000-0005-0000-0000-0000CC610000}"/>
    <cellStyle name="SAPBEXfilterItem 8" xfId="412" xr:uid="{00000000-0005-0000-0000-0000CD610000}"/>
    <cellStyle name="SAPBEXfilterItem_Copy of xSAPtemp5457" xfId="236" xr:uid="{00000000-0005-0000-0000-0000CE610000}"/>
    <cellStyle name="SAPBEXfilterText" xfId="91" xr:uid="{00000000-0005-0000-0000-0000CF610000}"/>
    <cellStyle name="SAPBEXfilterText 2" xfId="92" xr:uid="{00000000-0005-0000-0000-0000D0610000}"/>
    <cellStyle name="SAPBEXfilterText 2 2" xfId="24246" xr:uid="{00000000-0005-0000-0000-0000D1610000}"/>
    <cellStyle name="SAPBEXfilterText 3" xfId="93" xr:uid="{00000000-0005-0000-0000-0000D2610000}"/>
    <cellStyle name="SAPBEXfilterText 3 2" xfId="24247" xr:uid="{00000000-0005-0000-0000-0000D3610000}"/>
    <cellStyle name="SAPBEXfilterText 4" xfId="237" xr:uid="{00000000-0005-0000-0000-0000D4610000}"/>
    <cellStyle name="SAPBEXfilterText 5" xfId="238" xr:uid="{00000000-0005-0000-0000-0000D5610000}"/>
    <cellStyle name="SAPBEXformats" xfId="94" xr:uid="{00000000-0005-0000-0000-0000D6610000}"/>
    <cellStyle name="SAPBEXformats 2" xfId="13636" xr:uid="{00000000-0005-0000-0000-0000D7610000}"/>
    <cellStyle name="SAPBEXformats 2 2" xfId="25474" xr:uid="{00000000-0005-0000-0000-0000D8610000}"/>
    <cellStyle name="SAPBEXformats 3" xfId="24673" xr:uid="{00000000-0005-0000-0000-0000D9610000}"/>
    <cellStyle name="SAPBEXformats 3 2" xfId="25332" xr:uid="{00000000-0005-0000-0000-0000DA610000}"/>
    <cellStyle name="SAPBEXformats 3 3" xfId="25636" xr:uid="{00000000-0005-0000-0000-0000DB610000}"/>
    <cellStyle name="SAPBEXformats 4" xfId="25103" xr:uid="{00000000-0005-0000-0000-0000DC610000}"/>
    <cellStyle name="SAPBEXformats 4 2" xfId="25314" xr:uid="{00000000-0005-0000-0000-0000DD610000}"/>
    <cellStyle name="SAPBEXformats 4 3" xfId="25701" xr:uid="{00000000-0005-0000-0000-0000DE610000}"/>
    <cellStyle name="SAPBEXheaderItem" xfId="95" xr:uid="{00000000-0005-0000-0000-0000DF610000}"/>
    <cellStyle name="SAPBEXheaderItem 2" xfId="96" xr:uid="{00000000-0005-0000-0000-0000E0610000}"/>
    <cellStyle name="SAPBEXheaderItem 2 2" xfId="24249" xr:uid="{00000000-0005-0000-0000-0000E1610000}"/>
    <cellStyle name="SAPBEXheaderItem 3" xfId="97" xr:uid="{00000000-0005-0000-0000-0000E2610000}"/>
    <cellStyle name="SAPBEXheaderItem 3 2" xfId="98" xr:uid="{00000000-0005-0000-0000-0000E3610000}"/>
    <cellStyle name="SAPBEXheaderItem 3 3" xfId="24250" xr:uid="{00000000-0005-0000-0000-0000E4610000}"/>
    <cellStyle name="SAPBEXheaderItem 4" xfId="239" xr:uid="{00000000-0005-0000-0000-0000E5610000}"/>
    <cellStyle name="SAPBEXheaderItem 5" xfId="240" xr:uid="{00000000-0005-0000-0000-0000E6610000}"/>
    <cellStyle name="SAPBEXheaderItem 6" xfId="241" xr:uid="{00000000-0005-0000-0000-0000E7610000}"/>
    <cellStyle name="SAPBEXheaderItem 7" xfId="242" xr:uid="{00000000-0005-0000-0000-0000E8610000}"/>
    <cellStyle name="SAPBEXheaderItem 8" xfId="243" xr:uid="{00000000-0005-0000-0000-0000E9610000}"/>
    <cellStyle name="SAPBEXheaderItem 9" xfId="413" xr:uid="{00000000-0005-0000-0000-0000EA610000}"/>
    <cellStyle name="SAPBEXheaderItem_Copy of xSAPtemp5457" xfId="244" xr:uid="{00000000-0005-0000-0000-0000EB610000}"/>
    <cellStyle name="SAPBEXheaderText" xfId="99" xr:uid="{00000000-0005-0000-0000-0000EC610000}"/>
    <cellStyle name="SAPBEXheaderText 2" xfId="100" xr:uid="{00000000-0005-0000-0000-0000ED610000}"/>
    <cellStyle name="SAPBEXheaderText 2 2" xfId="24251" xr:uid="{00000000-0005-0000-0000-0000EE610000}"/>
    <cellStyle name="SAPBEXheaderText 3" xfId="101" xr:uid="{00000000-0005-0000-0000-0000EF610000}"/>
    <cellStyle name="SAPBEXheaderText 3 2" xfId="24252" xr:uid="{00000000-0005-0000-0000-0000F0610000}"/>
    <cellStyle name="SAPBEXheaderText 4" xfId="102" xr:uid="{00000000-0005-0000-0000-0000F1610000}"/>
    <cellStyle name="SAPBEXheaderText 5" xfId="245" xr:uid="{00000000-0005-0000-0000-0000F2610000}"/>
    <cellStyle name="SAPBEXheaderText 6" xfId="246" xr:uid="{00000000-0005-0000-0000-0000F3610000}"/>
    <cellStyle name="SAPBEXheaderText 7" xfId="247" xr:uid="{00000000-0005-0000-0000-0000F4610000}"/>
    <cellStyle name="SAPBEXheaderText 8" xfId="248" xr:uid="{00000000-0005-0000-0000-0000F5610000}"/>
    <cellStyle name="SAPBEXheaderText 9" xfId="414" xr:uid="{00000000-0005-0000-0000-0000F6610000}"/>
    <cellStyle name="SAPBEXheaderText_Copy of xSAPtemp5457" xfId="249" xr:uid="{00000000-0005-0000-0000-0000F7610000}"/>
    <cellStyle name="SAPBEXHLevel0" xfId="103" xr:uid="{00000000-0005-0000-0000-0000F8610000}"/>
    <cellStyle name="SAPBEXHLevel0 2" xfId="104" xr:uid="{00000000-0005-0000-0000-0000F9610000}"/>
    <cellStyle name="SAPBEXHLevel0 2 2" xfId="13638" xr:uid="{00000000-0005-0000-0000-0000FA610000}"/>
    <cellStyle name="SAPBEXHLevel0 2 2 2" xfId="25476" xr:uid="{00000000-0005-0000-0000-0000FB610000}"/>
    <cellStyle name="SAPBEXHLevel0 2 3" xfId="24253" xr:uid="{00000000-0005-0000-0000-0000FC610000}"/>
    <cellStyle name="SAPBEXHLevel0 2 3 2" xfId="25575" xr:uid="{00000000-0005-0000-0000-0000FD610000}"/>
    <cellStyle name="SAPBEXHLevel0 2 4" xfId="24668" xr:uid="{00000000-0005-0000-0000-0000FE610000}"/>
    <cellStyle name="SAPBEXHLevel0 2 4 2" xfId="25357" xr:uid="{00000000-0005-0000-0000-0000FF610000}"/>
    <cellStyle name="SAPBEXHLevel0 2 4 3" xfId="25634" xr:uid="{00000000-0005-0000-0000-000000620000}"/>
    <cellStyle name="SAPBEXHLevel0 2 5" xfId="25105" xr:uid="{00000000-0005-0000-0000-000001620000}"/>
    <cellStyle name="SAPBEXHLevel0 2 5 2" xfId="25328" xr:uid="{00000000-0005-0000-0000-000002620000}"/>
    <cellStyle name="SAPBEXHLevel0 2 5 3" xfId="25703" xr:uid="{00000000-0005-0000-0000-000003620000}"/>
    <cellStyle name="SAPBEXHLevel0 3" xfId="105" xr:uid="{00000000-0005-0000-0000-000004620000}"/>
    <cellStyle name="SAPBEXHLevel0 3 2" xfId="13639" xr:uid="{00000000-0005-0000-0000-000005620000}"/>
    <cellStyle name="SAPBEXHLevel0 3 2 2" xfId="25477" xr:uid="{00000000-0005-0000-0000-000006620000}"/>
    <cellStyle name="SAPBEXHLevel0 3 3" xfId="24254" xr:uid="{00000000-0005-0000-0000-000007620000}"/>
    <cellStyle name="SAPBEXHLevel0 3 3 2" xfId="25576" xr:uid="{00000000-0005-0000-0000-000008620000}"/>
    <cellStyle name="SAPBEXHLevel0 3 4" xfId="24667" xr:uid="{00000000-0005-0000-0000-000009620000}"/>
    <cellStyle name="SAPBEXHLevel0 3 4 2" xfId="25441" xr:uid="{00000000-0005-0000-0000-00000A620000}"/>
    <cellStyle name="SAPBEXHLevel0 3 4 3" xfId="25633" xr:uid="{00000000-0005-0000-0000-00000B620000}"/>
    <cellStyle name="SAPBEXHLevel0 3 5" xfId="25106" xr:uid="{00000000-0005-0000-0000-00000C620000}"/>
    <cellStyle name="SAPBEXHLevel0 3 5 2" xfId="25429" xr:uid="{00000000-0005-0000-0000-00000D620000}"/>
    <cellStyle name="SAPBEXHLevel0 3 5 3" xfId="25704" xr:uid="{00000000-0005-0000-0000-00000E620000}"/>
    <cellStyle name="SAPBEXHLevel0 4" xfId="106" xr:uid="{00000000-0005-0000-0000-00000F620000}"/>
    <cellStyle name="SAPBEXHLevel0 4 2" xfId="13640" xr:uid="{00000000-0005-0000-0000-000010620000}"/>
    <cellStyle name="SAPBEXHLevel0 4 2 2" xfId="25478" xr:uid="{00000000-0005-0000-0000-000011620000}"/>
    <cellStyle name="SAPBEXHLevel0 5" xfId="250" xr:uid="{00000000-0005-0000-0000-000012620000}"/>
    <cellStyle name="SAPBEXHLevel0 5 2" xfId="13715" xr:uid="{00000000-0005-0000-0000-000013620000}"/>
    <cellStyle name="SAPBEXHLevel0 5 2 2" xfId="25528" xr:uid="{00000000-0005-0000-0000-000014620000}"/>
    <cellStyle name="SAPBEXHLevel0 6" xfId="13637" xr:uid="{00000000-0005-0000-0000-000015620000}"/>
    <cellStyle name="SAPBEXHLevel0 6 2" xfId="25475" xr:uid="{00000000-0005-0000-0000-000016620000}"/>
    <cellStyle name="SAPBEXHLevel0 7" xfId="24669" xr:uid="{00000000-0005-0000-0000-000017620000}"/>
    <cellStyle name="SAPBEXHLevel0 7 2" xfId="25391" xr:uid="{00000000-0005-0000-0000-000018620000}"/>
    <cellStyle name="SAPBEXHLevel0 7 3" xfId="25635" xr:uid="{00000000-0005-0000-0000-000019620000}"/>
    <cellStyle name="SAPBEXHLevel0 8" xfId="25104" xr:uid="{00000000-0005-0000-0000-00001A620000}"/>
    <cellStyle name="SAPBEXHLevel0 8 2" xfId="25415" xr:uid="{00000000-0005-0000-0000-00001B620000}"/>
    <cellStyle name="SAPBEXHLevel0 8 3" xfId="25702" xr:uid="{00000000-0005-0000-0000-00001C620000}"/>
    <cellStyle name="SAPBEXHLevel0X" xfId="107" xr:uid="{00000000-0005-0000-0000-00001D620000}"/>
    <cellStyle name="SAPBEXHLevel0X 2" xfId="108" xr:uid="{00000000-0005-0000-0000-00001E620000}"/>
    <cellStyle name="SAPBEXHLevel0X 2 2" xfId="13642" xr:uid="{00000000-0005-0000-0000-00001F620000}"/>
    <cellStyle name="SAPBEXHLevel0X 2 2 2" xfId="25480" xr:uid="{00000000-0005-0000-0000-000020620000}"/>
    <cellStyle name="SAPBEXHLevel0X 2 3" xfId="24255" xr:uid="{00000000-0005-0000-0000-000021620000}"/>
    <cellStyle name="SAPBEXHLevel0X 2 3 2" xfId="25577" xr:uid="{00000000-0005-0000-0000-000022620000}"/>
    <cellStyle name="SAPBEXHLevel0X 2 4" xfId="24665" xr:uid="{00000000-0005-0000-0000-000023620000}"/>
    <cellStyle name="SAPBEXHLevel0X 2 4 2" xfId="25424" xr:uid="{00000000-0005-0000-0000-000024620000}"/>
    <cellStyle name="SAPBEXHLevel0X 2 4 3" xfId="25631" xr:uid="{00000000-0005-0000-0000-000025620000}"/>
    <cellStyle name="SAPBEXHLevel0X 2 5" xfId="25108" xr:uid="{00000000-0005-0000-0000-000026620000}"/>
    <cellStyle name="SAPBEXHLevel0X 2 5 2" xfId="25446" xr:uid="{00000000-0005-0000-0000-000027620000}"/>
    <cellStyle name="SAPBEXHLevel0X 2 5 3" xfId="25706" xr:uid="{00000000-0005-0000-0000-000028620000}"/>
    <cellStyle name="SAPBEXHLevel0X 3" xfId="109" xr:uid="{00000000-0005-0000-0000-000029620000}"/>
    <cellStyle name="SAPBEXHLevel0X 3 2" xfId="13643" xr:uid="{00000000-0005-0000-0000-00002A620000}"/>
    <cellStyle name="SAPBEXHLevel0X 3 2 2" xfId="25481" xr:uid="{00000000-0005-0000-0000-00002B620000}"/>
    <cellStyle name="SAPBEXHLevel0X 3 3" xfId="24256" xr:uid="{00000000-0005-0000-0000-00002C620000}"/>
    <cellStyle name="SAPBEXHLevel0X 3 3 2" xfId="25578" xr:uid="{00000000-0005-0000-0000-00002D620000}"/>
    <cellStyle name="SAPBEXHLevel0X 3 4" xfId="24664" xr:uid="{00000000-0005-0000-0000-00002E620000}"/>
    <cellStyle name="SAPBEXHLevel0X 3 4 2" xfId="25323" xr:uid="{00000000-0005-0000-0000-00002F620000}"/>
    <cellStyle name="SAPBEXHLevel0X 3 4 3" xfId="25630" xr:uid="{00000000-0005-0000-0000-000030620000}"/>
    <cellStyle name="SAPBEXHLevel0X 3 5" xfId="25109" xr:uid="{00000000-0005-0000-0000-000031620000}"/>
    <cellStyle name="SAPBEXHLevel0X 3 5 2" xfId="25360" xr:uid="{00000000-0005-0000-0000-000032620000}"/>
    <cellStyle name="SAPBEXHLevel0X 3 5 3" xfId="25707" xr:uid="{00000000-0005-0000-0000-000033620000}"/>
    <cellStyle name="SAPBEXHLevel0X 4" xfId="110" xr:uid="{00000000-0005-0000-0000-000034620000}"/>
    <cellStyle name="SAPBEXHLevel0X 4 2" xfId="13644" xr:uid="{00000000-0005-0000-0000-000035620000}"/>
    <cellStyle name="SAPBEXHLevel0X 4 2 2" xfId="25482" xr:uid="{00000000-0005-0000-0000-000036620000}"/>
    <cellStyle name="SAPBEXHLevel0X 5" xfId="251" xr:uid="{00000000-0005-0000-0000-000037620000}"/>
    <cellStyle name="SAPBEXHLevel0X 5 2" xfId="13716" xr:uid="{00000000-0005-0000-0000-000038620000}"/>
    <cellStyle name="SAPBEXHLevel0X 5 2 2" xfId="25529" xr:uid="{00000000-0005-0000-0000-000039620000}"/>
    <cellStyle name="SAPBEXHLevel0X 6" xfId="13641" xr:uid="{00000000-0005-0000-0000-00003A620000}"/>
    <cellStyle name="SAPBEXHLevel0X 6 2" xfId="25479" xr:uid="{00000000-0005-0000-0000-00003B620000}"/>
    <cellStyle name="SAPBEXHLevel0X 7" xfId="24666" xr:uid="{00000000-0005-0000-0000-00003C620000}"/>
    <cellStyle name="SAPBEXHLevel0X 7 2" xfId="25340" xr:uid="{00000000-0005-0000-0000-00003D620000}"/>
    <cellStyle name="SAPBEXHLevel0X 7 3" xfId="25632" xr:uid="{00000000-0005-0000-0000-00003E620000}"/>
    <cellStyle name="SAPBEXHLevel0X 8" xfId="25107" xr:uid="{00000000-0005-0000-0000-00003F620000}"/>
    <cellStyle name="SAPBEXHLevel0X 8 2" xfId="25345" xr:uid="{00000000-0005-0000-0000-000040620000}"/>
    <cellStyle name="SAPBEXHLevel0X 8 3" xfId="25705" xr:uid="{00000000-0005-0000-0000-000041620000}"/>
    <cellStyle name="SAPBEXHLevel1" xfId="111" xr:uid="{00000000-0005-0000-0000-000042620000}"/>
    <cellStyle name="SAPBEXHLevel1 2" xfId="112" xr:uid="{00000000-0005-0000-0000-000043620000}"/>
    <cellStyle name="SAPBEXHLevel1 2 2" xfId="13646" xr:uid="{00000000-0005-0000-0000-000044620000}"/>
    <cellStyle name="SAPBEXHLevel1 2 2 2" xfId="25484" xr:uid="{00000000-0005-0000-0000-000045620000}"/>
    <cellStyle name="SAPBEXHLevel1 2 3" xfId="24257" xr:uid="{00000000-0005-0000-0000-000046620000}"/>
    <cellStyle name="SAPBEXHLevel1 2 3 2" xfId="25579" xr:uid="{00000000-0005-0000-0000-000047620000}"/>
    <cellStyle name="SAPBEXHLevel1 2 4" xfId="24662" xr:uid="{00000000-0005-0000-0000-000048620000}"/>
    <cellStyle name="SAPBEXHLevel1 2 4 2" xfId="25308" xr:uid="{00000000-0005-0000-0000-000049620000}"/>
    <cellStyle name="SAPBEXHLevel1 2 4 3" xfId="25628" xr:uid="{00000000-0005-0000-0000-00004A620000}"/>
    <cellStyle name="SAPBEXHLevel1 2 5" xfId="25111" xr:uid="{00000000-0005-0000-0000-00004B620000}"/>
    <cellStyle name="SAPBEXHLevel1 2 5 2" xfId="25283" xr:uid="{00000000-0005-0000-0000-00004C620000}"/>
    <cellStyle name="SAPBEXHLevel1 2 5 3" xfId="25709" xr:uid="{00000000-0005-0000-0000-00004D620000}"/>
    <cellStyle name="SAPBEXHLevel1 3" xfId="113" xr:uid="{00000000-0005-0000-0000-00004E620000}"/>
    <cellStyle name="SAPBEXHLevel1 3 2" xfId="13647" xr:uid="{00000000-0005-0000-0000-00004F620000}"/>
    <cellStyle name="SAPBEXHLevel1 3 2 2" xfId="25485" xr:uid="{00000000-0005-0000-0000-000050620000}"/>
    <cellStyle name="SAPBEXHLevel1 3 3" xfId="24258" xr:uid="{00000000-0005-0000-0000-000051620000}"/>
    <cellStyle name="SAPBEXHLevel1 3 3 2" xfId="25580" xr:uid="{00000000-0005-0000-0000-000052620000}"/>
    <cellStyle name="SAPBEXHLevel1 3 4" xfId="24661" xr:uid="{00000000-0005-0000-0000-000053620000}"/>
    <cellStyle name="SAPBEXHLevel1 3 4 2" xfId="25400" xr:uid="{00000000-0005-0000-0000-000054620000}"/>
    <cellStyle name="SAPBEXHLevel1 3 4 3" xfId="25627" xr:uid="{00000000-0005-0000-0000-000055620000}"/>
    <cellStyle name="SAPBEXHLevel1 3 5" xfId="25112" xr:uid="{00000000-0005-0000-0000-000056620000}"/>
    <cellStyle name="SAPBEXHLevel1 3 5 2" xfId="25366" xr:uid="{00000000-0005-0000-0000-000057620000}"/>
    <cellStyle name="SAPBEXHLevel1 3 5 3" xfId="25710" xr:uid="{00000000-0005-0000-0000-000058620000}"/>
    <cellStyle name="SAPBEXHLevel1 4" xfId="114" xr:uid="{00000000-0005-0000-0000-000059620000}"/>
    <cellStyle name="SAPBEXHLevel1 4 2" xfId="13648" xr:uid="{00000000-0005-0000-0000-00005A620000}"/>
    <cellStyle name="SAPBEXHLevel1 4 2 2" xfId="25486" xr:uid="{00000000-0005-0000-0000-00005B620000}"/>
    <cellStyle name="SAPBEXHLevel1 5" xfId="252" xr:uid="{00000000-0005-0000-0000-00005C620000}"/>
    <cellStyle name="SAPBEXHLevel1 5 2" xfId="13717" xr:uid="{00000000-0005-0000-0000-00005D620000}"/>
    <cellStyle name="SAPBEXHLevel1 5 2 2" xfId="25530" xr:uid="{00000000-0005-0000-0000-00005E620000}"/>
    <cellStyle name="SAPBEXHLevel1 6" xfId="13645" xr:uid="{00000000-0005-0000-0000-00005F620000}"/>
    <cellStyle name="SAPBEXHLevel1 6 2" xfId="25483" xr:uid="{00000000-0005-0000-0000-000060620000}"/>
    <cellStyle name="SAPBEXHLevel1 7" xfId="24663" xr:uid="{00000000-0005-0000-0000-000061620000}"/>
    <cellStyle name="SAPBEXHLevel1 7 2" xfId="25410" xr:uid="{00000000-0005-0000-0000-000062620000}"/>
    <cellStyle name="SAPBEXHLevel1 7 3" xfId="25629" xr:uid="{00000000-0005-0000-0000-000063620000}"/>
    <cellStyle name="SAPBEXHLevel1 8" xfId="25110" xr:uid="{00000000-0005-0000-0000-000064620000}"/>
    <cellStyle name="SAPBEXHLevel1 8 2" xfId="25297" xr:uid="{00000000-0005-0000-0000-000065620000}"/>
    <cellStyle name="SAPBEXHLevel1 8 3" xfId="25708" xr:uid="{00000000-0005-0000-0000-000066620000}"/>
    <cellStyle name="SAPBEXHLevel1X" xfId="115" xr:uid="{00000000-0005-0000-0000-000067620000}"/>
    <cellStyle name="SAPBEXHLevel1X 2" xfId="116" xr:uid="{00000000-0005-0000-0000-000068620000}"/>
    <cellStyle name="SAPBEXHLevel1X 2 2" xfId="13650" xr:uid="{00000000-0005-0000-0000-000069620000}"/>
    <cellStyle name="SAPBEXHLevel1X 2 2 2" xfId="25488" xr:uid="{00000000-0005-0000-0000-00006A620000}"/>
    <cellStyle name="SAPBEXHLevel1X 2 3" xfId="24259" xr:uid="{00000000-0005-0000-0000-00006B620000}"/>
    <cellStyle name="SAPBEXHLevel1X 2 3 2" xfId="25581" xr:uid="{00000000-0005-0000-0000-00006C620000}"/>
    <cellStyle name="SAPBEXHLevel1X 2 4" xfId="24659" xr:uid="{00000000-0005-0000-0000-00006D620000}"/>
    <cellStyle name="SAPBEXHLevel1X 2 4 2" xfId="25371" xr:uid="{00000000-0005-0000-0000-00006E620000}"/>
    <cellStyle name="SAPBEXHLevel1X 2 4 3" xfId="25625" xr:uid="{00000000-0005-0000-0000-00006F620000}"/>
    <cellStyle name="SAPBEXHLevel1X 2 5" xfId="25114" xr:uid="{00000000-0005-0000-0000-000070620000}"/>
    <cellStyle name="SAPBEXHLevel1X 2 5 2" xfId="25394" xr:uid="{00000000-0005-0000-0000-000071620000}"/>
    <cellStyle name="SAPBEXHLevel1X 2 5 3" xfId="25712" xr:uid="{00000000-0005-0000-0000-000072620000}"/>
    <cellStyle name="SAPBEXHLevel1X 3" xfId="117" xr:uid="{00000000-0005-0000-0000-000073620000}"/>
    <cellStyle name="SAPBEXHLevel1X 3 2" xfId="13651" xr:uid="{00000000-0005-0000-0000-000074620000}"/>
    <cellStyle name="SAPBEXHLevel1X 3 2 2" xfId="25489" xr:uid="{00000000-0005-0000-0000-000075620000}"/>
    <cellStyle name="SAPBEXHLevel1X 3 3" xfId="24260" xr:uid="{00000000-0005-0000-0000-000076620000}"/>
    <cellStyle name="SAPBEXHLevel1X 3 3 2" xfId="25582" xr:uid="{00000000-0005-0000-0000-000077620000}"/>
    <cellStyle name="SAPBEXHLevel1X 3 4" xfId="24658" xr:uid="{00000000-0005-0000-0000-000078620000}"/>
    <cellStyle name="SAPBEXHLevel1X 3 4 2" xfId="25289" xr:uid="{00000000-0005-0000-0000-000079620000}"/>
    <cellStyle name="SAPBEXHLevel1X 3 4 3" xfId="25624" xr:uid="{00000000-0005-0000-0000-00007A620000}"/>
    <cellStyle name="SAPBEXHLevel1X 3 5" xfId="25115" xr:uid="{00000000-0005-0000-0000-00007B620000}"/>
    <cellStyle name="SAPBEXHLevel1X 3 5 2" xfId="25303" xr:uid="{00000000-0005-0000-0000-00007C620000}"/>
    <cellStyle name="SAPBEXHLevel1X 3 5 3" xfId="25713" xr:uid="{00000000-0005-0000-0000-00007D620000}"/>
    <cellStyle name="SAPBEXHLevel1X 4" xfId="118" xr:uid="{00000000-0005-0000-0000-00007E620000}"/>
    <cellStyle name="SAPBEXHLevel1X 4 2" xfId="13652" xr:uid="{00000000-0005-0000-0000-00007F620000}"/>
    <cellStyle name="SAPBEXHLevel1X 4 2 2" xfId="25490" xr:uid="{00000000-0005-0000-0000-000080620000}"/>
    <cellStyle name="SAPBEXHLevel1X 5" xfId="253" xr:uid="{00000000-0005-0000-0000-000081620000}"/>
    <cellStyle name="SAPBEXHLevel1X 5 2" xfId="13718" xr:uid="{00000000-0005-0000-0000-000082620000}"/>
    <cellStyle name="SAPBEXHLevel1X 5 2 2" xfId="25531" xr:uid="{00000000-0005-0000-0000-000083620000}"/>
    <cellStyle name="SAPBEXHLevel1X 6" xfId="13649" xr:uid="{00000000-0005-0000-0000-000084620000}"/>
    <cellStyle name="SAPBEXHLevel1X 6 2" xfId="25487" xr:uid="{00000000-0005-0000-0000-000085620000}"/>
    <cellStyle name="SAPBEXHLevel1X 7" xfId="24660" xr:uid="{00000000-0005-0000-0000-000086620000}"/>
    <cellStyle name="SAPBEXHLevel1X 7 2" xfId="25384" xr:uid="{00000000-0005-0000-0000-000087620000}"/>
    <cellStyle name="SAPBEXHLevel1X 7 3" xfId="25626" xr:uid="{00000000-0005-0000-0000-000088620000}"/>
    <cellStyle name="SAPBEXHLevel1X 8" xfId="25113" xr:uid="{00000000-0005-0000-0000-000089620000}"/>
    <cellStyle name="SAPBEXHLevel1X 8 2" xfId="25380" xr:uid="{00000000-0005-0000-0000-00008A620000}"/>
    <cellStyle name="SAPBEXHLevel1X 8 3" xfId="25711" xr:uid="{00000000-0005-0000-0000-00008B620000}"/>
    <cellStyle name="SAPBEXHLevel2" xfId="119" xr:uid="{00000000-0005-0000-0000-00008C620000}"/>
    <cellStyle name="SAPBEXHLevel2 2" xfId="120" xr:uid="{00000000-0005-0000-0000-00008D620000}"/>
    <cellStyle name="SAPBEXHLevel2 2 2" xfId="13654" xr:uid="{00000000-0005-0000-0000-00008E620000}"/>
    <cellStyle name="SAPBEXHLevel2 2 2 2" xfId="25492" xr:uid="{00000000-0005-0000-0000-00008F620000}"/>
    <cellStyle name="SAPBEXHLevel2 2 3" xfId="24262" xr:uid="{00000000-0005-0000-0000-000090620000}"/>
    <cellStyle name="SAPBEXHLevel2 2 3 2" xfId="25583" xr:uid="{00000000-0005-0000-0000-000091620000}"/>
    <cellStyle name="SAPBEXHLevel2 2 4" xfId="24656" xr:uid="{00000000-0005-0000-0000-000092620000}"/>
    <cellStyle name="SAPBEXHLevel2 2 4 2" xfId="25363" xr:uid="{00000000-0005-0000-0000-000093620000}"/>
    <cellStyle name="SAPBEXHLevel2 2 4 3" xfId="25622" xr:uid="{00000000-0005-0000-0000-000094620000}"/>
    <cellStyle name="SAPBEXHLevel2 2 5" xfId="25117" xr:uid="{00000000-0005-0000-0000-000095620000}"/>
    <cellStyle name="SAPBEXHLevel2 2 5 2" xfId="25319" xr:uid="{00000000-0005-0000-0000-000096620000}"/>
    <cellStyle name="SAPBEXHLevel2 2 5 3" xfId="25715" xr:uid="{00000000-0005-0000-0000-000097620000}"/>
    <cellStyle name="SAPBEXHLevel2 3" xfId="121" xr:uid="{00000000-0005-0000-0000-000098620000}"/>
    <cellStyle name="SAPBEXHLevel2 3 2" xfId="13655" xr:uid="{00000000-0005-0000-0000-000099620000}"/>
    <cellStyle name="SAPBEXHLevel2 3 2 2" xfId="25493" xr:uid="{00000000-0005-0000-0000-00009A620000}"/>
    <cellStyle name="SAPBEXHLevel2 3 3" xfId="24263" xr:uid="{00000000-0005-0000-0000-00009B620000}"/>
    <cellStyle name="SAPBEXHLevel2 3 3 2" xfId="25584" xr:uid="{00000000-0005-0000-0000-00009C620000}"/>
    <cellStyle name="SAPBEXHLevel2 3 4" xfId="24655" xr:uid="{00000000-0005-0000-0000-00009D620000}"/>
    <cellStyle name="SAPBEXHLevel2 3 4 2" xfId="25451" xr:uid="{00000000-0005-0000-0000-00009E620000}"/>
    <cellStyle name="SAPBEXHLevel2 3 4 3" xfId="25621" xr:uid="{00000000-0005-0000-0000-00009F620000}"/>
    <cellStyle name="SAPBEXHLevel2 3 5" xfId="25118" xr:uid="{00000000-0005-0000-0000-0000A0620000}"/>
    <cellStyle name="SAPBEXHLevel2 3 5 2" xfId="25420" xr:uid="{00000000-0005-0000-0000-0000A1620000}"/>
    <cellStyle name="SAPBEXHLevel2 3 5 3" xfId="25716" xr:uid="{00000000-0005-0000-0000-0000A2620000}"/>
    <cellStyle name="SAPBEXHLevel2 4" xfId="122" xr:uid="{00000000-0005-0000-0000-0000A3620000}"/>
    <cellStyle name="SAPBEXHLevel2 4 2" xfId="13656" xr:uid="{00000000-0005-0000-0000-0000A4620000}"/>
    <cellStyle name="SAPBEXHLevel2 4 2 2" xfId="25494" xr:uid="{00000000-0005-0000-0000-0000A5620000}"/>
    <cellStyle name="SAPBEXHLevel2 5" xfId="254" xr:uid="{00000000-0005-0000-0000-0000A6620000}"/>
    <cellStyle name="SAPBEXHLevel2 5 2" xfId="13719" xr:uid="{00000000-0005-0000-0000-0000A7620000}"/>
    <cellStyle name="SAPBEXHLevel2 5 2 2" xfId="25532" xr:uid="{00000000-0005-0000-0000-0000A8620000}"/>
    <cellStyle name="SAPBEXHLevel2 6" xfId="13653" xr:uid="{00000000-0005-0000-0000-0000A9620000}"/>
    <cellStyle name="SAPBEXHLevel2 6 2" xfId="25491" xr:uid="{00000000-0005-0000-0000-0000AA620000}"/>
    <cellStyle name="SAPBEXHLevel2 7" xfId="24657" xr:uid="{00000000-0005-0000-0000-0000AB620000}"/>
    <cellStyle name="SAPBEXHLevel2 7 2" xfId="25300" xr:uid="{00000000-0005-0000-0000-0000AC620000}"/>
    <cellStyle name="SAPBEXHLevel2 7 3" xfId="25623" xr:uid="{00000000-0005-0000-0000-0000AD620000}"/>
    <cellStyle name="SAPBEXHLevel2 8" xfId="25116" xr:uid="{00000000-0005-0000-0000-0000AE620000}"/>
    <cellStyle name="SAPBEXHLevel2 8 2" xfId="25406" xr:uid="{00000000-0005-0000-0000-0000AF620000}"/>
    <cellStyle name="SAPBEXHLevel2 8 3" xfId="25714" xr:uid="{00000000-0005-0000-0000-0000B0620000}"/>
    <cellStyle name="SAPBEXHLevel2X" xfId="123" xr:uid="{00000000-0005-0000-0000-0000B1620000}"/>
    <cellStyle name="SAPBEXHLevel2X 2" xfId="124" xr:uid="{00000000-0005-0000-0000-0000B2620000}"/>
    <cellStyle name="SAPBEXHLevel2X 2 2" xfId="13658" xr:uid="{00000000-0005-0000-0000-0000B3620000}"/>
    <cellStyle name="SAPBEXHLevel2X 2 2 2" xfId="25496" xr:uid="{00000000-0005-0000-0000-0000B4620000}"/>
    <cellStyle name="SAPBEXHLevel2X 2 3" xfId="24264" xr:uid="{00000000-0005-0000-0000-0000B5620000}"/>
    <cellStyle name="SAPBEXHLevel2X 2 3 2" xfId="25585" xr:uid="{00000000-0005-0000-0000-0000B6620000}"/>
    <cellStyle name="SAPBEXHLevel2X 2 4" xfId="24653" xr:uid="{00000000-0005-0000-0000-0000B7620000}"/>
    <cellStyle name="SAPBEXHLevel2X 2 4 2" xfId="25434" xr:uid="{00000000-0005-0000-0000-0000B8620000}"/>
    <cellStyle name="SAPBEXHLevel2X 2 4 3" xfId="25619" xr:uid="{00000000-0005-0000-0000-0000B9620000}"/>
    <cellStyle name="SAPBEXHLevel2X 2 5" xfId="25120" xr:uid="{00000000-0005-0000-0000-0000BA620000}"/>
    <cellStyle name="SAPBEXHLevel2X 2 5 2" xfId="25437" xr:uid="{00000000-0005-0000-0000-0000BB620000}"/>
    <cellStyle name="SAPBEXHLevel2X 2 5 3" xfId="25718" xr:uid="{00000000-0005-0000-0000-0000BC620000}"/>
    <cellStyle name="SAPBEXHLevel2X 3" xfId="125" xr:uid="{00000000-0005-0000-0000-0000BD620000}"/>
    <cellStyle name="SAPBEXHLevel2X 3 2" xfId="13659" xr:uid="{00000000-0005-0000-0000-0000BE620000}"/>
    <cellStyle name="SAPBEXHLevel2X 3 2 2" xfId="25497" xr:uid="{00000000-0005-0000-0000-0000BF620000}"/>
    <cellStyle name="SAPBEXHLevel2X 3 3" xfId="24265" xr:uid="{00000000-0005-0000-0000-0000C0620000}"/>
    <cellStyle name="SAPBEXHLevel2X 3 3 2" xfId="25586" xr:uid="{00000000-0005-0000-0000-0000C1620000}"/>
    <cellStyle name="SAPBEXHLevel2X 3 4" xfId="24652" xr:uid="{00000000-0005-0000-0000-0000C2620000}"/>
    <cellStyle name="SAPBEXHLevel2X 3 4 2" xfId="25333" xr:uid="{00000000-0005-0000-0000-0000C3620000}"/>
    <cellStyle name="SAPBEXHLevel2X 3 4 3" xfId="25618" xr:uid="{00000000-0005-0000-0000-0000C4620000}"/>
    <cellStyle name="SAPBEXHLevel2X 3 5" xfId="25121" xr:uid="{00000000-0005-0000-0000-0000C5620000}"/>
    <cellStyle name="SAPBEXHLevel2X 3 5 2" xfId="25354" xr:uid="{00000000-0005-0000-0000-0000C6620000}"/>
    <cellStyle name="SAPBEXHLevel2X 3 5 3" xfId="25719" xr:uid="{00000000-0005-0000-0000-0000C7620000}"/>
    <cellStyle name="SAPBEXHLevel2X 4" xfId="126" xr:uid="{00000000-0005-0000-0000-0000C8620000}"/>
    <cellStyle name="SAPBEXHLevel2X 4 2" xfId="13660" xr:uid="{00000000-0005-0000-0000-0000C9620000}"/>
    <cellStyle name="SAPBEXHLevel2X 4 2 2" xfId="25498" xr:uid="{00000000-0005-0000-0000-0000CA620000}"/>
    <cellStyle name="SAPBEXHLevel2X 5" xfId="255" xr:uid="{00000000-0005-0000-0000-0000CB620000}"/>
    <cellStyle name="SAPBEXHLevel2X 5 2" xfId="13720" xr:uid="{00000000-0005-0000-0000-0000CC620000}"/>
    <cellStyle name="SAPBEXHLevel2X 5 2 2" xfId="25533" xr:uid="{00000000-0005-0000-0000-0000CD620000}"/>
    <cellStyle name="SAPBEXHLevel2X 6" xfId="13657" xr:uid="{00000000-0005-0000-0000-0000CE620000}"/>
    <cellStyle name="SAPBEXHLevel2X 6 2" xfId="25495" xr:uid="{00000000-0005-0000-0000-0000CF620000}"/>
    <cellStyle name="SAPBEXHLevel2X 7" xfId="24654" xr:uid="{00000000-0005-0000-0000-0000D0620000}"/>
    <cellStyle name="SAPBEXHLevel2X 7 2" xfId="25350" xr:uid="{00000000-0005-0000-0000-0000D1620000}"/>
    <cellStyle name="SAPBEXHLevel2X 7 3" xfId="25620" xr:uid="{00000000-0005-0000-0000-0000D2620000}"/>
    <cellStyle name="SAPBEXHLevel2X 8" xfId="25119" xr:uid="{00000000-0005-0000-0000-0000D3620000}"/>
    <cellStyle name="SAPBEXHLevel2X 8 2" xfId="25337" xr:uid="{00000000-0005-0000-0000-0000D4620000}"/>
    <cellStyle name="SAPBEXHLevel2X 8 3" xfId="25717" xr:uid="{00000000-0005-0000-0000-0000D5620000}"/>
    <cellStyle name="SAPBEXHLevel3" xfId="127" xr:uid="{00000000-0005-0000-0000-0000D6620000}"/>
    <cellStyle name="SAPBEXHLevel3 2" xfId="128" xr:uid="{00000000-0005-0000-0000-0000D7620000}"/>
    <cellStyle name="SAPBEXHLevel3 2 2" xfId="13662" xr:uid="{00000000-0005-0000-0000-0000D8620000}"/>
    <cellStyle name="SAPBEXHLevel3 2 2 2" xfId="25500" xr:uid="{00000000-0005-0000-0000-0000D9620000}"/>
    <cellStyle name="SAPBEXHLevel3 2 3" xfId="24266" xr:uid="{00000000-0005-0000-0000-0000DA620000}"/>
    <cellStyle name="SAPBEXHLevel3 2 3 2" xfId="25587" xr:uid="{00000000-0005-0000-0000-0000DB620000}"/>
    <cellStyle name="SAPBEXHLevel3 2 4" xfId="24650" xr:uid="{00000000-0005-0000-0000-0000DC620000}"/>
    <cellStyle name="SAPBEXHLevel3 2 4 2" xfId="25317" xr:uid="{00000000-0005-0000-0000-0000DD620000}"/>
    <cellStyle name="SAPBEXHLevel3 2 4 3" xfId="25616" xr:uid="{00000000-0005-0000-0000-0000DE620000}"/>
    <cellStyle name="SAPBEXHLevel3 2 5" xfId="25123" xr:uid="{00000000-0005-0000-0000-0000DF620000}"/>
    <cellStyle name="SAPBEXHLevel3 2 5 2" xfId="25402" xr:uid="{00000000-0005-0000-0000-0000E0620000}"/>
    <cellStyle name="SAPBEXHLevel3 2 5 3" xfId="25721" xr:uid="{00000000-0005-0000-0000-0000E1620000}"/>
    <cellStyle name="SAPBEXHLevel3 3" xfId="129" xr:uid="{00000000-0005-0000-0000-0000E2620000}"/>
    <cellStyle name="SAPBEXHLevel3 3 2" xfId="13663" xr:uid="{00000000-0005-0000-0000-0000E3620000}"/>
    <cellStyle name="SAPBEXHLevel3 3 2 2" xfId="25501" xr:uid="{00000000-0005-0000-0000-0000E4620000}"/>
    <cellStyle name="SAPBEXHLevel3 3 3" xfId="24267" xr:uid="{00000000-0005-0000-0000-0000E5620000}"/>
    <cellStyle name="SAPBEXHLevel3 3 3 2" xfId="25588" xr:uid="{00000000-0005-0000-0000-0000E6620000}"/>
    <cellStyle name="SAPBEXHLevel3 3 4" xfId="24649" xr:uid="{00000000-0005-0000-0000-0000E7620000}"/>
    <cellStyle name="SAPBEXHLevel3 3 4 2" xfId="25405" xr:uid="{00000000-0005-0000-0000-0000E8620000}"/>
    <cellStyle name="SAPBEXHLevel3 3 4 3" xfId="25615" xr:uid="{00000000-0005-0000-0000-0000E9620000}"/>
    <cellStyle name="SAPBEXHLevel3 3 5" xfId="25124" xr:uid="{00000000-0005-0000-0000-0000EA620000}"/>
    <cellStyle name="SAPBEXHLevel3 3 5 2" xfId="25313" xr:uid="{00000000-0005-0000-0000-0000EB620000}"/>
    <cellStyle name="SAPBEXHLevel3 3 5 3" xfId="25722" xr:uid="{00000000-0005-0000-0000-0000EC620000}"/>
    <cellStyle name="SAPBEXHLevel3 4" xfId="130" xr:uid="{00000000-0005-0000-0000-0000ED620000}"/>
    <cellStyle name="SAPBEXHLevel3 4 2" xfId="13664" xr:uid="{00000000-0005-0000-0000-0000EE620000}"/>
    <cellStyle name="SAPBEXHLevel3 4 2 2" xfId="25502" xr:uid="{00000000-0005-0000-0000-0000EF620000}"/>
    <cellStyle name="SAPBEXHLevel3 5" xfId="256" xr:uid="{00000000-0005-0000-0000-0000F0620000}"/>
    <cellStyle name="SAPBEXHLevel3 5 2" xfId="13721" xr:uid="{00000000-0005-0000-0000-0000F1620000}"/>
    <cellStyle name="SAPBEXHLevel3 5 2 2" xfId="25534" xr:uid="{00000000-0005-0000-0000-0000F2620000}"/>
    <cellStyle name="SAPBEXHLevel3 6" xfId="13661" xr:uid="{00000000-0005-0000-0000-0000F3620000}"/>
    <cellStyle name="SAPBEXHLevel3 6 2" xfId="25499" xr:uid="{00000000-0005-0000-0000-0000F4620000}"/>
    <cellStyle name="SAPBEXHLevel3 7" xfId="24651" xr:uid="{00000000-0005-0000-0000-0000F5620000}"/>
    <cellStyle name="SAPBEXHLevel3 7 2" xfId="25418" xr:uid="{00000000-0005-0000-0000-0000F6620000}"/>
    <cellStyle name="SAPBEXHLevel3 7 3" xfId="25617" xr:uid="{00000000-0005-0000-0000-0000F7620000}"/>
    <cellStyle name="SAPBEXHLevel3 8" xfId="25122" xr:uid="{00000000-0005-0000-0000-0000F8620000}"/>
    <cellStyle name="SAPBEXHLevel3 8 2" xfId="25388" xr:uid="{00000000-0005-0000-0000-0000F9620000}"/>
    <cellStyle name="SAPBEXHLevel3 8 3" xfId="25720" xr:uid="{00000000-0005-0000-0000-0000FA620000}"/>
    <cellStyle name="SAPBEXHLevel3X" xfId="131" xr:uid="{00000000-0005-0000-0000-0000FB620000}"/>
    <cellStyle name="SAPBEXHLevel3X 2" xfId="132" xr:uid="{00000000-0005-0000-0000-0000FC620000}"/>
    <cellStyle name="SAPBEXHLevel3X 2 2" xfId="13666" xr:uid="{00000000-0005-0000-0000-0000FD620000}"/>
    <cellStyle name="SAPBEXHLevel3X 2 2 2" xfId="25504" xr:uid="{00000000-0005-0000-0000-0000FE620000}"/>
    <cellStyle name="SAPBEXHLevel3X 2 3" xfId="24268" xr:uid="{00000000-0005-0000-0000-0000FF620000}"/>
    <cellStyle name="SAPBEXHLevel3X 2 3 2" xfId="25589" xr:uid="{00000000-0005-0000-0000-000000630000}"/>
    <cellStyle name="SAPBEXHLevel3X 2 4" xfId="24647" xr:uid="{00000000-0005-0000-0000-000001630000}"/>
    <cellStyle name="SAPBEXHLevel3X 2 4 2" xfId="25358" xr:uid="{00000000-0005-0000-0000-000002630000}"/>
    <cellStyle name="SAPBEXHLevel3X 2 4 3" xfId="25613" xr:uid="{00000000-0005-0000-0000-000003630000}"/>
    <cellStyle name="SAPBEXHLevel3X 2 5" xfId="25126" xr:uid="{00000000-0005-0000-0000-000004630000}"/>
    <cellStyle name="SAPBEXHLevel3X 2 5 2" xfId="25327" xr:uid="{00000000-0005-0000-0000-000005630000}"/>
    <cellStyle name="SAPBEXHLevel3X 2 5 3" xfId="25724" xr:uid="{00000000-0005-0000-0000-000006630000}"/>
    <cellStyle name="SAPBEXHLevel3X 3" xfId="133" xr:uid="{00000000-0005-0000-0000-000007630000}"/>
    <cellStyle name="SAPBEXHLevel3X 3 2" xfId="13667" xr:uid="{00000000-0005-0000-0000-000008630000}"/>
    <cellStyle name="SAPBEXHLevel3X 3 2 2" xfId="25505" xr:uid="{00000000-0005-0000-0000-000009630000}"/>
    <cellStyle name="SAPBEXHLevel3X 3 3" xfId="24269" xr:uid="{00000000-0005-0000-0000-00000A630000}"/>
    <cellStyle name="SAPBEXHLevel3X 3 3 2" xfId="25590" xr:uid="{00000000-0005-0000-0000-00000B630000}"/>
    <cellStyle name="SAPBEXHLevel3X 3 4" xfId="24646" xr:uid="{00000000-0005-0000-0000-00000C630000}"/>
    <cellStyle name="SAPBEXHLevel3X 3 4 2" xfId="25442" xr:uid="{00000000-0005-0000-0000-00000D630000}"/>
    <cellStyle name="SAPBEXHLevel3X 3 4 3" xfId="25612" xr:uid="{00000000-0005-0000-0000-00000E630000}"/>
    <cellStyle name="SAPBEXHLevel3X 3 5" xfId="25127" xr:uid="{00000000-0005-0000-0000-00000F630000}"/>
    <cellStyle name="SAPBEXHLevel3X 3 5 2" xfId="25428" xr:uid="{00000000-0005-0000-0000-000010630000}"/>
    <cellStyle name="SAPBEXHLevel3X 3 5 3" xfId="25725" xr:uid="{00000000-0005-0000-0000-000011630000}"/>
    <cellStyle name="SAPBEXHLevel3X 4" xfId="134" xr:uid="{00000000-0005-0000-0000-000012630000}"/>
    <cellStyle name="SAPBEXHLevel3X 4 2" xfId="13668" xr:uid="{00000000-0005-0000-0000-000013630000}"/>
    <cellStyle name="SAPBEXHLevel3X 4 2 2" xfId="25506" xr:uid="{00000000-0005-0000-0000-000014630000}"/>
    <cellStyle name="SAPBEXHLevel3X 5" xfId="257" xr:uid="{00000000-0005-0000-0000-000015630000}"/>
    <cellStyle name="SAPBEXHLevel3X 5 2" xfId="13722" xr:uid="{00000000-0005-0000-0000-000016630000}"/>
    <cellStyle name="SAPBEXHLevel3X 5 2 2" xfId="25535" xr:uid="{00000000-0005-0000-0000-000017630000}"/>
    <cellStyle name="SAPBEXHLevel3X 6" xfId="13665" xr:uid="{00000000-0005-0000-0000-000018630000}"/>
    <cellStyle name="SAPBEXHLevel3X 6 2" xfId="25503" xr:uid="{00000000-0005-0000-0000-000019630000}"/>
    <cellStyle name="SAPBEXHLevel3X 7" xfId="24648" xr:uid="{00000000-0005-0000-0000-00001A630000}"/>
    <cellStyle name="SAPBEXHLevel3X 7 2" xfId="25392" xr:uid="{00000000-0005-0000-0000-00001B630000}"/>
    <cellStyle name="SAPBEXHLevel3X 7 3" xfId="25614" xr:uid="{00000000-0005-0000-0000-00001C630000}"/>
    <cellStyle name="SAPBEXHLevel3X 8" xfId="25125" xr:uid="{00000000-0005-0000-0000-00001D630000}"/>
    <cellStyle name="SAPBEXHLevel3X 8 2" xfId="25414" xr:uid="{00000000-0005-0000-0000-00001E630000}"/>
    <cellStyle name="SAPBEXHLevel3X 8 3" xfId="25723" xr:uid="{00000000-0005-0000-0000-00001F630000}"/>
    <cellStyle name="SAPBEXinputData" xfId="24270" xr:uid="{00000000-0005-0000-0000-000020630000}"/>
    <cellStyle name="SAPBEXinputData 2" xfId="24271" xr:uid="{00000000-0005-0000-0000-000021630000}"/>
    <cellStyle name="SAPBEXinputData 2 2" xfId="24927" xr:uid="{00000000-0005-0000-0000-000022630000}"/>
    <cellStyle name="SAPBEXinputData 3" xfId="24272" xr:uid="{00000000-0005-0000-0000-000023630000}"/>
    <cellStyle name="SAPBEXinputData 3 2" xfId="24924" xr:uid="{00000000-0005-0000-0000-000024630000}"/>
    <cellStyle name="SAPBEXinputData 4" xfId="24771" xr:uid="{00000000-0005-0000-0000-000025630000}"/>
    <cellStyle name="SAPBEXresData" xfId="135" xr:uid="{00000000-0005-0000-0000-000026630000}"/>
    <cellStyle name="SAPBEXresData 2" xfId="13669" xr:uid="{00000000-0005-0000-0000-000027630000}"/>
    <cellStyle name="SAPBEXresData 2 2" xfId="25507" xr:uid="{00000000-0005-0000-0000-000028630000}"/>
    <cellStyle name="SAPBEXresData 3" xfId="24645" xr:uid="{00000000-0005-0000-0000-000029630000}"/>
    <cellStyle name="SAPBEXresData 3 2" xfId="25341" xr:uid="{00000000-0005-0000-0000-00002A630000}"/>
    <cellStyle name="SAPBEXresData 3 3" xfId="25611" xr:uid="{00000000-0005-0000-0000-00002B630000}"/>
    <cellStyle name="SAPBEXresData 4" xfId="25128" xr:uid="{00000000-0005-0000-0000-00002C630000}"/>
    <cellStyle name="SAPBEXresData 4 2" xfId="25344" xr:uid="{00000000-0005-0000-0000-00002D630000}"/>
    <cellStyle name="SAPBEXresData 4 3" xfId="25726" xr:uid="{00000000-0005-0000-0000-00002E630000}"/>
    <cellStyle name="SAPBEXresDataEmph" xfId="136" xr:uid="{00000000-0005-0000-0000-00002F630000}"/>
    <cellStyle name="SAPBEXresDataEmph 2" xfId="13670" xr:uid="{00000000-0005-0000-0000-000030630000}"/>
    <cellStyle name="SAPBEXresDataEmph 2 2" xfId="25508" xr:uid="{00000000-0005-0000-0000-000031630000}"/>
    <cellStyle name="SAPBEXresDataEmph 3" xfId="24644" xr:uid="{00000000-0005-0000-0000-000032630000}"/>
    <cellStyle name="SAPBEXresDataEmph 3 2" xfId="25425" xr:uid="{00000000-0005-0000-0000-000033630000}"/>
    <cellStyle name="SAPBEXresDataEmph 3 3" xfId="25610" xr:uid="{00000000-0005-0000-0000-000034630000}"/>
    <cellStyle name="SAPBEXresDataEmph 4" xfId="25129" xr:uid="{00000000-0005-0000-0000-000035630000}"/>
    <cellStyle name="SAPBEXresDataEmph 4 2" xfId="25445" xr:uid="{00000000-0005-0000-0000-000036630000}"/>
    <cellStyle name="SAPBEXresDataEmph 4 3" xfId="25727" xr:uid="{00000000-0005-0000-0000-000037630000}"/>
    <cellStyle name="SAPBEXresItem" xfId="137" xr:uid="{00000000-0005-0000-0000-000038630000}"/>
    <cellStyle name="SAPBEXresItem 2" xfId="13671" xr:uid="{00000000-0005-0000-0000-000039630000}"/>
    <cellStyle name="SAPBEXresItem 2 2" xfId="25509" xr:uid="{00000000-0005-0000-0000-00003A630000}"/>
    <cellStyle name="SAPBEXresItem 3" xfId="24643" xr:uid="{00000000-0005-0000-0000-00003B630000}"/>
    <cellStyle name="SAPBEXresItem 3 2" xfId="25324" xr:uid="{00000000-0005-0000-0000-00003C630000}"/>
    <cellStyle name="SAPBEXresItem 3 3" xfId="25609" xr:uid="{00000000-0005-0000-0000-00003D630000}"/>
    <cellStyle name="SAPBEXresItem 4" xfId="25130" xr:uid="{00000000-0005-0000-0000-00003E630000}"/>
    <cellStyle name="SAPBEXresItem 4 2" xfId="25359" xr:uid="{00000000-0005-0000-0000-00003F630000}"/>
    <cellStyle name="SAPBEXresItem 4 3" xfId="25728" xr:uid="{00000000-0005-0000-0000-000040630000}"/>
    <cellStyle name="SAPBEXresItemX" xfId="138" xr:uid="{00000000-0005-0000-0000-000041630000}"/>
    <cellStyle name="SAPBEXresItemX 2" xfId="13672" xr:uid="{00000000-0005-0000-0000-000042630000}"/>
    <cellStyle name="SAPBEXresItemX 2 2" xfId="25510" xr:uid="{00000000-0005-0000-0000-000043630000}"/>
    <cellStyle name="SAPBEXresItemX 3" xfId="24642" xr:uid="{00000000-0005-0000-0000-000044630000}"/>
    <cellStyle name="SAPBEXresItemX 3 2" xfId="25411" xr:uid="{00000000-0005-0000-0000-000045630000}"/>
    <cellStyle name="SAPBEXresItemX 3 3" xfId="25608" xr:uid="{00000000-0005-0000-0000-000046630000}"/>
    <cellStyle name="SAPBEXresItemX 4" xfId="25131" xr:uid="{00000000-0005-0000-0000-000047630000}"/>
    <cellStyle name="SAPBEXresItemX 4 2" xfId="25296" xr:uid="{00000000-0005-0000-0000-000048630000}"/>
    <cellStyle name="SAPBEXresItemX 4 3" xfId="25729" xr:uid="{00000000-0005-0000-0000-000049630000}"/>
    <cellStyle name="SAPBEXstdData" xfId="139" xr:uid="{00000000-0005-0000-0000-00004A630000}"/>
    <cellStyle name="SAPBEXstdData 10" xfId="24641" xr:uid="{00000000-0005-0000-0000-00004B630000}"/>
    <cellStyle name="SAPBEXstdData 10 2" xfId="25309" xr:uid="{00000000-0005-0000-0000-00004C630000}"/>
    <cellStyle name="SAPBEXstdData 10 3" xfId="25607" xr:uid="{00000000-0005-0000-0000-00004D630000}"/>
    <cellStyle name="SAPBEXstdData 11" xfId="25132" xr:uid="{00000000-0005-0000-0000-00004E630000}"/>
    <cellStyle name="SAPBEXstdData 11 2" xfId="25282" xr:uid="{00000000-0005-0000-0000-00004F630000}"/>
    <cellStyle name="SAPBEXstdData 11 3" xfId="25730" xr:uid="{00000000-0005-0000-0000-000050630000}"/>
    <cellStyle name="SAPBEXstdData 2" xfId="140" xr:uid="{00000000-0005-0000-0000-000051630000}"/>
    <cellStyle name="SAPBEXstdData 2 2" xfId="13674" xr:uid="{00000000-0005-0000-0000-000052630000}"/>
    <cellStyle name="SAPBEXstdData 2 2 2" xfId="25512" xr:uid="{00000000-0005-0000-0000-000053630000}"/>
    <cellStyle name="SAPBEXstdData 3" xfId="258" xr:uid="{00000000-0005-0000-0000-000054630000}"/>
    <cellStyle name="SAPBEXstdData 3 2" xfId="13723" xr:uid="{00000000-0005-0000-0000-000055630000}"/>
    <cellStyle name="SAPBEXstdData 3 2 2" xfId="25536" xr:uid="{00000000-0005-0000-0000-000056630000}"/>
    <cellStyle name="SAPBEXstdData 4" xfId="259" xr:uid="{00000000-0005-0000-0000-000057630000}"/>
    <cellStyle name="SAPBEXstdData 4 2" xfId="13724" xr:uid="{00000000-0005-0000-0000-000058630000}"/>
    <cellStyle name="SAPBEXstdData 4 2 2" xfId="25537" xr:uid="{00000000-0005-0000-0000-000059630000}"/>
    <cellStyle name="SAPBEXstdData 5" xfId="260" xr:uid="{00000000-0005-0000-0000-00005A630000}"/>
    <cellStyle name="SAPBEXstdData 5 2" xfId="13725" xr:uid="{00000000-0005-0000-0000-00005B630000}"/>
    <cellStyle name="SAPBEXstdData 5 2 2" xfId="25538" xr:uid="{00000000-0005-0000-0000-00005C630000}"/>
    <cellStyle name="SAPBEXstdData 6" xfId="261" xr:uid="{00000000-0005-0000-0000-00005D630000}"/>
    <cellStyle name="SAPBEXstdData 6 2" xfId="13726" xr:uid="{00000000-0005-0000-0000-00005E630000}"/>
    <cellStyle name="SAPBEXstdData 6 2 2" xfId="25539" xr:uid="{00000000-0005-0000-0000-00005F630000}"/>
    <cellStyle name="SAPBEXstdData 7" xfId="262" xr:uid="{00000000-0005-0000-0000-000060630000}"/>
    <cellStyle name="SAPBEXstdData 8" xfId="415" xr:uid="{00000000-0005-0000-0000-000061630000}"/>
    <cellStyle name="SAPBEXstdData 8 2" xfId="13794" xr:uid="{00000000-0005-0000-0000-000062630000}"/>
    <cellStyle name="SAPBEXstdData 8 2 2" xfId="25552" xr:uid="{00000000-0005-0000-0000-000063630000}"/>
    <cellStyle name="SAPBEXstdData 9" xfId="13673" xr:uid="{00000000-0005-0000-0000-000064630000}"/>
    <cellStyle name="SAPBEXstdData 9 2" xfId="25511" xr:uid="{00000000-0005-0000-0000-000065630000}"/>
    <cellStyle name="SAPBEXstdData_Copy of xSAPtemp5457" xfId="263" xr:uid="{00000000-0005-0000-0000-000066630000}"/>
    <cellStyle name="SAPBEXstdDataEmph" xfId="141" xr:uid="{00000000-0005-0000-0000-000067630000}"/>
    <cellStyle name="SAPBEXstdDataEmph 2" xfId="13675" xr:uid="{00000000-0005-0000-0000-000068630000}"/>
    <cellStyle name="SAPBEXstdDataEmph 2 2" xfId="25513" xr:uid="{00000000-0005-0000-0000-000069630000}"/>
    <cellStyle name="SAPBEXstdDataEmph 3" xfId="24640" xr:uid="{00000000-0005-0000-0000-00006A630000}"/>
    <cellStyle name="SAPBEXstdDataEmph 3 2" xfId="25401" xr:uid="{00000000-0005-0000-0000-00006B630000}"/>
    <cellStyle name="SAPBEXstdDataEmph 3 3" xfId="25606" xr:uid="{00000000-0005-0000-0000-00006C630000}"/>
    <cellStyle name="SAPBEXstdDataEmph 4" xfId="25133" xr:uid="{00000000-0005-0000-0000-00006D630000}"/>
    <cellStyle name="SAPBEXstdDataEmph 4 2" xfId="25365" xr:uid="{00000000-0005-0000-0000-00006E630000}"/>
    <cellStyle name="SAPBEXstdDataEmph 4 3" xfId="25731" xr:uid="{00000000-0005-0000-0000-00006F630000}"/>
    <cellStyle name="SAPBEXstdItem" xfId="142" xr:uid="{00000000-0005-0000-0000-000070630000}"/>
    <cellStyle name="SAPBEXstdItem 10" xfId="13676" xr:uid="{00000000-0005-0000-0000-000071630000}"/>
    <cellStyle name="SAPBEXstdItem 10 2" xfId="25514" xr:uid="{00000000-0005-0000-0000-000072630000}"/>
    <cellStyle name="SAPBEXstdItem 11" xfId="24639" xr:uid="{00000000-0005-0000-0000-000073630000}"/>
    <cellStyle name="SAPBEXstdItem 11 2" xfId="25385" xr:uid="{00000000-0005-0000-0000-000074630000}"/>
    <cellStyle name="SAPBEXstdItem 11 3" xfId="25605" xr:uid="{00000000-0005-0000-0000-000075630000}"/>
    <cellStyle name="SAPBEXstdItem 12" xfId="25134" xr:uid="{00000000-0005-0000-0000-000076630000}"/>
    <cellStyle name="SAPBEXstdItem 12 2" xfId="25379" xr:uid="{00000000-0005-0000-0000-000077630000}"/>
    <cellStyle name="SAPBEXstdItem 12 3" xfId="25732" xr:uid="{00000000-0005-0000-0000-000078630000}"/>
    <cellStyle name="SAPBEXstdItem 2" xfId="143" xr:uid="{00000000-0005-0000-0000-000079630000}"/>
    <cellStyle name="SAPBEXstdItem 2 2" xfId="13677" xr:uid="{00000000-0005-0000-0000-00007A630000}"/>
    <cellStyle name="SAPBEXstdItem 2 2 2" xfId="25515" xr:uid="{00000000-0005-0000-0000-00007B630000}"/>
    <cellStyle name="SAPBEXstdItem 3" xfId="264" xr:uid="{00000000-0005-0000-0000-00007C630000}"/>
    <cellStyle name="SAPBEXstdItem 3 2" xfId="13727" xr:uid="{00000000-0005-0000-0000-00007D630000}"/>
    <cellStyle name="SAPBEXstdItem 3 2 2" xfId="25540" xr:uid="{00000000-0005-0000-0000-00007E630000}"/>
    <cellStyle name="SAPBEXstdItem 4" xfId="265" xr:uid="{00000000-0005-0000-0000-00007F630000}"/>
    <cellStyle name="SAPBEXstdItem 4 2" xfId="13728" xr:uid="{00000000-0005-0000-0000-000080630000}"/>
    <cellStyle name="SAPBEXstdItem 4 2 2" xfId="25541" xr:uid="{00000000-0005-0000-0000-000081630000}"/>
    <cellStyle name="SAPBEXstdItem 5" xfId="266" xr:uid="{00000000-0005-0000-0000-000082630000}"/>
    <cellStyle name="SAPBEXstdItem 5 2" xfId="13729" xr:uid="{00000000-0005-0000-0000-000083630000}"/>
    <cellStyle name="SAPBEXstdItem 5 2 2" xfId="25542" xr:uid="{00000000-0005-0000-0000-000084630000}"/>
    <cellStyle name="SAPBEXstdItem 6" xfId="267" xr:uid="{00000000-0005-0000-0000-000085630000}"/>
    <cellStyle name="SAPBEXstdItem 6 2" xfId="13730" xr:uid="{00000000-0005-0000-0000-000086630000}"/>
    <cellStyle name="SAPBEXstdItem 6 2 2" xfId="25543" xr:uid="{00000000-0005-0000-0000-000087630000}"/>
    <cellStyle name="SAPBEXstdItem 7" xfId="268" xr:uid="{00000000-0005-0000-0000-000088630000}"/>
    <cellStyle name="SAPBEXstdItem 7 2" xfId="13731" xr:uid="{00000000-0005-0000-0000-000089630000}"/>
    <cellStyle name="SAPBEXstdItem 7 2 2" xfId="25544" xr:uid="{00000000-0005-0000-0000-00008A630000}"/>
    <cellStyle name="SAPBEXstdItem 8" xfId="416" xr:uid="{00000000-0005-0000-0000-00008B630000}"/>
    <cellStyle name="SAPBEXstdItem 8 2" xfId="13795" xr:uid="{00000000-0005-0000-0000-00008C630000}"/>
    <cellStyle name="SAPBEXstdItem 8 2 2" xfId="25553" xr:uid="{00000000-0005-0000-0000-00008D630000}"/>
    <cellStyle name="SAPBEXstdItem 9" xfId="390" xr:uid="{00000000-0005-0000-0000-00008E630000}"/>
    <cellStyle name="SAPBEXstdItem 9 2" xfId="13785" xr:uid="{00000000-0005-0000-0000-00008F630000}"/>
    <cellStyle name="SAPBEXstdItem 9 2 2" xfId="25550" xr:uid="{00000000-0005-0000-0000-000090630000}"/>
    <cellStyle name="SAPBEXstdItem_Copy of xSAPtemp5457" xfId="269" xr:uid="{00000000-0005-0000-0000-000091630000}"/>
    <cellStyle name="SAPBEXstdItemX" xfId="144" xr:uid="{00000000-0005-0000-0000-000092630000}"/>
    <cellStyle name="SAPBEXstdItemX 10" xfId="24638" xr:uid="{00000000-0005-0000-0000-000093630000}"/>
    <cellStyle name="SAPBEXstdItemX 10 2" xfId="25372" xr:uid="{00000000-0005-0000-0000-000094630000}"/>
    <cellStyle name="SAPBEXstdItemX 10 3" xfId="25604" xr:uid="{00000000-0005-0000-0000-000095630000}"/>
    <cellStyle name="SAPBEXstdItemX 11" xfId="25135" xr:uid="{00000000-0005-0000-0000-000096630000}"/>
    <cellStyle name="SAPBEXstdItemX 11 2" xfId="25393" xr:uid="{00000000-0005-0000-0000-000097630000}"/>
    <cellStyle name="SAPBEXstdItemX 11 3" xfId="25733" xr:uid="{00000000-0005-0000-0000-000098630000}"/>
    <cellStyle name="SAPBEXstdItemX 2" xfId="145" xr:uid="{00000000-0005-0000-0000-000099630000}"/>
    <cellStyle name="SAPBEXstdItemX 2 2" xfId="13679" xr:uid="{00000000-0005-0000-0000-00009A630000}"/>
    <cellStyle name="SAPBEXstdItemX 2 2 2" xfId="25517" xr:uid="{00000000-0005-0000-0000-00009B630000}"/>
    <cellStyle name="SAPBEXstdItemX 3" xfId="270" xr:uid="{00000000-0005-0000-0000-00009C630000}"/>
    <cellStyle name="SAPBEXstdItemX 3 2" xfId="13732" xr:uid="{00000000-0005-0000-0000-00009D630000}"/>
    <cellStyle name="SAPBEXstdItemX 3 2 2" xfId="25545" xr:uid="{00000000-0005-0000-0000-00009E630000}"/>
    <cellStyle name="SAPBEXstdItemX 4" xfId="271" xr:uid="{00000000-0005-0000-0000-00009F630000}"/>
    <cellStyle name="SAPBEXstdItemX 4 2" xfId="13733" xr:uid="{00000000-0005-0000-0000-0000A0630000}"/>
    <cellStyle name="SAPBEXstdItemX 4 2 2" xfId="25546" xr:uid="{00000000-0005-0000-0000-0000A1630000}"/>
    <cellStyle name="SAPBEXstdItemX 5" xfId="272" xr:uid="{00000000-0005-0000-0000-0000A2630000}"/>
    <cellStyle name="SAPBEXstdItemX 5 2" xfId="13734" xr:uid="{00000000-0005-0000-0000-0000A3630000}"/>
    <cellStyle name="SAPBEXstdItemX 5 2 2" xfId="25547" xr:uid="{00000000-0005-0000-0000-0000A4630000}"/>
    <cellStyle name="SAPBEXstdItemX 6" xfId="273" xr:uid="{00000000-0005-0000-0000-0000A5630000}"/>
    <cellStyle name="SAPBEXstdItemX 6 2" xfId="13735" xr:uid="{00000000-0005-0000-0000-0000A6630000}"/>
    <cellStyle name="SAPBEXstdItemX 6 2 2" xfId="25548" xr:uid="{00000000-0005-0000-0000-0000A7630000}"/>
    <cellStyle name="SAPBEXstdItemX 7" xfId="274" xr:uid="{00000000-0005-0000-0000-0000A8630000}"/>
    <cellStyle name="SAPBEXstdItemX 7 2" xfId="13736" xr:uid="{00000000-0005-0000-0000-0000A9630000}"/>
    <cellStyle name="SAPBEXstdItemX 7 2 2" xfId="25549" xr:uid="{00000000-0005-0000-0000-0000AA630000}"/>
    <cellStyle name="SAPBEXstdItemX 8" xfId="417" xr:uid="{00000000-0005-0000-0000-0000AB630000}"/>
    <cellStyle name="SAPBEXstdItemX 8 2" xfId="13796" xr:uid="{00000000-0005-0000-0000-0000AC630000}"/>
    <cellStyle name="SAPBEXstdItemX 8 2 2" xfId="25554" xr:uid="{00000000-0005-0000-0000-0000AD630000}"/>
    <cellStyle name="SAPBEXstdItemX 9" xfId="13678" xr:uid="{00000000-0005-0000-0000-0000AE630000}"/>
    <cellStyle name="SAPBEXstdItemX 9 2" xfId="25516" xr:uid="{00000000-0005-0000-0000-0000AF630000}"/>
    <cellStyle name="SAPBEXstdItemX_Copy of xSAPtemp5457" xfId="275" xr:uid="{00000000-0005-0000-0000-0000B0630000}"/>
    <cellStyle name="SAPBEXtitle" xfId="7" xr:uid="{00000000-0005-0000-0000-0000B1630000}"/>
    <cellStyle name="SAPBEXtitle 2" xfId="146" xr:uid="{00000000-0005-0000-0000-0000B2630000}"/>
    <cellStyle name="SAPBEXtitle 3" xfId="147" xr:uid="{00000000-0005-0000-0000-0000B3630000}"/>
    <cellStyle name="SAPBEXtitle 4" xfId="148" xr:uid="{00000000-0005-0000-0000-0000B4630000}"/>
    <cellStyle name="SAPBEXtitle 5" xfId="276" xr:uid="{00000000-0005-0000-0000-0000B5630000}"/>
    <cellStyle name="SAPBEXtitle 6" xfId="277" xr:uid="{00000000-0005-0000-0000-0000B6630000}"/>
    <cellStyle name="SAPBEXtitle 7" xfId="278" xr:uid="{00000000-0005-0000-0000-0000B7630000}"/>
    <cellStyle name="SAPBEXtitle 8" xfId="279" xr:uid="{00000000-0005-0000-0000-0000B8630000}"/>
    <cellStyle name="SAPBEXtitle_Copy of xSAPtemp5457" xfId="280" xr:uid="{00000000-0005-0000-0000-0000B9630000}"/>
    <cellStyle name="SAPBEXundefined" xfId="149" xr:uid="{00000000-0005-0000-0000-0000BA630000}"/>
    <cellStyle name="SAPBEXundefined 2" xfId="13680" xr:uid="{00000000-0005-0000-0000-0000BB630000}"/>
    <cellStyle name="SAPBEXundefined 2 2" xfId="25518" xr:uid="{00000000-0005-0000-0000-0000BC630000}"/>
    <cellStyle name="SAPBEXundefined 3" xfId="24637" xr:uid="{00000000-0005-0000-0000-0000BD630000}"/>
    <cellStyle name="SAPBEXundefined 3 2" xfId="25290" xr:uid="{00000000-0005-0000-0000-0000BE630000}"/>
    <cellStyle name="SAPBEXundefined 3 3" xfId="25603" xr:uid="{00000000-0005-0000-0000-0000BF630000}"/>
    <cellStyle name="SAPBEXundefined 4" xfId="25136" xr:uid="{00000000-0005-0000-0000-0000C0630000}"/>
    <cellStyle name="SAPBEXundefined 4 2" xfId="25302" xr:uid="{00000000-0005-0000-0000-0000C1630000}"/>
    <cellStyle name="SAPBEXundefined 4 3" xfId="25734" xr:uid="{00000000-0005-0000-0000-0000C2630000}"/>
    <cellStyle name="Shade" xfId="150" xr:uid="{00000000-0005-0000-0000-0000C3630000}"/>
    <cellStyle name="Shaded" xfId="615" xr:uid="{00000000-0005-0000-0000-0000C4630000}"/>
    <cellStyle name="Sheet Title" xfId="24273" xr:uid="{00000000-0005-0000-0000-0000C5630000}"/>
    <cellStyle name="Special" xfId="151" xr:uid="{00000000-0005-0000-0000-0000C6630000}"/>
    <cellStyle name="Style 1" xfId="152" xr:uid="{00000000-0005-0000-0000-0000C7630000}"/>
    <cellStyle name="Style 1 2" xfId="24274" xr:uid="{00000000-0005-0000-0000-0000C8630000}"/>
    <cellStyle name="Style 1 3" xfId="23908" xr:uid="{00000000-0005-0000-0000-0000C9630000}"/>
    <cellStyle name="Style 27" xfId="153" xr:uid="{00000000-0005-0000-0000-0000CA630000}"/>
    <cellStyle name="Style 35" xfId="154" xr:uid="{00000000-0005-0000-0000-0000CB630000}"/>
    <cellStyle name="Style 36" xfId="155" xr:uid="{00000000-0005-0000-0000-0000CC630000}"/>
    <cellStyle name="Summary" xfId="616" xr:uid="{00000000-0005-0000-0000-0000CD630000}"/>
    <cellStyle name="System" xfId="617" xr:uid="{00000000-0005-0000-0000-0000CE630000}"/>
    <cellStyle name="Table Col Head" xfId="618" xr:uid="{00000000-0005-0000-0000-0000CF630000}"/>
    <cellStyle name="Table Sub Head" xfId="619" xr:uid="{00000000-0005-0000-0000-0000D0630000}"/>
    <cellStyle name="Table Title" xfId="620" xr:uid="{00000000-0005-0000-0000-0000D1630000}"/>
    <cellStyle name="Table Units" xfId="621" xr:uid="{00000000-0005-0000-0000-0000D2630000}"/>
    <cellStyle name="TableBase" xfId="622" xr:uid="{00000000-0005-0000-0000-0000D3630000}"/>
    <cellStyle name="TableBase 2" xfId="24528" xr:uid="{00000000-0005-0000-0000-0000D4630000}"/>
    <cellStyle name="TableBase 2 2" xfId="25352" xr:uid="{00000000-0005-0000-0000-0000D5630000}"/>
    <cellStyle name="TableBase 2 3" xfId="25598" xr:uid="{00000000-0005-0000-0000-0000D6630000}"/>
    <cellStyle name="TableBase 3" xfId="24688" xr:uid="{00000000-0005-0000-0000-0000D7630000}"/>
    <cellStyle name="TableBase 3 2" xfId="25440" xr:uid="{00000000-0005-0000-0000-0000D8630000}"/>
    <cellStyle name="TableBase 3 3" xfId="25650" xr:uid="{00000000-0005-0000-0000-0000D9630000}"/>
    <cellStyle name="TableHead" xfId="623" xr:uid="{00000000-0005-0000-0000-0000DA630000}"/>
    <cellStyle name="Text" xfId="624" xr:uid="{00000000-0005-0000-0000-0000DB630000}"/>
    <cellStyle name="Time" xfId="625" xr:uid="{00000000-0005-0000-0000-0000DC630000}"/>
    <cellStyle name="Time 2" xfId="24275" xr:uid="{00000000-0005-0000-0000-0000DD630000}"/>
    <cellStyle name="Title - Underline" xfId="626" xr:uid="{00000000-0005-0000-0000-0000DE630000}"/>
    <cellStyle name="Title 2" xfId="24276" xr:uid="{00000000-0005-0000-0000-0000DF630000}"/>
    <cellStyle name="Titles" xfId="156" xr:uid="{00000000-0005-0000-0000-0000E0630000}"/>
    <cellStyle name="Titles - Other" xfId="627" xr:uid="{00000000-0005-0000-0000-0000E1630000}"/>
    <cellStyle name="Titles - Other 2" xfId="24277" xr:uid="{00000000-0005-0000-0000-0000E2630000}"/>
    <cellStyle name="Titles 2" xfId="24929" xr:uid="{00000000-0005-0000-0000-0000E3630000}"/>
    <cellStyle name="Titles 3" xfId="25137" xr:uid="{00000000-0005-0000-0000-0000E4630000}"/>
    <cellStyle name="Total 10" xfId="3476" xr:uid="{00000000-0005-0000-0000-0000E5630000}"/>
    <cellStyle name="Total 11" xfId="3477" xr:uid="{00000000-0005-0000-0000-0000E6630000}"/>
    <cellStyle name="Total 12" xfId="3478" xr:uid="{00000000-0005-0000-0000-0000E7630000}"/>
    <cellStyle name="Total 13" xfId="3479" xr:uid="{00000000-0005-0000-0000-0000E8630000}"/>
    <cellStyle name="Total 14" xfId="3480" xr:uid="{00000000-0005-0000-0000-0000E9630000}"/>
    <cellStyle name="Total 15" xfId="3481" xr:uid="{00000000-0005-0000-0000-0000EA630000}"/>
    <cellStyle name="Total 16" xfId="3482" xr:uid="{00000000-0005-0000-0000-0000EB630000}"/>
    <cellStyle name="Total 17" xfId="3483" xr:uid="{00000000-0005-0000-0000-0000EC630000}"/>
    <cellStyle name="Total 18" xfId="3484" xr:uid="{00000000-0005-0000-0000-0000ED630000}"/>
    <cellStyle name="Total 19" xfId="3485" xr:uid="{00000000-0005-0000-0000-0000EE630000}"/>
    <cellStyle name="Total 2" xfId="157" xr:uid="{00000000-0005-0000-0000-0000EF630000}"/>
    <cellStyle name="Total 2 2" xfId="3486" xr:uid="{00000000-0005-0000-0000-0000F0630000}"/>
    <cellStyle name="Total 2 2 2" xfId="24279" xr:uid="{00000000-0005-0000-0000-0000F1630000}"/>
    <cellStyle name="Total 2 2 2 2" xfId="25412" xr:uid="{00000000-0005-0000-0000-0000F2630000}"/>
    <cellStyle name="Total 2 2 2 3" xfId="25592" xr:uid="{00000000-0005-0000-0000-0000F3630000}"/>
    <cellStyle name="Total 2 2 3" xfId="24633" xr:uid="{00000000-0005-0000-0000-0000F4630000}"/>
    <cellStyle name="Total 2 2 3 2" xfId="25351" xr:uid="{00000000-0005-0000-0000-0000F5630000}"/>
    <cellStyle name="Total 2 2 3 3" xfId="25601" xr:uid="{00000000-0005-0000-0000-0000F6630000}"/>
    <cellStyle name="Total 2 2 4" xfId="25139" xr:uid="{00000000-0005-0000-0000-0000F7630000}"/>
    <cellStyle name="Total 2 2 4 2" xfId="25422" xr:uid="{00000000-0005-0000-0000-0000F8630000}"/>
    <cellStyle name="Total 2 2 4 3" xfId="25736" xr:uid="{00000000-0005-0000-0000-0000F9630000}"/>
    <cellStyle name="Total 2 3" xfId="13681" xr:uid="{00000000-0005-0000-0000-0000FA630000}"/>
    <cellStyle name="Total 2 4" xfId="24278" xr:uid="{00000000-0005-0000-0000-0000FB630000}"/>
    <cellStyle name="Total 2 4 2" xfId="25310" xr:uid="{00000000-0005-0000-0000-0000FC630000}"/>
    <cellStyle name="Total 2 4 3" xfId="25591" xr:uid="{00000000-0005-0000-0000-0000FD630000}"/>
    <cellStyle name="Total 2 5" xfId="24634" xr:uid="{00000000-0005-0000-0000-0000FE630000}"/>
    <cellStyle name="Total 2 5 2" xfId="25452" xr:uid="{00000000-0005-0000-0000-0000FF630000}"/>
    <cellStyle name="Total 2 5 3" xfId="25602" xr:uid="{00000000-0005-0000-0000-000000640000}"/>
    <cellStyle name="Total 2 6" xfId="25138" xr:uid="{00000000-0005-0000-0000-000001640000}"/>
    <cellStyle name="Total 2 6 2" xfId="25318" xr:uid="{00000000-0005-0000-0000-000002640000}"/>
    <cellStyle name="Total 2 6 3" xfId="25735" xr:uid="{00000000-0005-0000-0000-000003640000}"/>
    <cellStyle name="Total 20" xfId="3487" xr:uid="{00000000-0005-0000-0000-000004640000}"/>
    <cellStyle name="Total 21" xfId="3488" xr:uid="{00000000-0005-0000-0000-000005640000}"/>
    <cellStyle name="Total 22" xfId="3489" xr:uid="{00000000-0005-0000-0000-000006640000}"/>
    <cellStyle name="Total 23" xfId="3490" xr:uid="{00000000-0005-0000-0000-000007640000}"/>
    <cellStyle name="Total 24" xfId="3491" xr:uid="{00000000-0005-0000-0000-000008640000}"/>
    <cellStyle name="Total 25" xfId="3492" xr:uid="{00000000-0005-0000-0000-000009640000}"/>
    <cellStyle name="Total 26" xfId="3493" xr:uid="{00000000-0005-0000-0000-00000A640000}"/>
    <cellStyle name="Total 27" xfId="3494" xr:uid="{00000000-0005-0000-0000-00000B640000}"/>
    <cellStyle name="Total 28" xfId="3495" xr:uid="{00000000-0005-0000-0000-00000C640000}"/>
    <cellStyle name="Total 29" xfId="3496" xr:uid="{00000000-0005-0000-0000-00000D640000}"/>
    <cellStyle name="Total 3" xfId="3497" xr:uid="{00000000-0005-0000-0000-00000E640000}"/>
    <cellStyle name="Total 3 2" xfId="24281" xr:uid="{00000000-0005-0000-0000-00000F640000}"/>
    <cellStyle name="Total 3 2 2" xfId="24631" xr:uid="{00000000-0005-0000-0000-000010640000}"/>
    <cellStyle name="Total 3 2 2 2" xfId="25334" xr:uid="{00000000-0005-0000-0000-000011640000}"/>
    <cellStyle name="Total 3 2 2 3" xfId="25599" xr:uid="{00000000-0005-0000-0000-000012640000}"/>
    <cellStyle name="Total 3 2 3" xfId="25141" xr:uid="{00000000-0005-0000-0000-000013640000}"/>
    <cellStyle name="Total 3 2 3 2" xfId="25436" xr:uid="{00000000-0005-0000-0000-000014640000}"/>
    <cellStyle name="Total 3 2 3 3" xfId="25738" xr:uid="{00000000-0005-0000-0000-000015640000}"/>
    <cellStyle name="Total 3 2 4" xfId="25426" xr:uid="{00000000-0005-0000-0000-000016640000}"/>
    <cellStyle name="Total 3 2 5" xfId="25594" xr:uid="{00000000-0005-0000-0000-000017640000}"/>
    <cellStyle name="Total 3 3" xfId="24280" xr:uid="{00000000-0005-0000-0000-000018640000}"/>
    <cellStyle name="Total 3 3 2" xfId="25325" xr:uid="{00000000-0005-0000-0000-000019640000}"/>
    <cellStyle name="Total 3 3 3" xfId="25593" xr:uid="{00000000-0005-0000-0000-00001A640000}"/>
    <cellStyle name="Total 3 4" xfId="24632" xr:uid="{00000000-0005-0000-0000-00001B640000}"/>
    <cellStyle name="Total 3 4 2" xfId="25435" xr:uid="{00000000-0005-0000-0000-00001C640000}"/>
    <cellStyle name="Total 3 4 3" xfId="25600" xr:uid="{00000000-0005-0000-0000-00001D640000}"/>
    <cellStyle name="Total 3 5" xfId="25140" xr:uid="{00000000-0005-0000-0000-00001E640000}"/>
    <cellStyle name="Total 3 5 2" xfId="25339" xr:uid="{00000000-0005-0000-0000-00001F640000}"/>
    <cellStyle name="Total 3 5 3" xfId="25737" xr:uid="{00000000-0005-0000-0000-000020640000}"/>
    <cellStyle name="Total 30" xfId="3498" xr:uid="{00000000-0005-0000-0000-000021640000}"/>
    <cellStyle name="Total 31" xfId="3499" xr:uid="{00000000-0005-0000-0000-000022640000}"/>
    <cellStyle name="Total 32" xfId="3500" xr:uid="{00000000-0005-0000-0000-000023640000}"/>
    <cellStyle name="Total 33" xfId="3501" xr:uid="{00000000-0005-0000-0000-000024640000}"/>
    <cellStyle name="Total 34" xfId="3502" xr:uid="{00000000-0005-0000-0000-000025640000}"/>
    <cellStyle name="Total 35" xfId="3503" xr:uid="{00000000-0005-0000-0000-000026640000}"/>
    <cellStyle name="Total 36" xfId="3504" xr:uid="{00000000-0005-0000-0000-000027640000}"/>
    <cellStyle name="Total 37" xfId="3505" xr:uid="{00000000-0005-0000-0000-000028640000}"/>
    <cellStyle name="Total 38" xfId="3506" xr:uid="{00000000-0005-0000-0000-000029640000}"/>
    <cellStyle name="Total 39" xfId="3507" xr:uid="{00000000-0005-0000-0000-00002A640000}"/>
    <cellStyle name="Total 4" xfId="3508" xr:uid="{00000000-0005-0000-0000-00002B640000}"/>
    <cellStyle name="Total 4 2" xfId="24282" xr:uid="{00000000-0005-0000-0000-00002C640000}"/>
    <cellStyle name="Total 4 2 2" xfId="25342" xr:uid="{00000000-0005-0000-0000-00002D640000}"/>
    <cellStyle name="Total 4 2 3" xfId="25595" xr:uid="{00000000-0005-0000-0000-00002E640000}"/>
    <cellStyle name="Total 4 3" xfId="24919" xr:uid="{00000000-0005-0000-0000-00002F640000}"/>
    <cellStyle name="Total 4 3 2" xfId="25398" xr:uid="{00000000-0005-0000-0000-000030640000}"/>
    <cellStyle name="Total 4 3 3" xfId="25666" xr:uid="{00000000-0005-0000-0000-000031640000}"/>
    <cellStyle name="Total 4 4" xfId="25142" xr:uid="{00000000-0005-0000-0000-000032640000}"/>
    <cellStyle name="Total 4 4 2" xfId="25353" xr:uid="{00000000-0005-0000-0000-000033640000}"/>
    <cellStyle name="Total 4 4 3" xfId="25739" xr:uid="{00000000-0005-0000-0000-000034640000}"/>
    <cellStyle name="Total 40" xfId="3509" xr:uid="{00000000-0005-0000-0000-000035640000}"/>
    <cellStyle name="Total 41" xfId="3510" xr:uid="{00000000-0005-0000-0000-000036640000}"/>
    <cellStyle name="Total 42" xfId="3511" xr:uid="{00000000-0005-0000-0000-000037640000}"/>
    <cellStyle name="Total 43" xfId="3512" xr:uid="{00000000-0005-0000-0000-000038640000}"/>
    <cellStyle name="Total 44" xfId="3513" xr:uid="{00000000-0005-0000-0000-000039640000}"/>
    <cellStyle name="Total 45" xfId="3514" xr:uid="{00000000-0005-0000-0000-00003A640000}"/>
    <cellStyle name="Total 46" xfId="3515" xr:uid="{00000000-0005-0000-0000-00003B640000}"/>
    <cellStyle name="Total 47" xfId="3516" xr:uid="{00000000-0005-0000-0000-00003C640000}"/>
    <cellStyle name="Total 48" xfId="3517" xr:uid="{00000000-0005-0000-0000-00003D640000}"/>
    <cellStyle name="Total 49" xfId="3518" xr:uid="{00000000-0005-0000-0000-00003E640000}"/>
    <cellStyle name="Total 5" xfId="3519" xr:uid="{00000000-0005-0000-0000-00003F640000}"/>
    <cellStyle name="Total 5 2" xfId="24283" xr:uid="{00000000-0005-0000-0000-000040640000}"/>
    <cellStyle name="Total 5 2 2" xfId="25443" xr:uid="{00000000-0005-0000-0000-000041640000}"/>
    <cellStyle name="Total 5 2 3" xfId="25596" xr:uid="{00000000-0005-0000-0000-000042640000}"/>
    <cellStyle name="Total 5 3" xfId="24920" xr:uid="{00000000-0005-0000-0000-000043640000}"/>
    <cellStyle name="Total 5 3 2" xfId="25306" xr:uid="{00000000-0005-0000-0000-000044640000}"/>
    <cellStyle name="Total 5 3 3" xfId="25667" xr:uid="{00000000-0005-0000-0000-000045640000}"/>
    <cellStyle name="Total 5 4" xfId="25143" xr:uid="{00000000-0005-0000-0000-000046640000}"/>
    <cellStyle name="Total 5 4 2" xfId="25387" xr:uid="{00000000-0005-0000-0000-000047640000}"/>
    <cellStyle name="Total 5 4 3" xfId="25740" xr:uid="{00000000-0005-0000-0000-000048640000}"/>
    <cellStyle name="Total 50" xfId="3520" xr:uid="{00000000-0005-0000-0000-000049640000}"/>
    <cellStyle name="Total 51" xfId="3521" xr:uid="{00000000-0005-0000-0000-00004A640000}"/>
    <cellStyle name="Total 52" xfId="3522" xr:uid="{00000000-0005-0000-0000-00004B640000}"/>
    <cellStyle name="Total 53" xfId="3523" xr:uid="{00000000-0005-0000-0000-00004C640000}"/>
    <cellStyle name="Total 54" xfId="3524" xr:uid="{00000000-0005-0000-0000-00004D640000}"/>
    <cellStyle name="Total 55" xfId="3525" xr:uid="{00000000-0005-0000-0000-00004E640000}"/>
    <cellStyle name="Total 56" xfId="3526" xr:uid="{00000000-0005-0000-0000-00004F640000}"/>
    <cellStyle name="Total 57" xfId="3527" xr:uid="{00000000-0005-0000-0000-000050640000}"/>
    <cellStyle name="Total 58" xfId="3528" xr:uid="{00000000-0005-0000-0000-000051640000}"/>
    <cellStyle name="Total 59" xfId="3529" xr:uid="{00000000-0005-0000-0000-000052640000}"/>
    <cellStyle name="Total 6" xfId="3530" xr:uid="{00000000-0005-0000-0000-000053640000}"/>
    <cellStyle name="Total 60" xfId="3531" xr:uid="{00000000-0005-0000-0000-000054640000}"/>
    <cellStyle name="Total 61" xfId="3532" xr:uid="{00000000-0005-0000-0000-000055640000}"/>
    <cellStyle name="Total 62" xfId="3533" xr:uid="{00000000-0005-0000-0000-000056640000}"/>
    <cellStyle name="Total 63" xfId="3534" xr:uid="{00000000-0005-0000-0000-000057640000}"/>
    <cellStyle name="Total 64" xfId="3535" xr:uid="{00000000-0005-0000-0000-000058640000}"/>
    <cellStyle name="Total 65" xfId="3536" xr:uid="{00000000-0005-0000-0000-000059640000}"/>
    <cellStyle name="Total 66" xfId="3537" xr:uid="{00000000-0005-0000-0000-00005A640000}"/>
    <cellStyle name="Total 67" xfId="3538" xr:uid="{00000000-0005-0000-0000-00005B640000}"/>
    <cellStyle name="Total 68" xfId="3539" xr:uid="{00000000-0005-0000-0000-00005C640000}"/>
    <cellStyle name="Total 69" xfId="3540" xr:uid="{00000000-0005-0000-0000-00005D640000}"/>
    <cellStyle name="Total 7" xfId="3541" xr:uid="{00000000-0005-0000-0000-00005E640000}"/>
    <cellStyle name="Total 70" xfId="3542" xr:uid="{00000000-0005-0000-0000-00005F640000}"/>
    <cellStyle name="Total 71" xfId="3543" xr:uid="{00000000-0005-0000-0000-000060640000}"/>
    <cellStyle name="Total 72" xfId="3544" xr:uid="{00000000-0005-0000-0000-000061640000}"/>
    <cellStyle name="Total 73" xfId="23927" xr:uid="{00000000-0005-0000-0000-000062640000}"/>
    <cellStyle name="Total 8" xfId="3545" xr:uid="{00000000-0005-0000-0000-000063640000}"/>
    <cellStyle name="Total 9" xfId="3546" xr:uid="{00000000-0005-0000-0000-000064640000}"/>
    <cellStyle name="Total2 - Style2" xfId="158" xr:uid="{00000000-0005-0000-0000-000065640000}"/>
    <cellStyle name="TRANSMISSION RELIABILITY PORTION OF PROJECT" xfId="159" xr:uid="{00000000-0005-0000-0000-000066640000}"/>
    <cellStyle name="Underl - Style4" xfId="160" xr:uid="{00000000-0005-0000-0000-000067640000}"/>
    <cellStyle name="UNLocked" xfId="628" xr:uid="{00000000-0005-0000-0000-000068640000}"/>
    <cellStyle name="UNLocked 2" xfId="24284" xr:uid="{00000000-0005-0000-0000-000069640000}"/>
    <cellStyle name="Unprot" xfId="161" xr:uid="{00000000-0005-0000-0000-00006A640000}"/>
    <cellStyle name="Unprot$" xfId="162" xr:uid="{00000000-0005-0000-0000-00006B640000}"/>
    <cellStyle name="Unprotect" xfId="163" xr:uid="{00000000-0005-0000-0000-00006C640000}"/>
    <cellStyle name="UploadThisRowValue" xfId="3547" xr:uid="{00000000-0005-0000-0000-00006D640000}"/>
    <cellStyle name="Warning Text 10" xfId="3548" xr:uid="{00000000-0005-0000-0000-00006E640000}"/>
    <cellStyle name="Warning Text 11" xfId="3549" xr:uid="{00000000-0005-0000-0000-00006F640000}"/>
    <cellStyle name="Warning Text 12" xfId="3550" xr:uid="{00000000-0005-0000-0000-000070640000}"/>
    <cellStyle name="Warning Text 13" xfId="3551" xr:uid="{00000000-0005-0000-0000-000071640000}"/>
    <cellStyle name="Warning Text 14" xfId="3552" xr:uid="{00000000-0005-0000-0000-000072640000}"/>
    <cellStyle name="Warning Text 15" xfId="3553" xr:uid="{00000000-0005-0000-0000-000073640000}"/>
    <cellStyle name="Warning Text 16" xfId="3554" xr:uid="{00000000-0005-0000-0000-000074640000}"/>
    <cellStyle name="Warning Text 17" xfId="3555" xr:uid="{00000000-0005-0000-0000-000075640000}"/>
    <cellStyle name="Warning Text 18" xfId="3556" xr:uid="{00000000-0005-0000-0000-000076640000}"/>
    <cellStyle name="Warning Text 19" xfId="3557" xr:uid="{00000000-0005-0000-0000-000077640000}"/>
    <cellStyle name="Warning Text 2" xfId="3558" xr:uid="{00000000-0005-0000-0000-000078640000}"/>
    <cellStyle name="Warning Text 2 2" xfId="24287" xr:uid="{00000000-0005-0000-0000-000079640000}"/>
    <cellStyle name="Warning Text 2 3" xfId="24286" xr:uid="{00000000-0005-0000-0000-00007A640000}"/>
    <cellStyle name="Warning Text 20" xfId="3559" xr:uid="{00000000-0005-0000-0000-00007B640000}"/>
    <cellStyle name="Warning Text 21" xfId="3560" xr:uid="{00000000-0005-0000-0000-00007C640000}"/>
    <cellStyle name="Warning Text 22" xfId="3561" xr:uid="{00000000-0005-0000-0000-00007D640000}"/>
    <cellStyle name="Warning Text 23" xfId="3562" xr:uid="{00000000-0005-0000-0000-00007E640000}"/>
    <cellStyle name="Warning Text 24" xfId="3563" xr:uid="{00000000-0005-0000-0000-00007F640000}"/>
    <cellStyle name="Warning Text 25" xfId="3564" xr:uid="{00000000-0005-0000-0000-000080640000}"/>
    <cellStyle name="Warning Text 26" xfId="3565" xr:uid="{00000000-0005-0000-0000-000081640000}"/>
    <cellStyle name="Warning Text 27" xfId="3566" xr:uid="{00000000-0005-0000-0000-000082640000}"/>
    <cellStyle name="Warning Text 28" xfId="3567" xr:uid="{00000000-0005-0000-0000-000083640000}"/>
    <cellStyle name="Warning Text 29" xfId="3568" xr:uid="{00000000-0005-0000-0000-000084640000}"/>
    <cellStyle name="Warning Text 3" xfId="3569" xr:uid="{00000000-0005-0000-0000-000085640000}"/>
    <cellStyle name="Warning Text 3 2" xfId="24289" xr:uid="{00000000-0005-0000-0000-000086640000}"/>
    <cellStyle name="Warning Text 3 3" xfId="24288" xr:uid="{00000000-0005-0000-0000-000087640000}"/>
    <cellStyle name="Warning Text 30" xfId="3570" xr:uid="{00000000-0005-0000-0000-000088640000}"/>
    <cellStyle name="Warning Text 31" xfId="3571" xr:uid="{00000000-0005-0000-0000-000089640000}"/>
    <cellStyle name="Warning Text 32" xfId="3572" xr:uid="{00000000-0005-0000-0000-00008A640000}"/>
    <cellStyle name="Warning Text 33" xfId="3573" xr:uid="{00000000-0005-0000-0000-00008B640000}"/>
    <cellStyle name="Warning Text 34" xfId="3574" xr:uid="{00000000-0005-0000-0000-00008C640000}"/>
    <cellStyle name="Warning Text 35" xfId="3575" xr:uid="{00000000-0005-0000-0000-00008D640000}"/>
    <cellStyle name="Warning Text 36" xfId="3576" xr:uid="{00000000-0005-0000-0000-00008E640000}"/>
    <cellStyle name="Warning Text 37" xfId="3577" xr:uid="{00000000-0005-0000-0000-00008F640000}"/>
    <cellStyle name="Warning Text 38" xfId="3578" xr:uid="{00000000-0005-0000-0000-000090640000}"/>
    <cellStyle name="Warning Text 39" xfId="3579" xr:uid="{00000000-0005-0000-0000-000091640000}"/>
    <cellStyle name="Warning Text 4" xfId="3580" xr:uid="{00000000-0005-0000-0000-000092640000}"/>
    <cellStyle name="Warning Text 4 2" xfId="24290" xr:uid="{00000000-0005-0000-0000-000093640000}"/>
    <cellStyle name="Warning Text 40" xfId="3581" xr:uid="{00000000-0005-0000-0000-000094640000}"/>
    <cellStyle name="Warning Text 41" xfId="3582" xr:uid="{00000000-0005-0000-0000-000095640000}"/>
    <cellStyle name="Warning Text 42" xfId="3583" xr:uid="{00000000-0005-0000-0000-000096640000}"/>
    <cellStyle name="Warning Text 43" xfId="3584" xr:uid="{00000000-0005-0000-0000-000097640000}"/>
    <cellStyle name="Warning Text 44" xfId="3585" xr:uid="{00000000-0005-0000-0000-000098640000}"/>
    <cellStyle name="Warning Text 45" xfId="3586" xr:uid="{00000000-0005-0000-0000-000099640000}"/>
    <cellStyle name="Warning Text 46" xfId="3587" xr:uid="{00000000-0005-0000-0000-00009A640000}"/>
    <cellStyle name="Warning Text 47" xfId="3588" xr:uid="{00000000-0005-0000-0000-00009B640000}"/>
    <cellStyle name="Warning Text 48" xfId="3589" xr:uid="{00000000-0005-0000-0000-00009C640000}"/>
    <cellStyle name="Warning Text 49" xfId="3590" xr:uid="{00000000-0005-0000-0000-00009D640000}"/>
    <cellStyle name="Warning Text 5" xfId="3591" xr:uid="{00000000-0005-0000-0000-00009E640000}"/>
    <cellStyle name="Warning Text 5 2" xfId="24291" xr:uid="{00000000-0005-0000-0000-00009F640000}"/>
    <cellStyle name="Warning Text 50" xfId="3592" xr:uid="{00000000-0005-0000-0000-0000A0640000}"/>
    <cellStyle name="Warning Text 51" xfId="3593" xr:uid="{00000000-0005-0000-0000-0000A1640000}"/>
    <cellStyle name="Warning Text 52" xfId="3594" xr:uid="{00000000-0005-0000-0000-0000A2640000}"/>
    <cellStyle name="Warning Text 53" xfId="3595" xr:uid="{00000000-0005-0000-0000-0000A3640000}"/>
    <cellStyle name="Warning Text 54" xfId="3596" xr:uid="{00000000-0005-0000-0000-0000A4640000}"/>
    <cellStyle name="Warning Text 55" xfId="3597" xr:uid="{00000000-0005-0000-0000-0000A5640000}"/>
    <cellStyle name="Warning Text 56" xfId="3598" xr:uid="{00000000-0005-0000-0000-0000A6640000}"/>
    <cellStyle name="Warning Text 57" xfId="3599" xr:uid="{00000000-0005-0000-0000-0000A7640000}"/>
    <cellStyle name="Warning Text 58" xfId="3600" xr:uid="{00000000-0005-0000-0000-0000A8640000}"/>
    <cellStyle name="Warning Text 59" xfId="3601" xr:uid="{00000000-0005-0000-0000-0000A9640000}"/>
    <cellStyle name="Warning Text 6" xfId="3602" xr:uid="{00000000-0005-0000-0000-0000AA640000}"/>
    <cellStyle name="Warning Text 60" xfId="3603" xr:uid="{00000000-0005-0000-0000-0000AB640000}"/>
    <cellStyle name="Warning Text 61" xfId="3604" xr:uid="{00000000-0005-0000-0000-0000AC640000}"/>
    <cellStyle name="Warning Text 62" xfId="3605" xr:uid="{00000000-0005-0000-0000-0000AD640000}"/>
    <cellStyle name="Warning Text 63" xfId="3606" xr:uid="{00000000-0005-0000-0000-0000AE640000}"/>
    <cellStyle name="Warning Text 64" xfId="3607" xr:uid="{00000000-0005-0000-0000-0000AF640000}"/>
    <cellStyle name="Warning Text 65" xfId="3608" xr:uid="{00000000-0005-0000-0000-0000B0640000}"/>
    <cellStyle name="Warning Text 66" xfId="3609" xr:uid="{00000000-0005-0000-0000-0000B1640000}"/>
    <cellStyle name="Warning Text 67" xfId="3610" xr:uid="{00000000-0005-0000-0000-0000B2640000}"/>
    <cellStyle name="Warning Text 68" xfId="3611" xr:uid="{00000000-0005-0000-0000-0000B3640000}"/>
    <cellStyle name="Warning Text 69" xfId="3612" xr:uid="{00000000-0005-0000-0000-0000B4640000}"/>
    <cellStyle name="Warning Text 7" xfId="3613" xr:uid="{00000000-0005-0000-0000-0000B5640000}"/>
    <cellStyle name="Warning Text 70" xfId="3614" xr:uid="{00000000-0005-0000-0000-0000B6640000}"/>
    <cellStyle name="Warning Text 71" xfId="3615" xr:uid="{00000000-0005-0000-0000-0000B7640000}"/>
    <cellStyle name="Warning Text 72" xfId="3616" xr:uid="{00000000-0005-0000-0000-0000B8640000}"/>
    <cellStyle name="Warning Text 8" xfId="3617" xr:uid="{00000000-0005-0000-0000-0000B9640000}"/>
    <cellStyle name="Warning Text 9" xfId="3618" xr:uid="{00000000-0005-0000-0000-0000BA640000}"/>
    <cellStyle name="WhitePattern" xfId="629" xr:uid="{00000000-0005-0000-0000-0000BB640000}"/>
    <cellStyle name="WhitePattern1" xfId="630" xr:uid="{00000000-0005-0000-0000-0000BC640000}"/>
    <cellStyle name="WhitePattern1 2" xfId="24526" xr:uid="{00000000-0005-0000-0000-0000BD640000}"/>
    <cellStyle name="WhitePattern1 2 2" xfId="25335" xr:uid="{00000000-0005-0000-0000-0000BE640000}"/>
    <cellStyle name="WhitePattern1 2 3" xfId="25597" xr:uid="{00000000-0005-0000-0000-0000BF640000}"/>
    <cellStyle name="WhitePattern1 3" xfId="24769" xr:uid="{00000000-0005-0000-0000-0000C0640000}"/>
    <cellStyle name="WhitePattern1 3 2" xfId="25286" xr:uid="{00000000-0005-0000-0000-0000C1640000}"/>
    <cellStyle name="WhitePattern1 3 3" xfId="25665" xr:uid="{00000000-0005-0000-0000-0000C2640000}"/>
    <cellStyle name="WhiteText" xfId="631" xr:uid="{00000000-0005-0000-0000-0000C3640000}"/>
    <cellStyle name="Year" xfId="632" xr:uid="{00000000-0005-0000-0000-0000C464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62007B99-6EB4-4836-8121-452C079416D9}"/>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670E8306-3901-430E-B898-341FD99E0E4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08B6210A-6B2F-4FDC-94E3-15497A7FB6DF}"/>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001AEC1A-C535-4F97-A70A-C590DFC3B17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3EB72D9B-0249-4FF6-9366-76533E5897E8}"/>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6977BC14-3F8D-4CF3-89A0-6B02C7BF0578}"/>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99ECF856-C69F-4D91-B047-7350963717E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FB27F938-DDE7-4F3F-8F73-8DDB0CB32181}"/>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30C4A68C-A43B-4568-B4DB-13B433775D21}"/>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1943AD16-8C60-4FC6-970D-11B5F30786D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3C385197-6F39-47C6-AB17-C7F2249C04A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015E5B4C-BBB1-4322-8D82-ACC6B13B6F93}"/>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EA5D2200-BF6B-47B1-95D2-265091D55FA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EC07A9A3-FF20-4530-ADE1-7B55F1A2DD0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67D491DC-A0B9-4227-875B-5CB0C5BE609F}"/>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pt\Rates\WEATHER%20DATA\Weather%20Normalization\2016\WA%2065%20HDD%20NOAA\2016-12%20WA%20Weather%20Normalization%2065%20HDD%20-%20Cop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sheetDataSet>
      <sheetData sheetId="0" refreshError="1"/>
      <sheetData sheetId="1" refreshError="1"/>
      <sheetData sheetId="2"/>
      <sheetData sheetId="3" refreshError="1"/>
      <sheetData sheetId="4">
        <row r="3">
          <cell r="K3">
            <v>42736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6"/>
  <sheetViews>
    <sheetView workbookViewId="0">
      <selection activeCell="A31" sqref="A31"/>
    </sheetView>
  </sheetViews>
  <sheetFormatPr defaultRowHeight="15.75"/>
  <cols>
    <col min="1" max="1" width="98.7109375" style="6" customWidth="1"/>
    <col min="2" max="2" width="29.42578125" style="6" customWidth="1"/>
    <col min="3" max="16384" width="9.140625" style="6"/>
  </cols>
  <sheetData>
    <row r="1" spans="1:7">
      <c r="A1" s="20" t="s">
        <v>1642</v>
      </c>
    </row>
    <row r="2" spans="1:7">
      <c r="A2" s="20" t="s">
        <v>1678</v>
      </c>
    </row>
    <row r="3" spans="1:7">
      <c r="A3" s="20" t="s">
        <v>1643</v>
      </c>
    </row>
    <row r="4" spans="1:7">
      <c r="A4" s="21"/>
    </row>
    <row r="5" spans="1:7">
      <c r="A5" s="22"/>
    </row>
    <row r="6" spans="1:7">
      <c r="A6" s="22"/>
    </row>
    <row r="7" spans="1:7">
      <c r="A7" s="22"/>
    </row>
    <row r="8" spans="1:7">
      <c r="A8" s="22" t="s">
        <v>1641</v>
      </c>
    </row>
    <row r="9" spans="1:7">
      <c r="A9" s="22"/>
    </row>
    <row r="10" spans="1:7">
      <c r="A10" s="22"/>
    </row>
    <row r="11" spans="1:7">
      <c r="A11" s="22"/>
      <c r="G11" s="19"/>
    </row>
    <row r="12" spans="1:7">
      <c r="A12" s="22"/>
    </row>
    <row r="13" spans="1:7">
      <c r="A13" s="22"/>
    </row>
    <row r="14" spans="1:7">
      <c r="A14" s="22"/>
    </row>
    <row r="15" spans="1:7">
      <c r="A15" s="22"/>
    </row>
    <row r="16" spans="1:7">
      <c r="A16" s="23"/>
    </row>
    <row r="17" spans="1:1">
      <c r="A17" s="23"/>
    </row>
    <row r="18" spans="1:1">
      <c r="A18" s="22"/>
    </row>
    <row r="19" spans="1:1">
      <c r="A19" s="23" t="s">
        <v>126</v>
      </c>
    </row>
    <row r="20" spans="1:1">
      <c r="A20" s="23"/>
    </row>
    <row r="21" spans="1:1">
      <c r="A21" s="23" t="s">
        <v>1644</v>
      </c>
    </row>
    <row r="22" spans="1:1">
      <c r="A22" s="23"/>
    </row>
    <row r="23" spans="1:1">
      <c r="A23" s="23"/>
    </row>
    <row r="24" spans="1:1">
      <c r="A24" s="24" t="s">
        <v>1677</v>
      </c>
    </row>
    <row r="25" spans="1:1">
      <c r="A25" s="23"/>
    </row>
    <row r="26" spans="1:1">
      <c r="A26" s="23"/>
    </row>
    <row r="27" spans="1:1">
      <c r="A27" s="23"/>
    </row>
    <row r="28" spans="1:1">
      <c r="A28" s="23"/>
    </row>
    <row r="29" spans="1:1">
      <c r="A29" s="23"/>
    </row>
    <row r="30" spans="1:1">
      <c r="A30" s="1011" t="s">
        <v>2167</v>
      </c>
    </row>
    <row r="31" spans="1:1">
      <c r="A31" s="40"/>
    </row>
    <row r="32" spans="1:1">
      <c r="A32" s="19"/>
    </row>
    <row r="33" spans="1:1">
      <c r="A33" s="19"/>
    </row>
    <row r="34" spans="1:1">
      <c r="A34" s="19"/>
    </row>
    <row r="35" spans="1:1">
      <c r="A35" s="19"/>
    </row>
    <row r="36" spans="1:1">
      <c r="A36" s="19"/>
    </row>
  </sheetData>
  <printOptions horizontalCentered="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232"/>
  <sheetViews>
    <sheetView zoomScale="85" zoomScaleNormal="85" workbookViewId="0"/>
  </sheetViews>
  <sheetFormatPr defaultRowHeight="15.75"/>
  <cols>
    <col min="1" max="1" width="9.140625" style="8"/>
    <col min="2" max="2" width="14.140625" style="6" bestFit="1" customWidth="1"/>
    <col min="3" max="3" width="48.42578125" style="6" bestFit="1" customWidth="1"/>
    <col min="4" max="15" width="0" style="6" hidden="1" customWidth="1"/>
    <col min="16" max="16" width="16.7109375" style="6" bestFit="1" customWidth="1"/>
    <col min="17" max="17" width="9.42578125" style="6" bestFit="1" customWidth="1"/>
    <col min="18" max="18" width="16.7109375" style="6" bestFit="1" customWidth="1"/>
    <col min="19" max="19" width="9.28515625" style="6" bestFit="1" customWidth="1"/>
    <col min="20" max="20" width="16" style="6" bestFit="1" customWidth="1"/>
    <col min="21" max="23" width="12.140625" style="6" hidden="1" customWidth="1"/>
    <col min="24" max="24" width="18" style="6" bestFit="1" customWidth="1"/>
    <col min="25" max="25" width="12.28515625" style="6" bestFit="1" customWidth="1"/>
    <col min="26" max="26" width="12.7109375" style="6" bestFit="1" customWidth="1"/>
    <col min="27" max="16384" width="9.140625" style="6"/>
  </cols>
  <sheetData>
    <row r="1" spans="1:26">
      <c r="O1" s="1026" t="s">
        <v>119</v>
      </c>
      <c r="P1" s="1027"/>
      <c r="Q1" s="1027"/>
      <c r="R1" s="1028"/>
    </row>
    <row r="2" spans="1:26">
      <c r="O2" s="1017" t="s">
        <v>1688</v>
      </c>
      <c r="P2" s="1018"/>
      <c r="Q2" s="1018"/>
      <c r="R2" s="1019"/>
    </row>
    <row r="3" spans="1:26">
      <c r="O3" s="1017" t="s">
        <v>990</v>
      </c>
      <c r="P3" s="1018"/>
      <c r="Q3" s="1018"/>
      <c r="R3" s="1019"/>
    </row>
    <row r="4" spans="1:26">
      <c r="O4" s="1029"/>
      <c r="P4" s="1030"/>
      <c r="Q4" s="1030"/>
      <c r="R4" s="1031"/>
    </row>
    <row r="7" spans="1:26" ht="126">
      <c r="A7" s="1006" t="s">
        <v>891</v>
      </c>
      <c r="B7" s="258" t="s">
        <v>1373</v>
      </c>
      <c r="C7" s="258" t="s">
        <v>1374</v>
      </c>
      <c r="D7" s="259" t="s">
        <v>1375</v>
      </c>
      <c r="E7" s="260" t="s">
        <v>1376</v>
      </c>
      <c r="F7" s="260" t="s">
        <v>1377</v>
      </c>
      <c r="G7" s="260" t="s">
        <v>1378</v>
      </c>
      <c r="H7" s="260" t="s">
        <v>1132</v>
      </c>
      <c r="I7" s="261" t="s">
        <v>1379</v>
      </c>
      <c r="J7" s="262" t="s">
        <v>1380</v>
      </c>
      <c r="K7" s="262" t="s">
        <v>1381</v>
      </c>
      <c r="L7" s="262" t="s">
        <v>1382</v>
      </c>
      <c r="M7" s="262" t="s">
        <v>1383</v>
      </c>
      <c r="N7" s="262" t="s">
        <v>1384</v>
      </c>
      <c r="O7" s="263" t="s">
        <v>1385</v>
      </c>
      <c r="P7" s="264" t="s">
        <v>1386</v>
      </c>
      <c r="Q7" s="264" t="s">
        <v>1387</v>
      </c>
      <c r="R7" s="265" t="s">
        <v>2125</v>
      </c>
      <c r="S7" s="258" t="s">
        <v>1389</v>
      </c>
      <c r="T7" s="258" t="s">
        <v>112</v>
      </c>
      <c r="U7" s="266" t="s">
        <v>1390</v>
      </c>
      <c r="V7" s="267" t="s">
        <v>1391</v>
      </c>
      <c r="W7" s="265" t="s">
        <v>1388</v>
      </c>
      <c r="X7" s="258" t="s">
        <v>1392</v>
      </c>
      <c r="Y7" s="258" t="s">
        <v>1393</v>
      </c>
      <c r="Z7" s="258"/>
    </row>
    <row r="8" spans="1:26">
      <c r="A8" s="8">
        <v>1</v>
      </c>
      <c r="B8" s="268" t="s">
        <v>1394</v>
      </c>
      <c r="C8" s="268" t="s">
        <v>1395</v>
      </c>
      <c r="D8" s="269">
        <v>4579.78</v>
      </c>
      <c r="E8" s="270">
        <v>5301.53</v>
      </c>
      <c r="F8" s="270">
        <v>16669.349999999999</v>
      </c>
      <c r="G8" s="270">
        <v>14555.130000000001</v>
      </c>
      <c r="H8" s="270">
        <v>13030.86</v>
      </c>
      <c r="I8" s="271">
        <v>5648.89</v>
      </c>
      <c r="J8" s="272">
        <v>27209.15</v>
      </c>
      <c r="K8" s="272">
        <v>27359.22</v>
      </c>
      <c r="L8" s="272">
        <v>27510.100000000002</v>
      </c>
      <c r="M8" s="272">
        <v>27661.82</v>
      </c>
      <c r="N8" s="272">
        <v>27814.38</v>
      </c>
      <c r="O8" s="272">
        <v>27967.77</v>
      </c>
      <c r="P8" s="273">
        <v>43100</v>
      </c>
      <c r="Q8" s="274">
        <v>303</v>
      </c>
      <c r="R8" s="275">
        <v>225307.98</v>
      </c>
      <c r="S8" s="986">
        <f>+'State Allocation Formulas'!$L$25</f>
        <v>0.77239999999999998</v>
      </c>
      <c r="T8" s="276">
        <f>+R8*S8</f>
        <v>174027.88375199999</v>
      </c>
      <c r="U8" s="277">
        <f>SUM(D8:I8)</f>
        <v>59785.539999999994</v>
      </c>
      <c r="V8" s="278">
        <f>SUM(J8:O8)</f>
        <v>165522.44</v>
      </c>
      <c r="W8" s="275">
        <f>U8+V8</f>
        <v>225307.97999999998</v>
      </c>
      <c r="X8" s="279">
        <f>+T8</f>
        <v>174027.88375199999</v>
      </c>
      <c r="Y8" s="280">
        <v>7</v>
      </c>
      <c r="Z8" s="268"/>
    </row>
    <row r="9" spans="1:26">
      <c r="A9" s="8">
        <v>2</v>
      </c>
      <c r="B9" s="268" t="s">
        <v>1394</v>
      </c>
      <c r="C9" s="268" t="s">
        <v>1396</v>
      </c>
      <c r="D9" s="269">
        <v>2229</v>
      </c>
      <c r="E9" s="270">
        <v>1521.7</v>
      </c>
      <c r="F9" s="270">
        <v>2380.2600000000002</v>
      </c>
      <c r="G9" s="270">
        <v>3474.1</v>
      </c>
      <c r="H9" s="270">
        <v>25379.87</v>
      </c>
      <c r="I9" s="271">
        <v>55296.959999999999</v>
      </c>
      <c r="J9" s="272">
        <v>23211.14</v>
      </c>
      <c r="K9" s="272">
        <v>34103.15</v>
      </c>
      <c r="L9" s="272">
        <v>34291.230000000003</v>
      </c>
      <c r="M9" s="272">
        <v>34480.35</v>
      </c>
      <c r="N9" s="272">
        <v>34670.5</v>
      </c>
      <c r="O9" s="272">
        <v>45625.72</v>
      </c>
      <c r="P9" s="273">
        <v>43100</v>
      </c>
      <c r="Q9" s="274">
        <v>303</v>
      </c>
      <c r="R9" s="275">
        <v>296663.98</v>
      </c>
      <c r="S9" s="986">
        <f>+'State Allocation Formulas'!$L$25</f>
        <v>0.77239999999999998</v>
      </c>
      <c r="T9" s="276">
        <f t="shared" ref="T9:T21" si="0">+R9*S9</f>
        <v>229143.25815199997</v>
      </c>
      <c r="U9" s="277">
        <f t="shared" ref="U9:U22" si="1">SUM(D9:I9)</f>
        <v>90281.89</v>
      </c>
      <c r="V9" s="278">
        <f t="shared" ref="V9:V22" si="2">SUM(J9:O9)</f>
        <v>206382.09</v>
      </c>
      <c r="W9" s="275">
        <f t="shared" ref="W9:W22" si="3">U9+V9</f>
        <v>296663.98</v>
      </c>
      <c r="X9" s="279"/>
      <c r="Y9" s="280" t="s">
        <v>1400</v>
      </c>
      <c r="Z9" s="268"/>
    </row>
    <row r="10" spans="1:26">
      <c r="A10" s="8">
        <v>3</v>
      </c>
      <c r="B10" s="268" t="s">
        <v>1394</v>
      </c>
      <c r="C10" s="268" t="s">
        <v>1397</v>
      </c>
      <c r="D10" s="269">
        <v>2244.94</v>
      </c>
      <c r="E10" s="270">
        <v>0</v>
      </c>
      <c r="F10" s="270">
        <v>0</v>
      </c>
      <c r="G10" s="270">
        <v>0</v>
      </c>
      <c r="H10" s="270">
        <v>0</v>
      </c>
      <c r="I10" s="271">
        <v>0</v>
      </c>
      <c r="J10" s="272">
        <v>0</v>
      </c>
      <c r="K10" s="272">
        <v>0</v>
      </c>
      <c r="L10" s="272">
        <v>0</v>
      </c>
      <c r="M10" s="272">
        <v>0</v>
      </c>
      <c r="N10" s="272">
        <v>0</v>
      </c>
      <c r="O10" s="272">
        <v>0</v>
      </c>
      <c r="P10" s="273">
        <v>42124</v>
      </c>
      <c r="Q10" s="274">
        <v>303</v>
      </c>
      <c r="R10" s="275">
        <v>2244.94</v>
      </c>
      <c r="S10" s="986">
        <f>+'State Allocation Formulas'!$L$25</f>
        <v>0.77239999999999998</v>
      </c>
      <c r="T10" s="276">
        <f t="shared" si="0"/>
        <v>1733.9916559999999</v>
      </c>
      <c r="U10" s="277">
        <f t="shared" si="1"/>
        <v>2244.94</v>
      </c>
      <c r="V10" s="278">
        <f t="shared" si="2"/>
        <v>0</v>
      </c>
      <c r="W10" s="275">
        <f t="shared" si="3"/>
        <v>2244.94</v>
      </c>
      <c r="X10" s="279">
        <f t="shared" ref="X10:X21" si="4">+T10</f>
        <v>1733.9916559999999</v>
      </c>
      <c r="Y10" s="280">
        <v>9</v>
      </c>
      <c r="Z10" s="268"/>
    </row>
    <row r="11" spans="1:26">
      <c r="A11" s="8">
        <v>4</v>
      </c>
      <c r="B11" s="268" t="s">
        <v>1394</v>
      </c>
      <c r="C11" s="268" t="s">
        <v>1398</v>
      </c>
      <c r="D11" s="269">
        <v>181.94</v>
      </c>
      <c r="E11" s="270">
        <v>183.04</v>
      </c>
      <c r="F11" s="270">
        <v>184.16</v>
      </c>
      <c r="G11" s="270">
        <v>0</v>
      </c>
      <c r="H11" s="281">
        <v>0</v>
      </c>
      <c r="I11" s="271">
        <v>0</v>
      </c>
      <c r="J11" s="272">
        <v>0</v>
      </c>
      <c r="K11" s="272">
        <v>0</v>
      </c>
      <c r="L11" s="272">
        <v>0</v>
      </c>
      <c r="M11" s="272">
        <v>0</v>
      </c>
      <c r="N11" s="272">
        <v>0</v>
      </c>
      <c r="O11" s="272">
        <v>0</v>
      </c>
      <c r="P11" s="273">
        <v>40908</v>
      </c>
      <c r="Q11" s="274">
        <v>303</v>
      </c>
      <c r="R11" s="275">
        <v>549.14</v>
      </c>
      <c r="S11" s="986">
        <f>+'State Allocation Formulas'!$L$25</f>
        <v>0.77239999999999998</v>
      </c>
      <c r="T11" s="276">
        <f t="shared" si="0"/>
        <v>424.15573599999999</v>
      </c>
      <c r="U11" s="277">
        <f t="shared" si="1"/>
        <v>549.14</v>
      </c>
      <c r="V11" s="278">
        <f t="shared" si="2"/>
        <v>0</v>
      </c>
      <c r="W11" s="275">
        <f t="shared" si="3"/>
        <v>549.14</v>
      </c>
      <c r="X11" s="279"/>
      <c r="Y11" s="280" t="s">
        <v>1400</v>
      </c>
      <c r="Z11" s="268"/>
    </row>
    <row r="12" spans="1:26">
      <c r="A12" s="8">
        <v>5</v>
      </c>
      <c r="B12" s="268" t="s">
        <v>1394</v>
      </c>
      <c r="C12" s="268" t="s">
        <v>1399</v>
      </c>
      <c r="D12" s="269">
        <v>5053.25</v>
      </c>
      <c r="E12" s="270">
        <v>3746.89</v>
      </c>
      <c r="F12" s="270">
        <v>11336.18</v>
      </c>
      <c r="G12" s="270">
        <v>117570.51000000001</v>
      </c>
      <c r="H12" s="270">
        <v>717.04</v>
      </c>
      <c r="I12" s="271">
        <v>17165.09</v>
      </c>
      <c r="J12" s="272">
        <v>61108.6</v>
      </c>
      <c r="K12" s="272">
        <v>29153.62</v>
      </c>
      <c r="L12" s="272">
        <v>29314.41</v>
      </c>
      <c r="M12" s="272">
        <v>11500.19</v>
      </c>
      <c r="N12" s="272">
        <v>11563.62</v>
      </c>
      <c r="O12" s="272">
        <v>11627.39</v>
      </c>
      <c r="P12" s="273">
        <v>43220</v>
      </c>
      <c r="Q12" s="274">
        <v>303</v>
      </c>
      <c r="R12" s="275">
        <v>309856.78999999998</v>
      </c>
      <c r="S12" s="986">
        <f>+'State Allocation Formulas'!$L$25</f>
        <v>0.77239999999999998</v>
      </c>
      <c r="T12" s="276">
        <f t="shared" si="0"/>
        <v>239333.38459599999</v>
      </c>
      <c r="U12" s="277">
        <f t="shared" si="1"/>
        <v>155588.96000000002</v>
      </c>
      <c r="V12" s="278">
        <f t="shared" si="2"/>
        <v>154267.83000000002</v>
      </c>
      <c r="W12" s="275">
        <f t="shared" si="3"/>
        <v>309856.79000000004</v>
      </c>
      <c r="X12" s="279"/>
      <c r="Y12" s="280" t="s">
        <v>1400</v>
      </c>
      <c r="Z12" s="268"/>
    </row>
    <row r="13" spans="1:26">
      <c r="A13" s="8">
        <v>6</v>
      </c>
      <c r="B13" s="268" t="s">
        <v>1394</v>
      </c>
      <c r="C13" s="268" t="s">
        <v>1401</v>
      </c>
      <c r="D13" s="269">
        <v>2454.19</v>
      </c>
      <c r="E13" s="270">
        <v>48.44</v>
      </c>
      <c r="F13" s="270">
        <v>10572.23</v>
      </c>
      <c r="G13" s="270">
        <v>1015.26</v>
      </c>
      <c r="H13" s="270">
        <v>819.62</v>
      </c>
      <c r="I13" s="271">
        <v>56207.33</v>
      </c>
      <c r="J13" s="272">
        <v>30556.83</v>
      </c>
      <c r="K13" s="272">
        <v>30725.350000000002</v>
      </c>
      <c r="L13" s="272">
        <v>38346.35</v>
      </c>
      <c r="M13" s="272">
        <v>38557.840000000004</v>
      </c>
      <c r="N13" s="272">
        <v>38770.480000000003</v>
      </c>
      <c r="O13" s="272">
        <v>38984.31</v>
      </c>
      <c r="P13" s="273">
        <v>44531</v>
      </c>
      <c r="Q13" s="274">
        <v>303</v>
      </c>
      <c r="R13" s="275">
        <v>287058.23</v>
      </c>
      <c r="S13" s="986">
        <f>+'State Allocation Formulas'!$L$25</f>
        <v>0.77239999999999998</v>
      </c>
      <c r="T13" s="276">
        <f t="shared" si="0"/>
        <v>221723.77685199998</v>
      </c>
      <c r="U13" s="277">
        <f t="shared" si="1"/>
        <v>71117.070000000007</v>
      </c>
      <c r="V13" s="278">
        <f t="shared" si="2"/>
        <v>215941.16</v>
      </c>
      <c r="W13" s="275">
        <f t="shared" si="3"/>
        <v>287058.23</v>
      </c>
      <c r="X13" s="279">
        <f t="shared" si="4"/>
        <v>221723.77685199998</v>
      </c>
      <c r="Y13" s="280">
        <v>35</v>
      </c>
      <c r="Z13" s="268"/>
    </row>
    <row r="14" spans="1:26">
      <c r="A14" s="8">
        <v>7</v>
      </c>
      <c r="B14" s="268" t="s">
        <v>1394</v>
      </c>
      <c r="C14" s="268" t="s">
        <v>1402</v>
      </c>
      <c r="D14" s="269">
        <v>2512.64</v>
      </c>
      <c r="E14" s="270">
        <v>0</v>
      </c>
      <c r="F14" s="270">
        <v>-2512.64</v>
      </c>
      <c r="G14" s="270">
        <v>0</v>
      </c>
      <c r="H14" s="270">
        <v>3424.3</v>
      </c>
      <c r="I14" s="271">
        <v>1567.31</v>
      </c>
      <c r="J14" s="272">
        <v>12944.33</v>
      </c>
      <c r="K14" s="272">
        <v>14272.32</v>
      </c>
      <c r="L14" s="272">
        <v>14351.02</v>
      </c>
      <c r="M14" s="272">
        <v>14430.17</v>
      </c>
      <c r="N14" s="272">
        <v>14509.76</v>
      </c>
      <c r="O14" s="272">
        <v>14589.77</v>
      </c>
      <c r="P14" s="273">
        <v>43830</v>
      </c>
      <c r="Q14" s="274">
        <v>303</v>
      </c>
      <c r="R14" s="275">
        <v>90088.98</v>
      </c>
      <c r="S14" s="986">
        <f>+'State Allocation Formulas'!$L$25</f>
        <v>0.77239999999999998</v>
      </c>
      <c r="T14" s="276">
        <f t="shared" si="0"/>
        <v>69584.728151999996</v>
      </c>
      <c r="U14" s="277">
        <f t="shared" si="1"/>
        <v>4991.6100000000006</v>
      </c>
      <c r="V14" s="278">
        <f t="shared" si="2"/>
        <v>85097.37</v>
      </c>
      <c r="W14" s="275">
        <f t="shared" si="3"/>
        <v>90088.98</v>
      </c>
      <c r="X14" s="279"/>
      <c r="Y14" s="280" t="s">
        <v>1400</v>
      </c>
      <c r="Z14" s="268"/>
    </row>
    <row r="15" spans="1:26">
      <c r="A15" s="8">
        <v>8</v>
      </c>
      <c r="B15" s="268" t="s">
        <v>1394</v>
      </c>
      <c r="C15" s="268" t="s">
        <v>1403</v>
      </c>
      <c r="D15" s="269">
        <v>19907.98</v>
      </c>
      <c r="E15" s="270">
        <v>22622.22</v>
      </c>
      <c r="F15" s="270">
        <v>17942.170000000002</v>
      </c>
      <c r="G15" s="270">
        <v>16316.140000000001</v>
      </c>
      <c r="H15" s="270">
        <v>23348.65</v>
      </c>
      <c r="I15" s="271">
        <v>11262.17</v>
      </c>
      <c r="J15" s="272">
        <v>42078.99</v>
      </c>
      <c r="K15" s="272">
        <v>41063.99</v>
      </c>
      <c r="L15" s="272">
        <v>41063.99</v>
      </c>
      <c r="M15" s="272">
        <v>41063.99</v>
      </c>
      <c r="N15" s="272">
        <v>0</v>
      </c>
      <c r="O15" s="272">
        <v>0</v>
      </c>
      <c r="P15" s="273">
        <v>42917</v>
      </c>
      <c r="Q15" s="274">
        <v>303</v>
      </c>
      <c r="R15" s="275">
        <v>276670.28999999998</v>
      </c>
      <c r="S15" s="986">
        <f>+'State Allocation Formulas'!$L$25</f>
        <v>0.77239999999999998</v>
      </c>
      <c r="T15" s="276">
        <f t="shared" si="0"/>
        <v>213700.13199599998</v>
      </c>
      <c r="U15" s="277">
        <f t="shared" si="1"/>
        <v>111399.33</v>
      </c>
      <c r="V15" s="278">
        <f t="shared" si="2"/>
        <v>165270.96</v>
      </c>
      <c r="W15" s="275">
        <f t="shared" si="3"/>
        <v>276670.28999999998</v>
      </c>
      <c r="X15" s="279">
        <f t="shared" si="4"/>
        <v>213700.13199599998</v>
      </c>
      <c r="Y15" s="280">
        <v>41</v>
      </c>
      <c r="Z15" s="268"/>
    </row>
    <row r="16" spans="1:26">
      <c r="A16" s="8">
        <v>9</v>
      </c>
      <c r="B16" s="268" t="s">
        <v>1394</v>
      </c>
      <c r="C16" s="268" t="s">
        <v>1404</v>
      </c>
      <c r="D16" s="269">
        <v>-454.28000000000003</v>
      </c>
      <c r="E16" s="270">
        <v>0</v>
      </c>
      <c r="F16" s="270">
        <v>0</v>
      </c>
      <c r="G16" s="270">
        <v>0</v>
      </c>
      <c r="H16" s="270">
        <v>0</v>
      </c>
      <c r="I16" s="271">
        <v>0</v>
      </c>
      <c r="J16" s="272">
        <v>21528</v>
      </c>
      <c r="K16" s="272">
        <v>118.73</v>
      </c>
      <c r="L16" s="272">
        <v>119.38</v>
      </c>
      <c r="M16" s="272">
        <v>120.04</v>
      </c>
      <c r="N16" s="272">
        <v>120.7</v>
      </c>
      <c r="O16" s="272">
        <v>121.37</v>
      </c>
      <c r="P16" s="273">
        <v>44408</v>
      </c>
      <c r="Q16" s="274">
        <v>303</v>
      </c>
      <c r="R16" s="275">
        <v>21673.94</v>
      </c>
      <c r="S16" s="986">
        <f>+'State Allocation Formulas'!$L$25</f>
        <v>0.77239999999999998</v>
      </c>
      <c r="T16" s="276">
        <f t="shared" si="0"/>
        <v>16740.951255999997</v>
      </c>
      <c r="U16" s="277">
        <f t="shared" si="1"/>
        <v>-454.28000000000003</v>
      </c>
      <c r="V16" s="278">
        <f t="shared" si="2"/>
        <v>22128.22</v>
      </c>
      <c r="W16" s="275">
        <f t="shared" si="3"/>
        <v>21673.940000000002</v>
      </c>
      <c r="X16" s="279">
        <f>+T16</f>
        <v>16740.951255999997</v>
      </c>
      <c r="Y16" s="280">
        <v>42</v>
      </c>
      <c r="Z16" s="276"/>
    </row>
    <row r="17" spans="1:26">
      <c r="A17" s="8">
        <v>10</v>
      </c>
      <c r="B17" s="268" t="s">
        <v>1394</v>
      </c>
      <c r="C17" s="268" t="s">
        <v>1405</v>
      </c>
      <c r="D17" s="269">
        <v>0</v>
      </c>
      <c r="E17" s="270">
        <v>0</v>
      </c>
      <c r="F17" s="270">
        <v>0</v>
      </c>
      <c r="G17" s="270">
        <v>0</v>
      </c>
      <c r="H17" s="270">
        <v>0</v>
      </c>
      <c r="I17" s="271">
        <v>0</v>
      </c>
      <c r="J17" s="272">
        <v>5123.8500000000004</v>
      </c>
      <c r="K17" s="272">
        <v>5152.1099999999997</v>
      </c>
      <c r="L17" s="272">
        <v>5180.5200000000004</v>
      </c>
      <c r="M17" s="272">
        <v>5209.09</v>
      </c>
      <c r="N17" s="272">
        <v>5237.82</v>
      </c>
      <c r="O17" s="272">
        <v>5266.71</v>
      </c>
      <c r="P17" s="273">
        <v>43100</v>
      </c>
      <c r="Q17" s="274">
        <v>303</v>
      </c>
      <c r="R17" s="275">
        <v>31170.100000000002</v>
      </c>
      <c r="S17" s="986">
        <f>+'State Allocation Formulas'!$L$25</f>
        <v>0.77239999999999998</v>
      </c>
      <c r="T17" s="276">
        <f t="shared" si="0"/>
        <v>24075.785240000001</v>
      </c>
      <c r="U17" s="277">
        <f t="shared" si="1"/>
        <v>0</v>
      </c>
      <c r="V17" s="278">
        <f t="shared" si="2"/>
        <v>31170.1</v>
      </c>
      <c r="W17" s="275">
        <f t="shared" si="3"/>
        <v>31170.1</v>
      </c>
      <c r="X17" s="279">
        <f t="shared" si="4"/>
        <v>24075.785240000001</v>
      </c>
      <c r="Y17" s="280">
        <v>43</v>
      </c>
      <c r="Z17" s="268"/>
    </row>
    <row r="18" spans="1:26">
      <c r="A18" s="8">
        <v>11</v>
      </c>
      <c r="B18" s="268" t="s">
        <v>1394</v>
      </c>
      <c r="C18" s="268" t="s">
        <v>1406</v>
      </c>
      <c r="D18" s="269">
        <v>270.19</v>
      </c>
      <c r="E18" s="270">
        <v>271.82</v>
      </c>
      <c r="F18" s="270">
        <v>-2843.14</v>
      </c>
      <c r="G18" s="270">
        <v>0</v>
      </c>
      <c r="H18" s="270">
        <v>0</v>
      </c>
      <c r="I18" s="271">
        <v>0</v>
      </c>
      <c r="J18" s="272">
        <v>0</v>
      </c>
      <c r="K18" s="272">
        <v>0</v>
      </c>
      <c r="L18" s="272">
        <v>0</v>
      </c>
      <c r="M18" s="272">
        <v>0</v>
      </c>
      <c r="N18" s="272">
        <v>0</v>
      </c>
      <c r="O18" s="272">
        <v>0</v>
      </c>
      <c r="P18" s="273">
        <v>42004</v>
      </c>
      <c r="Q18" s="274">
        <v>303</v>
      </c>
      <c r="R18" s="275">
        <v>-2301.13</v>
      </c>
      <c r="S18" s="986">
        <f>+'State Allocation Formulas'!$L$25</f>
        <v>0.77239999999999998</v>
      </c>
      <c r="T18" s="276">
        <f t="shared" si="0"/>
        <v>-1777.392812</v>
      </c>
      <c r="U18" s="277">
        <f t="shared" si="1"/>
        <v>-2301.13</v>
      </c>
      <c r="V18" s="278">
        <f t="shared" si="2"/>
        <v>0</v>
      </c>
      <c r="W18" s="275">
        <f t="shared" si="3"/>
        <v>-2301.13</v>
      </c>
      <c r="X18" s="279"/>
      <c r="Y18" s="280" t="s">
        <v>1400</v>
      </c>
      <c r="Z18" s="268"/>
    </row>
    <row r="19" spans="1:26">
      <c r="A19" s="8">
        <v>12</v>
      </c>
      <c r="B19" s="268" t="s">
        <v>1394</v>
      </c>
      <c r="C19" s="268" t="s">
        <v>1407</v>
      </c>
      <c r="D19" s="269">
        <v>6223.95</v>
      </c>
      <c r="E19" s="270">
        <v>27101.57</v>
      </c>
      <c r="F19" s="270">
        <v>11331.39</v>
      </c>
      <c r="G19" s="270">
        <v>48868.270000000004</v>
      </c>
      <c r="H19" s="270">
        <v>25542.010000000002</v>
      </c>
      <c r="I19" s="271">
        <v>36582.28</v>
      </c>
      <c r="J19" s="272">
        <v>1355.3</v>
      </c>
      <c r="K19" s="272">
        <v>1362.77</v>
      </c>
      <c r="L19" s="272">
        <v>1370.29</v>
      </c>
      <c r="M19" s="272">
        <v>0</v>
      </c>
      <c r="N19" s="272">
        <v>0</v>
      </c>
      <c r="O19" s="272">
        <v>0</v>
      </c>
      <c r="P19" s="273">
        <v>43008</v>
      </c>
      <c r="Q19" s="274">
        <v>303</v>
      </c>
      <c r="R19" s="275">
        <v>159737.83000000002</v>
      </c>
      <c r="S19" s="986">
        <f>+'State Allocation Formulas'!$L$25</f>
        <v>0.77239999999999998</v>
      </c>
      <c r="T19" s="276">
        <f t="shared" si="0"/>
        <v>123381.49989200001</v>
      </c>
      <c r="U19" s="277">
        <f t="shared" si="1"/>
        <v>155649.47</v>
      </c>
      <c r="V19" s="278">
        <f t="shared" si="2"/>
        <v>4088.3599999999997</v>
      </c>
      <c r="W19" s="275">
        <f t="shared" si="3"/>
        <v>159737.82999999999</v>
      </c>
      <c r="X19" s="279">
        <f t="shared" si="4"/>
        <v>123381.49989200001</v>
      </c>
      <c r="Y19" s="280">
        <v>44</v>
      </c>
      <c r="Z19" s="268"/>
    </row>
    <row r="20" spans="1:26">
      <c r="A20" s="8">
        <v>13</v>
      </c>
      <c r="B20" s="268" t="s">
        <v>1394</v>
      </c>
      <c r="C20" s="268" t="s">
        <v>1408</v>
      </c>
      <c r="D20" s="269">
        <v>0</v>
      </c>
      <c r="E20" s="270">
        <v>0</v>
      </c>
      <c r="F20" s="270">
        <v>0</v>
      </c>
      <c r="G20" s="270">
        <v>0</v>
      </c>
      <c r="H20" s="270">
        <v>0</v>
      </c>
      <c r="I20" s="271">
        <v>0</v>
      </c>
      <c r="J20" s="272">
        <v>21976.5</v>
      </c>
      <c r="K20" s="272">
        <v>22097.7</v>
      </c>
      <c r="L20" s="272">
        <v>22219.56</v>
      </c>
      <c r="M20" s="272">
        <v>21976.5</v>
      </c>
      <c r="N20" s="272">
        <v>21976.5</v>
      </c>
      <c r="O20" s="272">
        <v>21976.5</v>
      </c>
      <c r="P20" s="273">
        <v>42979</v>
      </c>
      <c r="Q20" s="274">
        <v>303</v>
      </c>
      <c r="R20" s="275">
        <v>132223.26</v>
      </c>
      <c r="S20" s="986">
        <f>+'State Allocation Formulas'!$L$25</f>
        <v>0.77239999999999998</v>
      </c>
      <c r="T20" s="276">
        <f t="shared" si="0"/>
        <v>102129.24602400001</v>
      </c>
      <c r="U20" s="277">
        <f t="shared" si="1"/>
        <v>0</v>
      </c>
      <c r="V20" s="278">
        <f t="shared" si="2"/>
        <v>132223.26</v>
      </c>
      <c r="W20" s="275">
        <f t="shared" si="3"/>
        <v>132223.26</v>
      </c>
      <c r="X20" s="279">
        <f t="shared" si="4"/>
        <v>102129.24602400001</v>
      </c>
      <c r="Y20" s="280">
        <v>45</v>
      </c>
      <c r="Z20" s="268"/>
    </row>
    <row r="21" spans="1:26">
      <c r="A21" s="8">
        <v>14</v>
      </c>
      <c r="B21" s="268" t="s">
        <v>1394</v>
      </c>
      <c r="C21" s="268" t="s">
        <v>1409</v>
      </c>
      <c r="D21" s="269">
        <v>0</v>
      </c>
      <c r="E21" s="270">
        <v>0</v>
      </c>
      <c r="F21" s="270">
        <v>0</v>
      </c>
      <c r="G21" s="270">
        <v>0</v>
      </c>
      <c r="H21" s="270">
        <v>0</v>
      </c>
      <c r="I21" s="271">
        <v>0</v>
      </c>
      <c r="J21" s="272">
        <v>4395.3</v>
      </c>
      <c r="K21" s="272">
        <v>4419.54</v>
      </c>
      <c r="L21" s="272">
        <v>4443.92</v>
      </c>
      <c r="M21" s="272">
        <v>4395.3</v>
      </c>
      <c r="N21" s="272">
        <v>4395.3</v>
      </c>
      <c r="O21" s="272">
        <v>4395.3</v>
      </c>
      <c r="P21" s="273">
        <v>42979</v>
      </c>
      <c r="Q21" s="274">
        <v>303</v>
      </c>
      <c r="R21" s="275">
        <v>26444.66</v>
      </c>
      <c r="S21" s="986">
        <f>+'State Allocation Formulas'!$L$25</f>
        <v>0.77239999999999998</v>
      </c>
      <c r="T21" s="276">
        <f t="shared" si="0"/>
        <v>20425.855383999999</v>
      </c>
      <c r="U21" s="277">
        <f t="shared" si="1"/>
        <v>0</v>
      </c>
      <c r="V21" s="278">
        <f t="shared" si="2"/>
        <v>26444.66</v>
      </c>
      <c r="W21" s="275">
        <f t="shared" si="3"/>
        <v>26444.66</v>
      </c>
      <c r="X21" s="279">
        <f t="shared" si="4"/>
        <v>20425.855383999999</v>
      </c>
      <c r="Y21" s="280">
        <v>46</v>
      </c>
      <c r="Z21" s="268"/>
    </row>
    <row r="22" spans="1:26">
      <c r="A22" s="8">
        <v>15</v>
      </c>
      <c r="B22" s="282" t="s">
        <v>1394</v>
      </c>
      <c r="C22" s="282" t="s">
        <v>1410</v>
      </c>
      <c r="D22" s="283">
        <v>0</v>
      </c>
      <c r="E22" s="284">
        <v>0</v>
      </c>
      <c r="F22" s="284">
        <v>267.02</v>
      </c>
      <c r="G22" s="284">
        <v>99.67</v>
      </c>
      <c r="H22" s="284">
        <v>0</v>
      </c>
      <c r="I22" s="285">
        <v>0</v>
      </c>
      <c r="J22" s="274">
        <v>791.67000000000007</v>
      </c>
      <c r="K22" s="274">
        <v>791.67000000000007</v>
      </c>
      <c r="L22" s="274">
        <v>791.67000000000007</v>
      </c>
      <c r="M22" s="274">
        <v>791.67000000000007</v>
      </c>
      <c r="N22" s="274">
        <v>791.67000000000007</v>
      </c>
      <c r="O22" s="274">
        <v>791.67000000000007</v>
      </c>
      <c r="P22" s="273">
        <v>43100</v>
      </c>
      <c r="Q22" s="274">
        <v>303</v>
      </c>
      <c r="R22" s="286">
        <v>5116.71</v>
      </c>
      <c r="S22" s="282" t="s">
        <v>1411</v>
      </c>
      <c r="T22" s="276"/>
      <c r="U22" s="287">
        <f t="shared" si="1"/>
        <v>366.69</v>
      </c>
      <c r="V22" s="287">
        <f t="shared" si="2"/>
        <v>4750.0200000000004</v>
      </c>
      <c r="W22" s="287">
        <f t="shared" si="3"/>
        <v>5116.71</v>
      </c>
      <c r="X22" s="268"/>
      <c r="Y22" s="280"/>
      <c r="Z22" s="268"/>
    </row>
    <row r="23" spans="1:26">
      <c r="A23" s="8">
        <v>16</v>
      </c>
      <c r="B23" s="288"/>
      <c r="C23" s="289" t="s">
        <v>1412</v>
      </c>
      <c r="D23" s="290">
        <f>SUM(D8:D22)</f>
        <v>45203.58</v>
      </c>
      <c r="E23" s="291">
        <f>SUM(E8:E22)</f>
        <v>60797.21</v>
      </c>
      <c r="F23" s="291">
        <f>SUM(F8:F22)</f>
        <v>65326.98</v>
      </c>
      <c r="G23" s="291">
        <f>SUM(G8:G22)</f>
        <v>201899.08000000005</v>
      </c>
      <c r="H23" s="291">
        <f>SUM(H8:H22)</f>
        <v>92262.35</v>
      </c>
      <c r="I23" s="292">
        <f t="shared" ref="I23:N23" si="5">SUM(I8:I22)</f>
        <v>183730.03000000003</v>
      </c>
      <c r="J23" s="293">
        <f t="shared" si="5"/>
        <v>252279.65999999997</v>
      </c>
      <c r="K23" s="293">
        <f t="shared" si="5"/>
        <v>210620.17</v>
      </c>
      <c r="L23" s="293">
        <f t="shared" si="5"/>
        <v>219002.44</v>
      </c>
      <c r="M23" s="293">
        <f t="shared" si="5"/>
        <v>200186.96000000002</v>
      </c>
      <c r="N23" s="293">
        <f t="shared" si="5"/>
        <v>159850.73000000001</v>
      </c>
      <c r="O23" s="293">
        <f>SUM(O8:O22)</f>
        <v>171346.50999999998</v>
      </c>
      <c r="P23" s="294"/>
      <c r="Q23" s="294"/>
      <c r="R23" s="295">
        <f>SUM(R8:R22)</f>
        <v>1862505.7</v>
      </c>
      <c r="S23" s="288"/>
      <c r="T23" s="296">
        <f>SUM(T8:T22)</f>
        <v>1434647.2558760005</v>
      </c>
      <c r="U23" s="297">
        <f>SUM(U8:U22)</f>
        <v>649219.23</v>
      </c>
      <c r="V23" s="298">
        <f>SUM(V8:V22)</f>
        <v>1213286.47</v>
      </c>
      <c r="W23" s="295">
        <f>SUM(W8:W22)</f>
        <v>1862505.7000000002</v>
      </c>
      <c r="X23" s="296">
        <f>SUM(X8:X22)</f>
        <v>897939.1220519999</v>
      </c>
      <c r="Y23" s="299"/>
      <c r="Z23" s="288"/>
    </row>
    <row r="24" spans="1:26">
      <c r="A24" s="8">
        <v>17</v>
      </c>
      <c r="B24" s="288" t="s">
        <v>1677</v>
      </c>
      <c r="C24" s="288"/>
      <c r="D24" s="269"/>
      <c r="E24" s="270"/>
      <c r="F24" s="270"/>
      <c r="G24" s="270"/>
      <c r="H24" s="270"/>
      <c r="I24" s="271"/>
      <c r="J24" s="272"/>
      <c r="K24" s="272"/>
      <c r="L24" s="272"/>
      <c r="M24" s="272"/>
      <c r="N24" s="272"/>
      <c r="O24" s="300"/>
      <c r="P24" s="284"/>
      <c r="Q24" s="284"/>
      <c r="R24" s="275"/>
      <c r="S24" s="288"/>
      <c r="T24" s="301"/>
      <c r="U24" s="277"/>
      <c r="V24" s="278"/>
      <c r="W24" s="275"/>
      <c r="X24" s="288"/>
      <c r="Y24" s="299"/>
      <c r="Z24" s="288"/>
    </row>
    <row r="25" spans="1:26">
      <c r="B25" s="288"/>
      <c r="C25" s="289"/>
      <c r="D25" s="269"/>
      <c r="E25" s="270"/>
      <c r="F25" s="270"/>
      <c r="G25" s="270"/>
      <c r="H25" s="270"/>
      <c r="I25" s="271">
        <f>SUM(D23:I23)</f>
        <v>649219.2300000001</v>
      </c>
      <c r="J25" s="272"/>
      <c r="K25" s="272"/>
      <c r="L25" s="272"/>
      <c r="M25" s="272"/>
      <c r="N25" s="272"/>
      <c r="O25" s="300">
        <f>SUM(J23:O23)</f>
        <v>1213286.47</v>
      </c>
      <c r="P25" s="284"/>
      <c r="Q25" s="284"/>
      <c r="R25" s="275"/>
      <c r="S25" s="288"/>
      <c r="T25" s="301"/>
      <c r="U25" s="277"/>
      <c r="V25" s="278"/>
      <c r="W25" s="275"/>
      <c r="X25" s="288"/>
      <c r="Y25" s="299"/>
      <c r="Z25" s="288"/>
    </row>
    <row r="26" spans="1:26">
      <c r="B26" s="288"/>
      <c r="C26" s="288"/>
      <c r="D26" s="269"/>
      <c r="E26" s="270"/>
      <c r="F26" s="270"/>
      <c r="G26" s="270"/>
      <c r="H26" s="270"/>
      <c r="I26" s="271"/>
      <c r="J26" s="272"/>
      <c r="K26" s="272"/>
      <c r="L26" s="272"/>
      <c r="M26" s="272"/>
      <c r="N26" s="272"/>
      <c r="O26" s="300"/>
      <c r="P26" s="284"/>
      <c r="Q26" s="284"/>
      <c r="R26" s="275"/>
      <c r="S26" s="288"/>
      <c r="T26" s="301"/>
      <c r="U26" s="277"/>
      <c r="V26" s="278"/>
      <c r="W26" s="275"/>
      <c r="X26" s="288"/>
      <c r="Y26" s="299"/>
      <c r="Z26" s="288"/>
    </row>
    <row r="27" spans="1:26">
      <c r="A27" s="8">
        <v>18</v>
      </c>
      <c r="B27" s="268" t="s">
        <v>1413</v>
      </c>
      <c r="C27" s="268" t="s">
        <v>1414</v>
      </c>
      <c r="D27" s="269">
        <v>7025.21</v>
      </c>
      <c r="E27" s="270">
        <v>4262.29</v>
      </c>
      <c r="F27" s="270">
        <v>44902.51</v>
      </c>
      <c r="G27" s="270">
        <v>-12102.300000000001</v>
      </c>
      <c r="H27" s="270">
        <v>80907.680000000008</v>
      </c>
      <c r="I27" s="271">
        <v>29116.46</v>
      </c>
      <c r="J27" s="272">
        <v>44197.88</v>
      </c>
      <c r="K27" s="272">
        <v>44197.88</v>
      </c>
      <c r="L27" s="272">
        <v>44197.88</v>
      </c>
      <c r="M27" s="272">
        <v>44197.88</v>
      </c>
      <c r="N27" s="272">
        <v>44197.88</v>
      </c>
      <c r="O27" s="272">
        <v>126897.23</v>
      </c>
      <c r="P27" s="274"/>
      <c r="Q27" s="274"/>
      <c r="R27" s="275">
        <v>501998.48</v>
      </c>
      <c r="S27" s="268"/>
      <c r="T27" s="276"/>
      <c r="U27" s="277">
        <f t="shared" ref="U27:U90" si="6">SUM(D27:I27)</f>
        <v>154111.85</v>
      </c>
      <c r="V27" s="278">
        <f t="shared" ref="V27:V90" si="7">SUM(J27:O27)</f>
        <v>347886.63</v>
      </c>
      <c r="W27" s="275">
        <f t="shared" ref="W27:W90" si="8">U27+V27</f>
        <v>501998.48</v>
      </c>
      <c r="X27" s="268"/>
      <c r="Y27" s="280"/>
      <c r="Z27" s="268"/>
    </row>
    <row r="28" spans="1:26">
      <c r="A28" s="8">
        <v>19</v>
      </c>
      <c r="B28" s="268" t="s">
        <v>1413</v>
      </c>
      <c r="C28" s="268" t="s">
        <v>1415</v>
      </c>
      <c r="D28" s="269">
        <v>0</v>
      </c>
      <c r="E28" s="270">
        <v>0</v>
      </c>
      <c r="F28" s="270">
        <v>0</v>
      </c>
      <c r="G28" s="270">
        <v>0</v>
      </c>
      <c r="H28" s="270">
        <v>0</v>
      </c>
      <c r="I28" s="271">
        <v>0</v>
      </c>
      <c r="J28" s="272">
        <v>6324.5</v>
      </c>
      <c r="K28" s="272">
        <v>6324.5</v>
      </c>
      <c r="L28" s="272">
        <v>6324.5</v>
      </c>
      <c r="M28" s="272">
        <v>6324.5</v>
      </c>
      <c r="N28" s="272">
        <v>6324.5</v>
      </c>
      <c r="O28" s="272">
        <v>6324.5</v>
      </c>
      <c r="P28" s="274"/>
      <c r="Q28" s="274"/>
      <c r="R28" s="275">
        <v>37947</v>
      </c>
      <c r="S28" s="268"/>
      <c r="T28" s="276"/>
      <c r="U28" s="277">
        <f t="shared" si="6"/>
        <v>0</v>
      </c>
      <c r="V28" s="278">
        <f t="shared" si="7"/>
        <v>37947</v>
      </c>
      <c r="W28" s="275">
        <f t="shared" si="8"/>
        <v>37947</v>
      </c>
      <c r="X28" s="268"/>
      <c r="Y28" s="280"/>
      <c r="Z28" s="268"/>
    </row>
    <row r="29" spans="1:26">
      <c r="A29" s="8">
        <v>20</v>
      </c>
      <c r="B29" s="268" t="s">
        <v>1413</v>
      </c>
      <c r="C29" s="268" t="s">
        <v>1416</v>
      </c>
      <c r="D29" s="269">
        <v>3394.29</v>
      </c>
      <c r="E29" s="270">
        <v>239.51</v>
      </c>
      <c r="F29" s="270">
        <v>23740.81</v>
      </c>
      <c r="G29" s="270">
        <v>58620.25</v>
      </c>
      <c r="H29" s="270">
        <v>42423.87</v>
      </c>
      <c r="I29" s="271">
        <v>15083.32</v>
      </c>
      <c r="J29" s="272">
        <v>32939.26</v>
      </c>
      <c r="K29" s="272">
        <v>32939.26</v>
      </c>
      <c r="L29" s="272">
        <v>32939.26</v>
      </c>
      <c r="M29" s="272">
        <v>32939.26</v>
      </c>
      <c r="N29" s="272">
        <v>32939.26</v>
      </c>
      <c r="O29" s="272">
        <v>88543</v>
      </c>
      <c r="P29" s="274"/>
      <c r="Q29" s="274"/>
      <c r="R29" s="275">
        <v>396741.35000000003</v>
      </c>
      <c r="S29" s="268"/>
      <c r="T29" s="276"/>
      <c r="U29" s="277">
        <f t="shared" si="6"/>
        <v>143502.05000000002</v>
      </c>
      <c r="V29" s="278">
        <f t="shared" si="7"/>
        <v>253239.30000000002</v>
      </c>
      <c r="W29" s="275">
        <f t="shared" si="8"/>
        <v>396741.35000000003</v>
      </c>
      <c r="X29" s="268"/>
      <c r="Y29" s="280"/>
      <c r="Z29" s="268"/>
    </row>
    <row r="30" spans="1:26">
      <c r="A30" s="8">
        <v>21</v>
      </c>
      <c r="B30" s="268" t="s">
        <v>1413</v>
      </c>
      <c r="C30" s="268" t="s">
        <v>1417</v>
      </c>
      <c r="D30" s="269">
        <v>0</v>
      </c>
      <c r="E30" s="270">
        <v>0</v>
      </c>
      <c r="F30" s="270">
        <v>0</v>
      </c>
      <c r="G30" s="270">
        <v>0</v>
      </c>
      <c r="H30" s="270">
        <v>0</v>
      </c>
      <c r="I30" s="271">
        <v>0</v>
      </c>
      <c r="J30" s="272">
        <v>0</v>
      </c>
      <c r="K30" s="272">
        <v>0</v>
      </c>
      <c r="L30" s="272">
        <v>0</v>
      </c>
      <c r="M30" s="272">
        <v>0</v>
      </c>
      <c r="N30" s="272">
        <v>0</v>
      </c>
      <c r="O30" s="272">
        <v>69109.960000000006</v>
      </c>
      <c r="P30" s="274"/>
      <c r="Q30" s="274"/>
      <c r="R30" s="275">
        <v>69109.960000000006</v>
      </c>
      <c r="S30" s="268"/>
      <c r="T30" s="276"/>
      <c r="U30" s="277">
        <f t="shared" si="6"/>
        <v>0</v>
      </c>
      <c r="V30" s="278">
        <f t="shared" si="7"/>
        <v>69109.960000000006</v>
      </c>
      <c r="W30" s="275">
        <f t="shared" si="8"/>
        <v>69109.960000000006</v>
      </c>
      <c r="X30" s="268"/>
      <c r="Y30" s="280"/>
      <c r="Z30" s="268"/>
    </row>
    <row r="31" spans="1:26">
      <c r="A31" s="8">
        <v>22</v>
      </c>
      <c r="B31" s="268" t="s">
        <v>1413</v>
      </c>
      <c r="C31" s="268" t="s">
        <v>1418</v>
      </c>
      <c r="D31" s="269">
        <v>-4237.34</v>
      </c>
      <c r="E31" s="270">
        <v>0</v>
      </c>
      <c r="F31" s="270">
        <v>0</v>
      </c>
      <c r="G31" s="270">
        <v>291.43</v>
      </c>
      <c r="H31" s="270">
        <v>0</v>
      </c>
      <c r="I31" s="271">
        <v>0</v>
      </c>
      <c r="J31" s="272">
        <v>0</v>
      </c>
      <c r="K31" s="272">
        <v>0</v>
      </c>
      <c r="L31" s="272">
        <v>0</v>
      </c>
      <c r="M31" s="272">
        <v>0</v>
      </c>
      <c r="N31" s="272">
        <v>0</v>
      </c>
      <c r="O31" s="272">
        <v>110766.16</v>
      </c>
      <c r="P31" s="274"/>
      <c r="Q31" s="274"/>
      <c r="R31" s="275">
        <v>106820.25</v>
      </c>
      <c r="S31" s="268"/>
      <c r="T31" s="276"/>
      <c r="U31" s="277">
        <f t="shared" si="6"/>
        <v>-3945.9100000000003</v>
      </c>
      <c r="V31" s="278">
        <f t="shared" si="7"/>
        <v>110766.16</v>
      </c>
      <c r="W31" s="275">
        <f t="shared" si="8"/>
        <v>106820.25</v>
      </c>
      <c r="X31" s="268"/>
      <c r="Y31" s="280"/>
      <c r="Z31" s="268"/>
    </row>
    <row r="32" spans="1:26">
      <c r="A32" s="8">
        <v>23</v>
      </c>
      <c r="B32" s="268" t="s">
        <v>1413</v>
      </c>
      <c r="C32" s="268" t="s">
        <v>1419</v>
      </c>
      <c r="D32" s="269">
        <v>97360.1</v>
      </c>
      <c r="E32" s="270">
        <v>26649.760000000002</v>
      </c>
      <c r="F32" s="270">
        <v>192426.7</v>
      </c>
      <c r="G32" s="270">
        <v>31603.49</v>
      </c>
      <c r="H32" s="270">
        <v>193926.27</v>
      </c>
      <c r="I32" s="271">
        <v>172868.14</v>
      </c>
      <c r="J32" s="272">
        <v>116785.69</v>
      </c>
      <c r="K32" s="272">
        <v>116785.69</v>
      </c>
      <c r="L32" s="272">
        <v>116785.69</v>
      </c>
      <c r="M32" s="272">
        <v>116785.69</v>
      </c>
      <c r="N32" s="272">
        <v>116785.69</v>
      </c>
      <c r="O32" s="272">
        <v>116785.69</v>
      </c>
      <c r="P32" s="274"/>
      <c r="Q32" s="274"/>
      <c r="R32" s="275">
        <v>1415548.6</v>
      </c>
      <c r="S32" s="268"/>
      <c r="T32" s="276"/>
      <c r="U32" s="277">
        <f t="shared" si="6"/>
        <v>714834.46000000008</v>
      </c>
      <c r="V32" s="278">
        <f t="shared" si="7"/>
        <v>700714.1399999999</v>
      </c>
      <c r="W32" s="275">
        <f t="shared" si="8"/>
        <v>1415548.6</v>
      </c>
      <c r="X32" s="268"/>
      <c r="Y32" s="280"/>
      <c r="Z32" s="268"/>
    </row>
    <row r="33" spans="1:26">
      <c r="A33" s="8">
        <v>24</v>
      </c>
      <c r="B33" s="268" t="s">
        <v>1413</v>
      </c>
      <c r="C33" s="268" t="s">
        <v>1420</v>
      </c>
      <c r="D33" s="269">
        <v>10533.15</v>
      </c>
      <c r="E33" s="270">
        <v>5840.72</v>
      </c>
      <c r="F33" s="270">
        <v>17174.099999999999</v>
      </c>
      <c r="G33" s="270">
        <v>17213.68</v>
      </c>
      <c r="H33" s="270">
        <v>34235.57</v>
      </c>
      <c r="I33" s="271">
        <v>51626.239999999998</v>
      </c>
      <c r="J33" s="272">
        <v>19827.310000000001</v>
      </c>
      <c r="K33" s="272">
        <v>19827.310000000001</v>
      </c>
      <c r="L33" s="272">
        <v>19827.310000000001</v>
      </c>
      <c r="M33" s="272">
        <v>19827.310000000001</v>
      </c>
      <c r="N33" s="272">
        <v>19827.310000000001</v>
      </c>
      <c r="O33" s="272">
        <v>19827.310000000001</v>
      </c>
      <c r="P33" s="274"/>
      <c r="Q33" s="274"/>
      <c r="R33" s="275">
        <v>255587.32</v>
      </c>
      <c r="S33" s="268"/>
      <c r="T33" s="276"/>
      <c r="U33" s="277">
        <f t="shared" si="6"/>
        <v>136623.46</v>
      </c>
      <c r="V33" s="278">
        <f t="shared" si="7"/>
        <v>118963.86</v>
      </c>
      <c r="W33" s="275">
        <f t="shared" si="8"/>
        <v>255587.32</v>
      </c>
      <c r="X33" s="268"/>
      <c r="Y33" s="280"/>
      <c r="Z33" s="268"/>
    </row>
    <row r="34" spans="1:26">
      <c r="A34" s="8">
        <v>25</v>
      </c>
      <c r="B34" s="268" t="s">
        <v>1413</v>
      </c>
      <c r="C34" s="268" t="s">
        <v>1421</v>
      </c>
      <c r="D34" s="269">
        <v>3622.07</v>
      </c>
      <c r="E34" s="270">
        <v>9555.98</v>
      </c>
      <c r="F34" s="270">
        <v>7372.41</v>
      </c>
      <c r="G34" s="270">
        <v>20552.5</v>
      </c>
      <c r="H34" s="270">
        <v>23622.99</v>
      </c>
      <c r="I34" s="271">
        <v>6922.1</v>
      </c>
      <c r="J34" s="272">
        <v>7589.4000000000005</v>
      </c>
      <c r="K34" s="272">
        <v>7589.4000000000005</v>
      </c>
      <c r="L34" s="272">
        <v>7589.4000000000005</v>
      </c>
      <c r="M34" s="272">
        <v>7589.4000000000005</v>
      </c>
      <c r="N34" s="272">
        <v>7589.4000000000005</v>
      </c>
      <c r="O34" s="272">
        <v>7589.4000000000005</v>
      </c>
      <c r="P34" s="274"/>
      <c r="Q34" s="274"/>
      <c r="R34" s="275">
        <v>117184.45</v>
      </c>
      <c r="S34" s="268"/>
      <c r="T34" s="276"/>
      <c r="U34" s="277">
        <f t="shared" si="6"/>
        <v>71648.05</v>
      </c>
      <c r="V34" s="278">
        <f t="shared" si="7"/>
        <v>45536.4</v>
      </c>
      <c r="W34" s="275">
        <f t="shared" si="8"/>
        <v>117184.45000000001</v>
      </c>
      <c r="X34" s="268"/>
      <c r="Y34" s="280"/>
      <c r="Z34" s="268"/>
    </row>
    <row r="35" spans="1:26">
      <c r="A35" s="8">
        <v>26</v>
      </c>
      <c r="B35" s="268" t="s">
        <v>1413</v>
      </c>
      <c r="C35" s="268" t="s">
        <v>1422</v>
      </c>
      <c r="D35" s="269">
        <v>11115.52</v>
      </c>
      <c r="E35" s="270">
        <v>2703.19</v>
      </c>
      <c r="F35" s="270">
        <v>45201.42</v>
      </c>
      <c r="G35" s="270">
        <v>17931.8</v>
      </c>
      <c r="H35" s="270">
        <v>111877.54000000001</v>
      </c>
      <c r="I35" s="271">
        <v>62225.42</v>
      </c>
      <c r="J35" s="272">
        <v>37947</v>
      </c>
      <c r="K35" s="272">
        <v>37947</v>
      </c>
      <c r="L35" s="272">
        <v>37947</v>
      </c>
      <c r="M35" s="272">
        <v>37947</v>
      </c>
      <c r="N35" s="272">
        <v>37947</v>
      </c>
      <c r="O35" s="272">
        <v>37947</v>
      </c>
      <c r="P35" s="274"/>
      <c r="Q35" s="274"/>
      <c r="R35" s="275">
        <v>478736.89</v>
      </c>
      <c r="S35" s="268"/>
      <c r="T35" s="276"/>
      <c r="U35" s="277">
        <f t="shared" si="6"/>
        <v>251054.89</v>
      </c>
      <c r="V35" s="278">
        <f t="shared" si="7"/>
        <v>227682</v>
      </c>
      <c r="W35" s="275">
        <f t="shared" si="8"/>
        <v>478736.89</v>
      </c>
      <c r="X35" s="268"/>
      <c r="Y35" s="280"/>
      <c r="Z35" s="268"/>
    </row>
    <row r="36" spans="1:26">
      <c r="A36" s="8">
        <v>27</v>
      </c>
      <c r="B36" s="268" t="s">
        <v>1413</v>
      </c>
      <c r="C36" s="268" t="s">
        <v>1423</v>
      </c>
      <c r="D36" s="269">
        <v>5782.16</v>
      </c>
      <c r="E36" s="270">
        <v>15529</v>
      </c>
      <c r="F36" s="270">
        <v>0</v>
      </c>
      <c r="G36" s="270">
        <v>0</v>
      </c>
      <c r="H36" s="270">
        <v>4292.18</v>
      </c>
      <c r="I36" s="271">
        <v>10611.68</v>
      </c>
      <c r="J36" s="272">
        <v>5270.42</v>
      </c>
      <c r="K36" s="272">
        <v>5270.42</v>
      </c>
      <c r="L36" s="272">
        <v>5270.42</v>
      </c>
      <c r="M36" s="272">
        <v>5270.42</v>
      </c>
      <c r="N36" s="272">
        <v>5270.42</v>
      </c>
      <c r="O36" s="272">
        <v>5270.42</v>
      </c>
      <c r="P36" s="274"/>
      <c r="Q36" s="274"/>
      <c r="R36" s="275">
        <v>67837.540000000008</v>
      </c>
      <c r="S36" s="268"/>
      <c r="T36" s="276"/>
      <c r="U36" s="277">
        <f t="shared" si="6"/>
        <v>36215.020000000004</v>
      </c>
      <c r="V36" s="278">
        <f t="shared" si="7"/>
        <v>31622.519999999997</v>
      </c>
      <c r="W36" s="275">
        <f t="shared" si="8"/>
        <v>67837.540000000008</v>
      </c>
      <c r="X36" s="268"/>
      <c r="Y36" s="280"/>
      <c r="Z36" s="268"/>
    </row>
    <row r="37" spans="1:26">
      <c r="A37" s="8">
        <v>28</v>
      </c>
      <c r="B37" s="268" t="s">
        <v>1413</v>
      </c>
      <c r="C37" s="268" t="s">
        <v>1424</v>
      </c>
      <c r="D37" s="269">
        <v>4129.54</v>
      </c>
      <c r="E37" s="270">
        <v>315.92</v>
      </c>
      <c r="F37" s="270">
        <v>18598.36</v>
      </c>
      <c r="G37" s="270">
        <v>2754.36</v>
      </c>
      <c r="H37" s="270">
        <v>4024.1600000000003</v>
      </c>
      <c r="I37" s="271">
        <v>13219.57</v>
      </c>
      <c r="J37" s="272">
        <v>4005.52</v>
      </c>
      <c r="K37" s="272">
        <v>4005.52</v>
      </c>
      <c r="L37" s="272">
        <v>4005.52</v>
      </c>
      <c r="M37" s="272">
        <v>4005.52</v>
      </c>
      <c r="N37" s="272">
        <v>4005.52</v>
      </c>
      <c r="O37" s="272">
        <v>4005.52</v>
      </c>
      <c r="P37" s="274"/>
      <c r="Q37" s="274"/>
      <c r="R37" s="275">
        <v>67075.03</v>
      </c>
      <c r="S37" s="268"/>
      <c r="T37" s="276"/>
      <c r="U37" s="277">
        <f t="shared" si="6"/>
        <v>43041.91</v>
      </c>
      <c r="V37" s="278">
        <f t="shared" si="7"/>
        <v>24033.119999999999</v>
      </c>
      <c r="W37" s="275">
        <f t="shared" si="8"/>
        <v>67075.03</v>
      </c>
      <c r="X37" s="268"/>
      <c r="Y37" s="280"/>
      <c r="Z37" s="268"/>
    </row>
    <row r="38" spans="1:26">
      <c r="A38" s="8">
        <v>29</v>
      </c>
      <c r="B38" s="268" t="s">
        <v>1413</v>
      </c>
      <c r="C38" s="268" t="s">
        <v>1425</v>
      </c>
      <c r="D38" s="269">
        <v>128777.05</v>
      </c>
      <c r="E38" s="270">
        <v>199095.2</v>
      </c>
      <c r="F38" s="270">
        <v>212719.1</v>
      </c>
      <c r="G38" s="270">
        <v>537905.22</v>
      </c>
      <c r="H38" s="270">
        <v>289073.14</v>
      </c>
      <c r="I38" s="271">
        <v>512652.10000000003</v>
      </c>
      <c r="J38" s="272">
        <v>88395.77</v>
      </c>
      <c r="K38" s="272">
        <v>88395.77</v>
      </c>
      <c r="L38" s="272">
        <v>88395.77</v>
      </c>
      <c r="M38" s="272">
        <v>88395.77</v>
      </c>
      <c r="N38" s="272">
        <v>88395.77</v>
      </c>
      <c r="O38" s="272">
        <v>88395.77</v>
      </c>
      <c r="P38" s="273">
        <v>46022</v>
      </c>
      <c r="Q38" s="274">
        <v>376</v>
      </c>
      <c r="R38" s="275">
        <v>2410596.4300000002</v>
      </c>
      <c r="S38" s="268"/>
      <c r="T38" s="276">
        <f>+R38</f>
        <v>2410596.4300000002</v>
      </c>
      <c r="U38" s="277">
        <f t="shared" si="6"/>
        <v>1880221.81</v>
      </c>
      <c r="V38" s="278">
        <f t="shared" si="7"/>
        <v>530374.62</v>
      </c>
      <c r="W38" s="275">
        <f t="shared" si="8"/>
        <v>2410596.4300000002</v>
      </c>
      <c r="X38" s="268"/>
      <c r="Y38" s="280" t="s">
        <v>1426</v>
      </c>
      <c r="Z38" s="268"/>
    </row>
    <row r="39" spans="1:26">
      <c r="A39" s="8">
        <v>30</v>
      </c>
      <c r="B39" s="268" t="s">
        <v>1413</v>
      </c>
      <c r="C39" s="268" t="s">
        <v>1427</v>
      </c>
      <c r="D39" s="269">
        <v>40580.67</v>
      </c>
      <c r="E39" s="270">
        <v>3314.71</v>
      </c>
      <c r="F39" s="270">
        <v>256.88</v>
      </c>
      <c r="G39" s="270">
        <v>32158</v>
      </c>
      <c r="H39" s="270">
        <v>11349.61</v>
      </c>
      <c r="I39" s="271">
        <v>8247.75</v>
      </c>
      <c r="J39" s="272">
        <v>13913.9</v>
      </c>
      <c r="K39" s="272">
        <v>13913.9</v>
      </c>
      <c r="L39" s="272">
        <v>13913.9</v>
      </c>
      <c r="M39" s="272">
        <v>13913.9</v>
      </c>
      <c r="N39" s="272">
        <v>13913.9</v>
      </c>
      <c r="O39" s="272">
        <v>13913.9</v>
      </c>
      <c r="P39" s="273">
        <v>46022</v>
      </c>
      <c r="Q39" s="274">
        <v>376</v>
      </c>
      <c r="R39" s="275">
        <v>179391.02</v>
      </c>
      <c r="S39" s="268"/>
      <c r="T39" s="276">
        <f t="shared" ref="T39:T47" si="9">+R39</f>
        <v>179391.02</v>
      </c>
      <c r="U39" s="277">
        <f t="shared" si="6"/>
        <v>95907.62</v>
      </c>
      <c r="V39" s="278">
        <f t="shared" si="7"/>
        <v>83483.399999999994</v>
      </c>
      <c r="W39" s="275">
        <f t="shared" si="8"/>
        <v>179391.02</v>
      </c>
      <c r="X39" s="276">
        <f t="shared" ref="X39:X40" si="10">+T39</f>
        <v>179391.02</v>
      </c>
      <c r="Y39" s="280" t="s">
        <v>1428</v>
      </c>
      <c r="Z39" s="268"/>
    </row>
    <row r="40" spans="1:26">
      <c r="A40" s="8">
        <v>31</v>
      </c>
      <c r="B40" s="268" t="s">
        <v>1413</v>
      </c>
      <c r="C40" s="268" t="s">
        <v>1429</v>
      </c>
      <c r="D40" s="269">
        <v>55687.64</v>
      </c>
      <c r="E40" s="270">
        <v>82878.48</v>
      </c>
      <c r="F40" s="270">
        <v>35242.370000000003</v>
      </c>
      <c r="G40" s="270">
        <v>199515.2</v>
      </c>
      <c r="H40" s="270">
        <v>124679.45</v>
      </c>
      <c r="I40" s="271">
        <v>287916.64</v>
      </c>
      <c r="J40" s="272">
        <v>103420.76000000001</v>
      </c>
      <c r="K40" s="272">
        <v>103420.76000000001</v>
      </c>
      <c r="L40" s="272">
        <v>103420.76000000001</v>
      </c>
      <c r="M40" s="272">
        <v>103420.76000000001</v>
      </c>
      <c r="N40" s="272">
        <v>103420.76000000001</v>
      </c>
      <c r="O40" s="272">
        <v>170761.5</v>
      </c>
      <c r="P40" s="273">
        <v>46022</v>
      </c>
      <c r="Q40" s="274">
        <v>376</v>
      </c>
      <c r="R40" s="275">
        <v>1473785.08</v>
      </c>
      <c r="S40" s="268"/>
      <c r="T40" s="276">
        <f t="shared" si="9"/>
        <v>1473785.08</v>
      </c>
      <c r="U40" s="277">
        <f t="shared" si="6"/>
        <v>785919.78</v>
      </c>
      <c r="V40" s="278">
        <f t="shared" si="7"/>
        <v>687865.3</v>
      </c>
      <c r="W40" s="275">
        <f t="shared" si="8"/>
        <v>1473785.08</v>
      </c>
      <c r="X40" s="276">
        <f t="shared" si="10"/>
        <v>1473785.08</v>
      </c>
      <c r="Y40" s="280" t="s">
        <v>1428</v>
      </c>
      <c r="Z40" s="268"/>
    </row>
    <row r="41" spans="1:26">
      <c r="A41" s="8">
        <v>32</v>
      </c>
      <c r="B41" s="268" t="s">
        <v>1413</v>
      </c>
      <c r="C41" s="268" t="s">
        <v>1430</v>
      </c>
      <c r="D41" s="269">
        <v>0</v>
      </c>
      <c r="E41" s="270">
        <v>0</v>
      </c>
      <c r="F41" s="270">
        <v>0</v>
      </c>
      <c r="G41" s="270">
        <v>0</v>
      </c>
      <c r="H41" s="270">
        <v>0</v>
      </c>
      <c r="I41" s="271">
        <v>0</v>
      </c>
      <c r="J41" s="272">
        <v>4148.87</v>
      </c>
      <c r="K41" s="272">
        <v>4148.87</v>
      </c>
      <c r="L41" s="272">
        <v>4148.87</v>
      </c>
      <c r="M41" s="272">
        <v>4148.87</v>
      </c>
      <c r="N41" s="272">
        <v>4148.87</v>
      </c>
      <c r="O41" s="272">
        <v>11257.61</v>
      </c>
      <c r="P41" s="273">
        <v>44561</v>
      </c>
      <c r="Q41" s="274"/>
      <c r="R41" s="275">
        <v>32001.96</v>
      </c>
      <c r="S41" s="268"/>
      <c r="T41" s="276">
        <f t="shared" si="9"/>
        <v>32001.96</v>
      </c>
      <c r="U41" s="277">
        <f t="shared" si="6"/>
        <v>0</v>
      </c>
      <c r="V41" s="278">
        <f t="shared" si="7"/>
        <v>32001.96</v>
      </c>
      <c r="W41" s="275">
        <f t="shared" si="8"/>
        <v>32001.96</v>
      </c>
      <c r="X41" s="268"/>
      <c r="Y41" s="280" t="s">
        <v>1426</v>
      </c>
      <c r="Z41" s="268"/>
    </row>
    <row r="42" spans="1:26">
      <c r="A42" s="8">
        <v>33</v>
      </c>
      <c r="B42" s="268" t="s">
        <v>1413</v>
      </c>
      <c r="C42" s="268" t="s">
        <v>1431</v>
      </c>
      <c r="D42" s="269">
        <v>3196.17</v>
      </c>
      <c r="E42" s="270">
        <v>14268.12</v>
      </c>
      <c r="F42" s="270">
        <v>35800.400000000001</v>
      </c>
      <c r="G42" s="270">
        <v>19489.97</v>
      </c>
      <c r="H42" s="270">
        <v>34540.31</v>
      </c>
      <c r="I42" s="271">
        <v>597.29</v>
      </c>
      <c r="J42" s="272">
        <v>28547.53</v>
      </c>
      <c r="K42" s="272">
        <v>28547.53</v>
      </c>
      <c r="L42" s="272">
        <v>28547.53</v>
      </c>
      <c r="M42" s="272">
        <v>28547.53</v>
      </c>
      <c r="N42" s="272">
        <v>28547.53</v>
      </c>
      <c r="O42" s="272">
        <v>63346.85</v>
      </c>
      <c r="P42" s="273">
        <v>44561</v>
      </c>
      <c r="Q42" s="274">
        <v>378</v>
      </c>
      <c r="R42" s="275">
        <v>313976.76</v>
      </c>
      <c r="S42" s="268"/>
      <c r="T42" s="276">
        <f t="shared" si="9"/>
        <v>313976.76</v>
      </c>
      <c r="U42" s="277">
        <f t="shared" si="6"/>
        <v>107892.26</v>
      </c>
      <c r="V42" s="278">
        <f t="shared" si="7"/>
        <v>206084.5</v>
      </c>
      <c r="W42" s="275">
        <f t="shared" si="8"/>
        <v>313976.76</v>
      </c>
      <c r="X42" s="276">
        <f t="shared" ref="X42" si="11">+T42</f>
        <v>313976.76</v>
      </c>
      <c r="Y42" s="280">
        <v>1</v>
      </c>
      <c r="Z42" s="268"/>
    </row>
    <row r="43" spans="1:26">
      <c r="A43" s="8">
        <v>34</v>
      </c>
      <c r="B43" s="268" t="s">
        <v>1413</v>
      </c>
      <c r="C43" s="268" t="s">
        <v>1432</v>
      </c>
      <c r="D43" s="269">
        <v>425471.21</v>
      </c>
      <c r="E43" s="270">
        <v>427992.8</v>
      </c>
      <c r="F43" s="270">
        <v>801069.6</v>
      </c>
      <c r="G43" s="270">
        <v>583642.74</v>
      </c>
      <c r="H43" s="270">
        <v>976127.56</v>
      </c>
      <c r="I43" s="271">
        <v>830737.68</v>
      </c>
      <c r="J43" s="272">
        <v>406853.45</v>
      </c>
      <c r="K43" s="272">
        <v>406853.45</v>
      </c>
      <c r="L43" s="272">
        <v>406853.45</v>
      </c>
      <c r="M43" s="272">
        <v>406853.45</v>
      </c>
      <c r="N43" s="272">
        <v>406853.45</v>
      </c>
      <c r="O43" s="272">
        <v>406853.45</v>
      </c>
      <c r="P43" s="273">
        <v>46022</v>
      </c>
      <c r="Q43" s="274">
        <v>380</v>
      </c>
      <c r="R43" s="275">
        <v>6486162.29</v>
      </c>
      <c r="S43" s="268"/>
      <c r="T43" s="276">
        <f t="shared" si="9"/>
        <v>6486162.29</v>
      </c>
      <c r="U43" s="277">
        <f t="shared" si="6"/>
        <v>4045041.59</v>
      </c>
      <c r="V43" s="278">
        <f t="shared" si="7"/>
        <v>2441120.7000000002</v>
      </c>
      <c r="W43" s="275">
        <f t="shared" si="8"/>
        <v>6486162.29</v>
      </c>
      <c r="X43" s="268"/>
      <c r="Y43" s="280" t="s">
        <v>1426</v>
      </c>
      <c r="Z43" s="268"/>
    </row>
    <row r="44" spans="1:26">
      <c r="A44" s="8">
        <v>35</v>
      </c>
      <c r="B44" s="268" t="s">
        <v>1413</v>
      </c>
      <c r="C44" s="268" t="s">
        <v>1433</v>
      </c>
      <c r="D44" s="269">
        <v>16055.460000000001</v>
      </c>
      <c r="E44" s="270">
        <v>10871.14</v>
      </c>
      <c r="F44" s="270">
        <v>12512.68</v>
      </c>
      <c r="G44" s="270">
        <v>11191.84</v>
      </c>
      <c r="H44" s="270">
        <v>12369.720000000001</v>
      </c>
      <c r="I44" s="271">
        <v>9354.7199999999993</v>
      </c>
      <c r="J44" s="272">
        <v>10540.83</v>
      </c>
      <c r="K44" s="272">
        <v>10540.83</v>
      </c>
      <c r="L44" s="272">
        <v>10540.83</v>
      </c>
      <c r="M44" s="272">
        <v>10540.83</v>
      </c>
      <c r="N44" s="272">
        <v>10540.83</v>
      </c>
      <c r="O44" s="272">
        <v>10540.83</v>
      </c>
      <c r="P44" s="273">
        <v>46022</v>
      </c>
      <c r="Q44" s="274">
        <v>385</v>
      </c>
      <c r="R44" s="275">
        <v>135600.54</v>
      </c>
      <c r="S44" s="268"/>
      <c r="T44" s="276">
        <f t="shared" si="9"/>
        <v>135600.54</v>
      </c>
      <c r="U44" s="277">
        <f t="shared" si="6"/>
        <v>72355.56</v>
      </c>
      <c r="V44" s="278">
        <f t="shared" si="7"/>
        <v>63244.98</v>
      </c>
      <c r="W44" s="275">
        <f t="shared" si="8"/>
        <v>135600.54</v>
      </c>
      <c r="X44" s="268"/>
      <c r="Y44" s="280" t="s">
        <v>1426</v>
      </c>
      <c r="Z44" s="268"/>
    </row>
    <row r="45" spans="1:26">
      <c r="A45" s="8">
        <v>36</v>
      </c>
      <c r="B45" s="268" t="s">
        <v>1413</v>
      </c>
      <c r="C45" s="268" t="s">
        <v>1434</v>
      </c>
      <c r="D45" s="269">
        <v>53877.35</v>
      </c>
      <c r="E45" s="270">
        <v>44300.14</v>
      </c>
      <c r="F45" s="270">
        <v>118263.37</v>
      </c>
      <c r="G45" s="270">
        <v>54435.64</v>
      </c>
      <c r="H45" s="270">
        <v>108146.2</v>
      </c>
      <c r="I45" s="271">
        <v>56643.76</v>
      </c>
      <c r="J45" s="272">
        <v>72099.3</v>
      </c>
      <c r="K45" s="272">
        <v>72099.3</v>
      </c>
      <c r="L45" s="272">
        <v>72099.3</v>
      </c>
      <c r="M45" s="272">
        <v>72099.3</v>
      </c>
      <c r="N45" s="272">
        <v>72099.3</v>
      </c>
      <c r="O45" s="272">
        <v>72099.3</v>
      </c>
      <c r="P45" s="273">
        <v>46022</v>
      </c>
      <c r="Q45" s="274">
        <v>385</v>
      </c>
      <c r="R45" s="275">
        <v>868262.26</v>
      </c>
      <c r="S45" s="268"/>
      <c r="T45" s="276">
        <f t="shared" si="9"/>
        <v>868262.26</v>
      </c>
      <c r="U45" s="277">
        <f t="shared" si="6"/>
        <v>435666.46</v>
      </c>
      <c r="V45" s="278">
        <f t="shared" si="7"/>
        <v>432595.8</v>
      </c>
      <c r="W45" s="275">
        <f t="shared" si="8"/>
        <v>868262.26</v>
      </c>
      <c r="X45" s="276">
        <f t="shared" ref="X45" si="12">+T45</f>
        <v>868262.26</v>
      </c>
      <c r="Y45" s="280">
        <v>1</v>
      </c>
      <c r="Z45" s="268"/>
    </row>
    <row r="46" spans="1:26">
      <c r="A46" s="8">
        <v>37</v>
      </c>
      <c r="B46" s="268" t="s">
        <v>1413</v>
      </c>
      <c r="C46" s="268" t="s">
        <v>1435</v>
      </c>
      <c r="D46" s="269">
        <v>7209.58</v>
      </c>
      <c r="E46" s="270">
        <v>11044.86</v>
      </c>
      <c r="F46" s="270">
        <v>12298.220000000001</v>
      </c>
      <c r="G46" s="270">
        <v>5253.38</v>
      </c>
      <c r="H46" s="270">
        <v>4908.74</v>
      </c>
      <c r="I46" s="271">
        <v>24161.05</v>
      </c>
      <c r="J46" s="272">
        <v>14967.98</v>
      </c>
      <c r="K46" s="272">
        <v>14967.98</v>
      </c>
      <c r="L46" s="272">
        <v>14967.98</v>
      </c>
      <c r="M46" s="272">
        <v>14967.98</v>
      </c>
      <c r="N46" s="272">
        <v>14967.98</v>
      </c>
      <c r="O46" s="272">
        <v>14967.98</v>
      </c>
      <c r="P46" s="273">
        <v>46022</v>
      </c>
      <c r="Q46" s="274">
        <v>385</v>
      </c>
      <c r="R46" s="275">
        <v>154683.71</v>
      </c>
      <c r="S46" s="268"/>
      <c r="T46" s="276">
        <f t="shared" si="9"/>
        <v>154683.71</v>
      </c>
      <c r="U46" s="277">
        <f t="shared" si="6"/>
        <v>64875.83</v>
      </c>
      <c r="V46" s="278">
        <f t="shared" si="7"/>
        <v>89807.87999999999</v>
      </c>
      <c r="W46" s="275">
        <f t="shared" si="8"/>
        <v>154683.71</v>
      </c>
      <c r="X46" s="268"/>
      <c r="Y46" s="280" t="s">
        <v>1426</v>
      </c>
      <c r="Z46" s="268"/>
    </row>
    <row r="47" spans="1:26">
      <c r="A47" s="8">
        <v>38</v>
      </c>
      <c r="B47" s="268" t="s">
        <v>1413</v>
      </c>
      <c r="C47" s="268" t="s">
        <v>1436</v>
      </c>
      <c r="D47" s="269">
        <v>8555.82</v>
      </c>
      <c r="E47" s="270">
        <v>9462.36</v>
      </c>
      <c r="F47" s="270">
        <v>10953.56</v>
      </c>
      <c r="G47" s="270">
        <v>19761.36</v>
      </c>
      <c r="H47" s="270">
        <v>28329.13</v>
      </c>
      <c r="I47" s="271">
        <v>38182.980000000003</v>
      </c>
      <c r="J47" s="272">
        <v>10766.210000000001</v>
      </c>
      <c r="K47" s="272">
        <v>10766.210000000001</v>
      </c>
      <c r="L47" s="272">
        <v>10766.210000000001</v>
      </c>
      <c r="M47" s="272">
        <v>10766.210000000001</v>
      </c>
      <c r="N47" s="272">
        <v>10766.210000000001</v>
      </c>
      <c r="O47" s="272">
        <v>10766.210000000001</v>
      </c>
      <c r="P47" s="273">
        <v>46022</v>
      </c>
      <c r="Q47" s="274">
        <v>385</v>
      </c>
      <c r="R47" s="275">
        <v>179842.47</v>
      </c>
      <c r="S47" s="268"/>
      <c r="T47" s="276">
        <f t="shared" si="9"/>
        <v>179842.47</v>
      </c>
      <c r="U47" s="277">
        <f t="shared" si="6"/>
        <v>115245.20999999999</v>
      </c>
      <c r="V47" s="278">
        <f t="shared" si="7"/>
        <v>64597.26</v>
      </c>
      <c r="W47" s="275">
        <f t="shared" si="8"/>
        <v>179842.47</v>
      </c>
      <c r="X47" s="276">
        <f t="shared" ref="X47" si="13">+T47</f>
        <v>179842.47</v>
      </c>
      <c r="Y47" s="280" t="s">
        <v>1428</v>
      </c>
      <c r="Z47" s="268"/>
    </row>
    <row r="48" spans="1:26">
      <c r="A48" s="8">
        <v>39</v>
      </c>
      <c r="B48" s="268" t="s">
        <v>1413</v>
      </c>
      <c r="C48" s="268" t="s">
        <v>1437</v>
      </c>
      <c r="D48" s="269">
        <v>33464.85</v>
      </c>
      <c r="E48" s="270">
        <v>831159.6</v>
      </c>
      <c r="F48" s="270">
        <v>199409.07</v>
      </c>
      <c r="G48" s="270">
        <v>48252.06</v>
      </c>
      <c r="H48" s="270">
        <v>56381.25</v>
      </c>
      <c r="I48" s="271">
        <v>408318.52</v>
      </c>
      <c r="J48" s="272">
        <v>390010.83</v>
      </c>
      <c r="K48" s="272">
        <v>390010.83</v>
      </c>
      <c r="L48" s="272">
        <v>390010.83</v>
      </c>
      <c r="M48" s="272">
        <v>390010.83</v>
      </c>
      <c r="N48" s="272">
        <v>390010.83</v>
      </c>
      <c r="O48" s="272">
        <v>390010.83</v>
      </c>
      <c r="P48" s="273">
        <v>46022</v>
      </c>
      <c r="Q48" s="274"/>
      <c r="R48" s="275">
        <v>3917050.33</v>
      </c>
      <c r="S48" s="986">
        <f>+'State Allocation Formulas'!$L$25</f>
        <v>0.77239999999999998</v>
      </c>
      <c r="T48" s="276">
        <f t="shared" ref="T48:T49" si="14">+R48*S48</f>
        <v>3025529.6748919999</v>
      </c>
      <c r="U48" s="277">
        <f t="shared" si="6"/>
        <v>1576985.35</v>
      </c>
      <c r="V48" s="278">
        <f t="shared" si="7"/>
        <v>2340064.98</v>
      </c>
      <c r="W48" s="275">
        <f t="shared" si="8"/>
        <v>3917050.33</v>
      </c>
      <c r="X48" s="268"/>
      <c r="Y48" s="280" t="s">
        <v>1426</v>
      </c>
      <c r="Z48" s="268"/>
    </row>
    <row r="49" spans="1:26">
      <c r="A49" s="8">
        <v>40</v>
      </c>
      <c r="B49" s="268" t="s">
        <v>1413</v>
      </c>
      <c r="C49" s="268" t="s">
        <v>1438</v>
      </c>
      <c r="D49" s="269">
        <v>16226.91</v>
      </c>
      <c r="E49" s="270">
        <v>78726.98</v>
      </c>
      <c r="F49" s="270">
        <v>47950.559999999998</v>
      </c>
      <c r="G49" s="270">
        <v>32704.15</v>
      </c>
      <c r="H49" s="270">
        <v>38599.06</v>
      </c>
      <c r="I49" s="271">
        <v>43650.64</v>
      </c>
      <c r="J49" s="272">
        <v>30146.78</v>
      </c>
      <c r="K49" s="272">
        <v>30146.78</v>
      </c>
      <c r="L49" s="272">
        <v>30146.78</v>
      </c>
      <c r="M49" s="272">
        <v>30146.78</v>
      </c>
      <c r="N49" s="272">
        <v>30146.78</v>
      </c>
      <c r="O49" s="272">
        <v>30146.78</v>
      </c>
      <c r="P49" s="273">
        <v>46022</v>
      </c>
      <c r="Q49" s="274"/>
      <c r="R49" s="275">
        <v>438738.98</v>
      </c>
      <c r="S49" s="986">
        <f>+'State Allocation Formulas'!$L$25</f>
        <v>0.77239999999999998</v>
      </c>
      <c r="T49" s="276">
        <f t="shared" si="14"/>
        <v>338881.98815199995</v>
      </c>
      <c r="U49" s="277">
        <f t="shared" si="6"/>
        <v>257858.3</v>
      </c>
      <c r="V49" s="278">
        <f t="shared" si="7"/>
        <v>180880.68</v>
      </c>
      <c r="W49" s="275">
        <f t="shared" si="8"/>
        <v>438738.98</v>
      </c>
      <c r="X49" s="268"/>
      <c r="Y49" s="280" t="s">
        <v>1426</v>
      </c>
      <c r="Z49" s="268"/>
    </row>
    <row r="50" spans="1:26">
      <c r="A50" s="8">
        <v>41</v>
      </c>
      <c r="B50" s="268" t="s">
        <v>1413</v>
      </c>
      <c r="C50" s="268" t="s">
        <v>1439</v>
      </c>
      <c r="D50" s="269">
        <v>55182.26</v>
      </c>
      <c r="E50" s="270">
        <v>51675.71</v>
      </c>
      <c r="F50" s="270">
        <v>117859.57</v>
      </c>
      <c r="G50" s="270">
        <v>134681.64000000001</v>
      </c>
      <c r="H50" s="270">
        <v>114745.13</v>
      </c>
      <c r="I50" s="271">
        <v>151471.5</v>
      </c>
      <c r="J50" s="272">
        <v>25375.16</v>
      </c>
      <c r="K50" s="272">
        <v>25375.16</v>
      </c>
      <c r="L50" s="272">
        <v>25375.16</v>
      </c>
      <c r="M50" s="272">
        <v>25375.16</v>
      </c>
      <c r="N50" s="272">
        <v>25375.16</v>
      </c>
      <c r="O50" s="272">
        <v>25375.16</v>
      </c>
      <c r="P50" s="273">
        <v>46022</v>
      </c>
      <c r="Q50" s="274">
        <v>380</v>
      </c>
      <c r="R50" s="275">
        <v>777866.77</v>
      </c>
      <c r="S50" s="268"/>
      <c r="T50" s="276">
        <f t="shared" ref="T50:T53" si="15">+R50</f>
        <v>777866.77</v>
      </c>
      <c r="U50" s="277">
        <f t="shared" si="6"/>
        <v>625615.81000000006</v>
      </c>
      <c r="V50" s="278">
        <f t="shared" si="7"/>
        <v>152250.96</v>
      </c>
      <c r="W50" s="275">
        <f t="shared" si="8"/>
        <v>777866.77</v>
      </c>
      <c r="X50" s="276">
        <f t="shared" ref="X50" si="16">+T50</f>
        <v>777866.77</v>
      </c>
      <c r="Y50" s="280">
        <v>1</v>
      </c>
      <c r="Z50" s="268"/>
    </row>
    <row r="51" spans="1:26">
      <c r="A51" s="8">
        <v>42</v>
      </c>
      <c r="B51" s="268" t="s">
        <v>1413</v>
      </c>
      <c r="C51" s="268" t="s">
        <v>1440</v>
      </c>
      <c r="D51" s="269">
        <v>58.800000000000004</v>
      </c>
      <c r="E51" s="270">
        <v>7802.16</v>
      </c>
      <c r="F51" s="270">
        <v>20236.580000000002</v>
      </c>
      <c r="G51" s="270">
        <v>-49</v>
      </c>
      <c r="H51" s="270">
        <v>1377</v>
      </c>
      <c r="I51" s="271">
        <v>0</v>
      </c>
      <c r="J51" s="272">
        <v>0</v>
      </c>
      <c r="K51" s="272">
        <v>0</v>
      </c>
      <c r="L51" s="272">
        <v>0</v>
      </c>
      <c r="M51" s="272">
        <v>0</v>
      </c>
      <c r="N51" s="272">
        <v>0</v>
      </c>
      <c r="O51" s="272">
        <v>0</v>
      </c>
      <c r="P51" s="273">
        <v>42643</v>
      </c>
      <c r="Q51" s="274">
        <v>376</v>
      </c>
      <c r="R51" s="275">
        <v>29425.54</v>
      </c>
      <c r="S51" s="268"/>
      <c r="T51" s="276">
        <f t="shared" si="15"/>
        <v>29425.54</v>
      </c>
      <c r="U51" s="277">
        <f t="shared" si="6"/>
        <v>29425.54</v>
      </c>
      <c r="V51" s="278">
        <f t="shared" si="7"/>
        <v>0</v>
      </c>
      <c r="W51" s="275">
        <f t="shared" si="8"/>
        <v>29425.54</v>
      </c>
      <c r="X51" s="268"/>
      <c r="Y51" s="280" t="s">
        <v>1441</v>
      </c>
      <c r="Z51" s="268"/>
    </row>
    <row r="52" spans="1:26">
      <c r="A52" s="8">
        <v>43</v>
      </c>
      <c r="B52" s="268" t="s">
        <v>1413</v>
      </c>
      <c r="C52" s="268" t="s">
        <v>1442</v>
      </c>
      <c r="D52" s="269">
        <v>-241.59</v>
      </c>
      <c r="E52" s="270">
        <v>-12212.15</v>
      </c>
      <c r="F52" s="270">
        <v>13201.27</v>
      </c>
      <c r="G52" s="270">
        <v>3359.34</v>
      </c>
      <c r="H52" s="270">
        <v>8699.16</v>
      </c>
      <c r="I52" s="271">
        <v>9996.68</v>
      </c>
      <c r="J52" s="272">
        <v>0</v>
      </c>
      <c r="K52" s="272">
        <v>0</v>
      </c>
      <c r="L52" s="272">
        <v>0</v>
      </c>
      <c r="M52" s="272">
        <v>0</v>
      </c>
      <c r="N52" s="272">
        <v>75000</v>
      </c>
      <c r="O52" s="272">
        <v>0</v>
      </c>
      <c r="P52" s="273">
        <v>43100</v>
      </c>
      <c r="Q52" s="274">
        <v>378</v>
      </c>
      <c r="R52" s="275">
        <v>97802.71</v>
      </c>
      <c r="S52" s="268"/>
      <c r="T52" s="276">
        <f t="shared" si="15"/>
        <v>97802.71</v>
      </c>
      <c r="U52" s="277">
        <f t="shared" si="6"/>
        <v>22802.71</v>
      </c>
      <c r="V52" s="278">
        <f t="shared" si="7"/>
        <v>75000</v>
      </c>
      <c r="W52" s="275">
        <f t="shared" si="8"/>
        <v>97802.709999999992</v>
      </c>
      <c r="X52" s="276">
        <f t="shared" ref="X52" si="17">+T52</f>
        <v>97802.71</v>
      </c>
      <c r="Y52" s="280">
        <v>19</v>
      </c>
      <c r="Z52" s="268"/>
    </row>
    <row r="53" spans="1:26">
      <c r="A53" s="8">
        <v>44</v>
      </c>
      <c r="B53" s="268" t="s">
        <v>1413</v>
      </c>
      <c r="C53" s="268" t="s">
        <v>1443</v>
      </c>
      <c r="D53" s="269">
        <v>0</v>
      </c>
      <c r="E53" s="270">
        <v>3434.7200000000003</v>
      </c>
      <c r="F53" s="270">
        <v>3455.5</v>
      </c>
      <c r="G53" s="270">
        <v>4089.88</v>
      </c>
      <c r="H53" s="270">
        <v>3192.06</v>
      </c>
      <c r="I53" s="271">
        <v>0</v>
      </c>
      <c r="J53" s="272">
        <v>0</v>
      </c>
      <c r="K53" s="272">
        <v>0</v>
      </c>
      <c r="L53" s="272">
        <v>0</v>
      </c>
      <c r="M53" s="272">
        <v>0</v>
      </c>
      <c r="N53" s="272">
        <v>0</v>
      </c>
      <c r="O53" s="272">
        <v>0</v>
      </c>
      <c r="P53" s="273">
        <v>42810</v>
      </c>
      <c r="Q53" s="274">
        <v>376</v>
      </c>
      <c r="R53" s="275">
        <v>14172.16</v>
      </c>
      <c r="S53" s="268"/>
      <c r="T53" s="276">
        <f t="shared" si="15"/>
        <v>14172.16</v>
      </c>
      <c r="U53" s="277">
        <f t="shared" si="6"/>
        <v>14172.16</v>
      </c>
      <c r="V53" s="278">
        <f t="shared" si="7"/>
        <v>0</v>
      </c>
      <c r="W53" s="275">
        <f t="shared" si="8"/>
        <v>14172.16</v>
      </c>
      <c r="X53" s="279"/>
      <c r="Y53" s="280" t="s">
        <v>1444</v>
      </c>
      <c r="Z53" s="268"/>
    </row>
    <row r="54" spans="1:26">
      <c r="A54" s="8">
        <v>45</v>
      </c>
      <c r="B54" s="268" t="s">
        <v>1413</v>
      </c>
      <c r="C54" s="268" t="s">
        <v>1445</v>
      </c>
      <c r="D54" s="269">
        <v>95867.94</v>
      </c>
      <c r="E54" s="270">
        <v>3845.17</v>
      </c>
      <c r="F54" s="270">
        <v>45604.25</v>
      </c>
      <c r="G54" s="270">
        <v>6382.88</v>
      </c>
      <c r="H54" s="270">
        <v>34460.33</v>
      </c>
      <c r="I54" s="271">
        <v>-3542.42</v>
      </c>
      <c r="J54" s="272">
        <v>0</v>
      </c>
      <c r="K54" s="272">
        <v>0</v>
      </c>
      <c r="L54" s="272">
        <v>0</v>
      </c>
      <c r="M54" s="272">
        <v>0</v>
      </c>
      <c r="N54" s="272">
        <v>0</v>
      </c>
      <c r="O54" s="272">
        <v>0</v>
      </c>
      <c r="P54" s="274"/>
      <c r="Q54" s="274"/>
      <c r="R54" s="275">
        <v>182618.15</v>
      </c>
      <c r="S54" s="268"/>
      <c r="T54" s="276"/>
      <c r="U54" s="277">
        <f t="shared" si="6"/>
        <v>182618.15</v>
      </c>
      <c r="V54" s="278">
        <f t="shared" si="7"/>
        <v>0</v>
      </c>
      <c r="W54" s="275">
        <f t="shared" si="8"/>
        <v>182618.15</v>
      </c>
      <c r="X54" s="268"/>
      <c r="Y54" s="280"/>
      <c r="Z54" s="268"/>
    </row>
    <row r="55" spans="1:26">
      <c r="A55" s="8">
        <v>46</v>
      </c>
      <c r="B55" s="268" t="s">
        <v>1413</v>
      </c>
      <c r="C55" s="268" t="s">
        <v>1446</v>
      </c>
      <c r="D55" s="269">
        <v>2409.87</v>
      </c>
      <c r="E55" s="270">
        <v>28588.36</v>
      </c>
      <c r="F55" s="270">
        <v>3748.52</v>
      </c>
      <c r="G55" s="270">
        <v>1542.54</v>
      </c>
      <c r="H55" s="270">
        <v>2553.92</v>
      </c>
      <c r="I55" s="271">
        <v>27719.61</v>
      </c>
      <c r="J55" s="272">
        <v>253141.74000000002</v>
      </c>
      <c r="K55" s="272">
        <v>381027.81</v>
      </c>
      <c r="L55" s="272">
        <v>655082.67000000004</v>
      </c>
      <c r="M55" s="272">
        <v>861079.46</v>
      </c>
      <c r="N55" s="272">
        <v>644470.81000000006</v>
      </c>
      <c r="O55" s="272">
        <v>331800.07</v>
      </c>
      <c r="P55" s="273">
        <v>44531</v>
      </c>
      <c r="Q55" s="274"/>
      <c r="R55" s="275">
        <v>3193165.38</v>
      </c>
      <c r="S55" s="268"/>
      <c r="T55" s="276">
        <f t="shared" ref="T55:T56" si="18">+R55</f>
        <v>3193165.38</v>
      </c>
      <c r="U55" s="277">
        <f t="shared" si="6"/>
        <v>66562.820000000007</v>
      </c>
      <c r="V55" s="278">
        <f t="shared" si="7"/>
        <v>3126602.56</v>
      </c>
      <c r="W55" s="275">
        <f t="shared" si="8"/>
        <v>3193165.38</v>
      </c>
      <c r="X55" s="268"/>
      <c r="Y55" s="280" t="s">
        <v>1441</v>
      </c>
      <c r="Z55" s="268"/>
    </row>
    <row r="56" spans="1:26">
      <c r="A56" s="8">
        <v>47</v>
      </c>
      <c r="B56" s="268" t="s">
        <v>1413</v>
      </c>
      <c r="C56" s="268" t="s">
        <v>1447</v>
      </c>
      <c r="D56" s="269">
        <v>13508.300000000001</v>
      </c>
      <c r="E56" s="270">
        <v>30443.24</v>
      </c>
      <c r="F56" s="270">
        <v>62108.880000000005</v>
      </c>
      <c r="G56" s="270">
        <v>21952.49</v>
      </c>
      <c r="H56" s="270">
        <v>111589.23</v>
      </c>
      <c r="I56" s="271">
        <v>27022.850000000002</v>
      </c>
      <c r="J56" s="272">
        <v>465089.71</v>
      </c>
      <c r="K56" s="272">
        <v>467654.68</v>
      </c>
      <c r="L56" s="272">
        <v>210929.30000000002</v>
      </c>
      <c r="M56" s="272">
        <v>212092.57</v>
      </c>
      <c r="N56" s="272">
        <v>205546.25</v>
      </c>
      <c r="O56" s="272">
        <v>205546.25</v>
      </c>
      <c r="P56" s="273">
        <v>43039</v>
      </c>
      <c r="Q56" s="274"/>
      <c r="R56" s="275">
        <v>2033483.75</v>
      </c>
      <c r="S56" s="268"/>
      <c r="T56" s="276">
        <f t="shared" si="18"/>
        <v>2033483.75</v>
      </c>
      <c r="U56" s="277">
        <f t="shared" si="6"/>
        <v>266624.99</v>
      </c>
      <c r="V56" s="278">
        <f t="shared" si="7"/>
        <v>1766858.76</v>
      </c>
      <c r="W56" s="275">
        <f t="shared" si="8"/>
        <v>2033483.75</v>
      </c>
      <c r="X56" s="268"/>
      <c r="Y56" s="280" t="s">
        <v>1441</v>
      </c>
      <c r="Z56" s="268"/>
    </row>
    <row r="57" spans="1:26">
      <c r="A57" s="8">
        <v>48</v>
      </c>
      <c r="B57" s="268" t="s">
        <v>1413</v>
      </c>
      <c r="C57" s="268" t="s">
        <v>1448</v>
      </c>
      <c r="D57" s="269">
        <v>47821.770000000004</v>
      </c>
      <c r="E57" s="270">
        <v>5899.81</v>
      </c>
      <c r="F57" s="270">
        <v>48333.93</v>
      </c>
      <c r="G57" s="270">
        <v>184273.71</v>
      </c>
      <c r="H57" s="270">
        <v>420724.88</v>
      </c>
      <c r="I57" s="271">
        <v>122117.23</v>
      </c>
      <c r="J57" s="272">
        <v>417942.54000000004</v>
      </c>
      <c r="K57" s="272">
        <v>420247.49</v>
      </c>
      <c r="L57" s="272">
        <v>422565.16000000003</v>
      </c>
      <c r="M57" s="272">
        <v>424895.60000000003</v>
      </c>
      <c r="N57" s="272">
        <v>389291.9</v>
      </c>
      <c r="O57" s="272">
        <v>126490</v>
      </c>
      <c r="P57" s="274"/>
      <c r="Q57" s="274"/>
      <c r="R57" s="275">
        <v>3030604.02</v>
      </c>
      <c r="S57" s="268"/>
      <c r="T57" s="276"/>
      <c r="U57" s="277">
        <f t="shared" si="6"/>
        <v>829171.33</v>
      </c>
      <c r="V57" s="278">
        <f t="shared" si="7"/>
        <v>2201432.69</v>
      </c>
      <c r="W57" s="275">
        <f t="shared" si="8"/>
        <v>3030604.02</v>
      </c>
      <c r="X57" s="268"/>
      <c r="Y57" s="280"/>
      <c r="Z57" s="268"/>
    </row>
    <row r="58" spans="1:26">
      <c r="A58" s="8">
        <v>49</v>
      </c>
      <c r="B58" s="268" t="s">
        <v>1413</v>
      </c>
      <c r="C58" s="268" t="s">
        <v>1449</v>
      </c>
      <c r="D58" s="269">
        <v>161.38</v>
      </c>
      <c r="E58" s="270">
        <v>162.36000000000001</v>
      </c>
      <c r="F58" s="270">
        <v>163.34</v>
      </c>
      <c r="G58" s="270">
        <v>149.82</v>
      </c>
      <c r="H58" s="270">
        <v>150.64000000000001</v>
      </c>
      <c r="I58" s="271">
        <v>151.47999999999999</v>
      </c>
      <c r="J58" s="272">
        <v>152.31</v>
      </c>
      <c r="K58" s="272">
        <v>153.15</v>
      </c>
      <c r="L58" s="272">
        <v>153.99</v>
      </c>
      <c r="M58" s="272">
        <v>31777.350000000002</v>
      </c>
      <c r="N58" s="272">
        <v>31952.59</v>
      </c>
      <c r="O58" s="272">
        <v>506.32</v>
      </c>
      <c r="P58" s="274"/>
      <c r="Q58" s="274"/>
      <c r="R58" s="275">
        <v>65634.73</v>
      </c>
      <c r="S58" s="268"/>
      <c r="T58" s="276"/>
      <c r="U58" s="277">
        <f t="shared" si="6"/>
        <v>939.0200000000001</v>
      </c>
      <c r="V58" s="278">
        <f t="shared" si="7"/>
        <v>64695.71</v>
      </c>
      <c r="W58" s="275">
        <f t="shared" si="8"/>
        <v>65634.73</v>
      </c>
      <c r="X58" s="268"/>
      <c r="Y58" s="280"/>
      <c r="Z58" s="268"/>
    </row>
    <row r="59" spans="1:26">
      <c r="A59" s="8">
        <v>50</v>
      </c>
      <c r="B59" s="268" t="s">
        <v>1413</v>
      </c>
      <c r="C59" s="268" t="s">
        <v>1450</v>
      </c>
      <c r="D59" s="269">
        <v>0</v>
      </c>
      <c r="E59" s="270">
        <v>718.92</v>
      </c>
      <c r="F59" s="270">
        <v>808.77</v>
      </c>
      <c r="G59" s="270">
        <v>0</v>
      </c>
      <c r="H59" s="270">
        <v>447.34000000000003</v>
      </c>
      <c r="I59" s="271">
        <v>0</v>
      </c>
      <c r="J59" s="272">
        <v>0</v>
      </c>
      <c r="K59" s="272">
        <v>0</v>
      </c>
      <c r="L59" s="272">
        <v>0</v>
      </c>
      <c r="M59" s="272">
        <v>0</v>
      </c>
      <c r="N59" s="272">
        <v>0</v>
      </c>
      <c r="O59" s="272">
        <v>0</v>
      </c>
      <c r="P59" s="273">
        <v>42735</v>
      </c>
      <c r="Q59" s="274"/>
      <c r="R59" s="275">
        <v>1975.03</v>
      </c>
      <c r="S59" s="268"/>
      <c r="T59" s="276">
        <f t="shared" ref="T59:T62" si="19">+R59</f>
        <v>1975.03</v>
      </c>
      <c r="U59" s="277">
        <f t="shared" si="6"/>
        <v>1975.0300000000002</v>
      </c>
      <c r="V59" s="278">
        <f t="shared" si="7"/>
        <v>0</v>
      </c>
      <c r="W59" s="275">
        <f t="shared" si="8"/>
        <v>1975.0300000000002</v>
      </c>
      <c r="X59" s="268"/>
      <c r="Y59" s="280" t="s">
        <v>1441</v>
      </c>
      <c r="Z59" s="268"/>
    </row>
    <row r="60" spans="1:26">
      <c r="A60" s="8">
        <v>51</v>
      </c>
      <c r="B60" s="268" t="s">
        <v>1413</v>
      </c>
      <c r="C60" s="268" t="s">
        <v>1451</v>
      </c>
      <c r="D60" s="269">
        <v>0</v>
      </c>
      <c r="E60" s="270">
        <v>0</v>
      </c>
      <c r="F60" s="270">
        <v>0</v>
      </c>
      <c r="G60" s="270">
        <v>0</v>
      </c>
      <c r="H60" s="270">
        <v>52745.33</v>
      </c>
      <c r="I60" s="271">
        <v>6744.02</v>
      </c>
      <c r="J60" s="272">
        <v>306.19</v>
      </c>
      <c r="K60" s="272">
        <v>632757.87</v>
      </c>
      <c r="L60" s="272">
        <v>636247.54</v>
      </c>
      <c r="M60" s="272">
        <v>632450</v>
      </c>
      <c r="N60" s="272">
        <v>0</v>
      </c>
      <c r="O60" s="272">
        <v>0</v>
      </c>
      <c r="P60" s="273">
        <v>42993</v>
      </c>
      <c r="Q60" s="274"/>
      <c r="R60" s="275">
        <v>1961250.9500000002</v>
      </c>
      <c r="S60" s="268"/>
      <c r="T60" s="276">
        <f t="shared" si="19"/>
        <v>1961250.9500000002</v>
      </c>
      <c r="U60" s="277">
        <f t="shared" si="6"/>
        <v>59489.350000000006</v>
      </c>
      <c r="V60" s="278">
        <f t="shared" si="7"/>
        <v>1901761.6</v>
      </c>
      <c r="W60" s="275">
        <f t="shared" si="8"/>
        <v>1961250.9500000002</v>
      </c>
      <c r="X60" s="268"/>
      <c r="Y60" s="280" t="s">
        <v>1441</v>
      </c>
      <c r="Z60" s="268"/>
    </row>
    <row r="61" spans="1:26">
      <c r="A61" s="8">
        <v>52</v>
      </c>
      <c r="B61" s="268" t="s">
        <v>1413</v>
      </c>
      <c r="C61" s="268" t="s">
        <v>1452</v>
      </c>
      <c r="D61" s="269">
        <v>0</v>
      </c>
      <c r="E61" s="270">
        <v>0</v>
      </c>
      <c r="F61" s="270">
        <v>13660.92</v>
      </c>
      <c r="G61" s="270">
        <v>5570.43</v>
      </c>
      <c r="H61" s="270">
        <v>67349.39</v>
      </c>
      <c r="I61" s="271">
        <v>436956.91000000003</v>
      </c>
      <c r="J61" s="272">
        <v>635240.45000000007</v>
      </c>
      <c r="K61" s="272">
        <v>278247.3</v>
      </c>
      <c r="L61" s="272">
        <v>7828.33</v>
      </c>
      <c r="M61" s="272">
        <v>7871.51</v>
      </c>
      <c r="N61" s="272">
        <v>7914.92</v>
      </c>
      <c r="O61" s="272">
        <v>7958.5700000000006</v>
      </c>
      <c r="P61" s="273">
        <v>43100</v>
      </c>
      <c r="Q61" s="274"/>
      <c r="R61" s="275">
        <v>1468598.73</v>
      </c>
      <c r="S61" s="268"/>
      <c r="T61" s="276">
        <f t="shared" si="19"/>
        <v>1468598.73</v>
      </c>
      <c r="U61" s="277">
        <f t="shared" si="6"/>
        <v>523537.65</v>
      </c>
      <c r="V61" s="278">
        <f t="shared" si="7"/>
        <v>945061.08</v>
      </c>
      <c r="W61" s="275">
        <f t="shared" si="8"/>
        <v>1468598.73</v>
      </c>
      <c r="X61" s="268"/>
      <c r="Y61" s="280" t="s">
        <v>1441</v>
      </c>
      <c r="Z61" s="268"/>
    </row>
    <row r="62" spans="1:26">
      <c r="A62" s="8">
        <v>53</v>
      </c>
      <c r="B62" s="268" t="s">
        <v>1413</v>
      </c>
      <c r="C62" s="268" t="s">
        <v>1453</v>
      </c>
      <c r="D62" s="269">
        <v>47337.67</v>
      </c>
      <c r="E62" s="270">
        <v>71.81</v>
      </c>
      <c r="F62" s="270">
        <v>15571.87</v>
      </c>
      <c r="G62" s="270">
        <v>18753.09</v>
      </c>
      <c r="H62" s="270">
        <v>0</v>
      </c>
      <c r="I62" s="271">
        <v>4155.0200000000004</v>
      </c>
      <c r="J62" s="272">
        <v>14999.99</v>
      </c>
      <c r="K62" s="272">
        <v>24999.99</v>
      </c>
      <c r="L62" s="272">
        <v>55787.55</v>
      </c>
      <c r="M62" s="272">
        <v>28718.62</v>
      </c>
      <c r="N62" s="272">
        <v>19999.990000000002</v>
      </c>
      <c r="O62" s="272">
        <v>15405.720000000001</v>
      </c>
      <c r="P62" s="273">
        <v>46022</v>
      </c>
      <c r="Q62" s="274">
        <v>376</v>
      </c>
      <c r="R62" s="275">
        <v>245801.32</v>
      </c>
      <c r="S62" s="268"/>
      <c r="T62" s="276">
        <f t="shared" si="19"/>
        <v>245801.32</v>
      </c>
      <c r="U62" s="277">
        <f t="shared" si="6"/>
        <v>85889.46</v>
      </c>
      <c r="V62" s="278">
        <f t="shared" si="7"/>
        <v>159911.85999999999</v>
      </c>
      <c r="W62" s="275">
        <f t="shared" si="8"/>
        <v>245801.32</v>
      </c>
      <c r="X62" s="276">
        <f t="shared" ref="X62" si="20">+T62</f>
        <v>245801.32</v>
      </c>
      <c r="Y62" s="280">
        <v>24</v>
      </c>
      <c r="Z62" s="268"/>
    </row>
    <row r="63" spans="1:26">
      <c r="A63" s="8">
        <v>54</v>
      </c>
      <c r="B63" s="268" t="s">
        <v>1413</v>
      </c>
      <c r="C63" s="268" t="s">
        <v>1454</v>
      </c>
      <c r="D63" s="269">
        <v>9728.630000000001</v>
      </c>
      <c r="E63" s="270">
        <v>0</v>
      </c>
      <c r="F63" s="270">
        <v>0</v>
      </c>
      <c r="G63" s="270">
        <v>0</v>
      </c>
      <c r="H63" s="270">
        <v>0</v>
      </c>
      <c r="I63" s="271">
        <v>0</v>
      </c>
      <c r="J63" s="272">
        <v>32893.78</v>
      </c>
      <c r="K63" s="272">
        <v>22893.77</v>
      </c>
      <c r="L63" s="272">
        <v>14999.99</v>
      </c>
      <c r="M63" s="272">
        <v>38972.42</v>
      </c>
      <c r="N63" s="272">
        <v>32893.79</v>
      </c>
      <c r="O63" s="272">
        <v>23612.77</v>
      </c>
      <c r="P63" s="274"/>
      <c r="Q63" s="274"/>
      <c r="R63" s="275">
        <v>175995.15</v>
      </c>
      <c r="S63" s="268"/>
      <c r="T63" s="276"/>
      <c r="U63" s="277">
        <f t="shared" si="6"/>
        <v>9728.630000000001</v>
      </c>
      <c r="V63" s="278">
        <f t="shared" si="7"/>
        <v>166266.51999999999</v>
      </c>
      <c r="W63" s="275">
        <f t="shared" si="8"/>
        <v>175995.15</v>
      </c>
      <c r="X63" s="268"/>
      <c r="Y63" s="280"/>
      <c r="Z63" s="268"/>
    </row>
    <row r="64" spans="1:26">
      <c r="A64" s="8">
        <v>55</v>
      </c>
      <c r="B64" s="268" t="s">
        <v>1413</v>
      </c>
      <c r="C64" s="268" t="s">
        <v>1455</v>
      </c>
      <c r="D64" s="269">
        <v>0</v>
      </c>
      <c r="E64" s="270">
        <v>265.63</v>
      </c>
      <c r="F64" s="270">
        <v>9157.73</v>
      </c>
      <c r="G64" s="270">
        <v>126480.43000000001</v>
      </c>
      <c r="H64" s="270">
        <v>178259.96</v>
      </c>
      <c r="I64" s="271">
        <v>287444.65000000002</v>
      </c>
      <c r="J64" s="272">
        <v>508507.55</v>
      </c>
      <c r="K64" s="272">
        <v>258331.97</v>
      </c>
      <c r="L64" s="272">
        <v>133266.67000000001</v>
      </c>
      <c r="M64" s="272">
        <v>7511.63</v>
      </c>
      <c r="N64" s="272">
        <v>7553.06</v>
      </c>
      <c r="O64" s="272">
        <v>7594.72</v>
      </c>
      <c r="P64" s="273">
        <v>43100</v>
      </c>
      <c r="Q64" s="274">
        <v>376</v>
      </c>
      <c r="R64" s="275">
        <v>1524374</v>
      </c>
      <c r="S64" s="268"/>
      <c r="T64" s="276">
        <f>+R64</f>
        <v>1524374</v>
      </c>
      <c r="U64" s="277">
        <f t="shared" si="6"/>
        <v>601608.4</v>
      </c>
      <c r="V64" s="278">
        <f t="shared" si="7"/>
        <v>922765.60000000009</v>
      </c>
      <c r="W64" s="275">
        <f t="shared" si="8"/>
        <v>1524374</v>
      </c>
      <c r="X64" s="276">
        <f t="shared" ref="X64" si="21">+T64</f>
        <v>1524374</v>
      </c>
      <c r="Y64" s="280">
        <v>20</v>
      </c>
      <c r="Z64" s="268"/>
    </row>
    <row r="65" spans="1:26">
      <c r="A65" s="8">
        <v>56</v>
      </c>
      <c r="B65" s="268" t="s">
        <v>1413</v>
      </c>
      <c r="C65" s="268" t="s">
        <v>1456</v>
      </c>
      <c r="D65" s="269">
        <v>111.42</v>
      </c>
      <c r="E65" s="270">
        <v>112.10000000000001</v>
      </c>
      <c r="F65" s="270">
        <v>112.77</v>
      </c>
      <c r="G65" s="270">
        <v>103.44</v>
      </c>
      <c r="H65" s="270">
        <v>1969.68</v>
      </c>
      <c r="I65" s="271">
        <v>15647.970000000001</v>
      </c>
      <c r="J65" s="272">
        <v>253179.63</v>
      </c>
      <c r="K65" s="272">
        <v>191330.91</v>
      </c>
      <c r="L65" s="272">
        <v>15300.11</v>
      </c>
      <c r="M65" s="272">
        <v>2735.4900000000002</v>
      </c>
      <c r="N65" s="272">
        <v>2750.57</v>
      </c>
      <c r="O65" s="272">
        <v>2765.7400000000002</v>
      </c>
      <c r="P65" s="273">
        <v>43100</v>
      </c>
      <c r="Q65" s="274">
        <v>376</v>
      </c>
      <c r="R65" s="275">
        <v>486119.83</v>
      </c>
      <c r="S65" s="268"/>
      <c r="T65" s="276"/>
      <c r="U65" s="277">
        <f t="shared" si="6"/>
        <v>18057.38</v>
      </c>
      <c r="V65" s="278">
        <f t="shared" si="7"/>
        <v>468062.45</v>
      </c>
      <c r="W65" s="275">
        <f t="shared" si="8"/>
        <v>486119.83</v>
      </c>
      <c r="X65" s="268"/>
      <c r="Y65" s="280"/>
      <c r="Z65" s="268"/>
    </row>
    <row r="66" spans="1:26">
      <c r="A66" s="8">
        <v>57</v>
      </c>
      <c r="B66" s="268" t="s">
        <v>1413</v>
      </c>
      <c r="C66" s="268" t="s">
        <v>1457</v>
      </c>
      <c r="D66" s="269">
        <v>0</v>
      </c>
      <c r="E66" s="270">
        <v>0</v>
      </c>
      <c r="F66" s="270">
        <v>0</v>
      </c>
      <c r="G66" s="270">
        <v>0</v>
      </c>
      <c r="H66" s="270">
        <v>0</v>
      </c>
      <c r="I66" s="271">
        <v>177619.28</v>
      </c>
      <c r="J66" s="272">
        <v>252980</v>
      </c>
      <c r="K66" s="272">
        <v>127885.18000000001</v>
      </c>
      <c r="L66" s="272">
        <v>2100.4700000000003</v>
      </c>
      <c r="M66" s="272">
        <v>2112.0500000000002</v>
      </c>
      <c r="N66" s="272">
        <v>0</v>
      </c>
      <c r="O66" s="272">
        <v>0</v>
      </c>
      <c r="P66" s="273">
        <v>43100</v>
      </c>
      <c r="Q66" s="274">
        <v>376</v>
      </c>
      <c r="R66" s="275">
        <v>562696.98</v>
      </c>
      <c r="S66" s="268"/>
      <c r="T66" s="276"/>
      <c r="U66" s="277">
        <f t="shared" si="6"/>
        <v>177619.28</v>
      </c>
      <c r="V66" s="278">
        <f t="shared" si="7"/>
        <v>385077.69999999995</v>
      </c>
      <c r="W66" s="275">
        <f t="shared" si="8"/>
        <v>562696.98</v>
      </c>
      <c r="X66" s="268"/>
      <c r="Y66" s="280"/>
      <c r="Z66" s="268"/>
    </row>
    <row r="67" spans="1:26">
      <c r="A67" s="8">
        <v>58</v>
      </c>
      <c r="B67" s="268" t="s">
        <v>1413</v>
      </c>
      <c r="C67" s="268" t="s">
        <v>1458</v>
      </c>
      <c r="D67" s="269">
        <v>9233.2199999999993</v>
      </c>
      <c r="E67" s="270">
        <v>9289.07</v>
      </c>
      <c r="F67" s="270">
        <v>9345.26</v>
      </c>
      <c r="G67" s="270">
        <v>8571.81</v>
      </c>
      <c r="H67" s="270">
        <v>66407.25</v>
      </c>
      <c r="I67" s="271">
        <v>366.23</v>
      </c>
      <c r="J67" s="272">
        <v>8987.34</v>
      </c>
      <c r="K67" s="272">
        <v>9036.9</v>
      </c>
      <c r="L67" s="272">
        <v>75493.990000000005</v>
      </c>
      <c r="M67" s="272">
        <v>9503.09</v>
      </c>
      <c r="N67" s="272">
        <v>9555.5</v>
      </c>
      <c r="O67" s="272">
        <v>9608.2000000000007</v>
      </c>
      <c r="P67" s="273">
        <v>43100</v>
      </c>
      <c r="Q67" s="274">
        <v>378</v>
      </c>
      <c r="R67" s="275">
        <v>225397.86000000002</v>
      </c>
      <c r="S67" s="268"/>
      <c r="T67" s="276">
        <f>+R67</f>
        <v>225397.86000000002</v>
      </c>
      <c r="U67" s="277">
        <f t="shared" si="6"/>
        <v>103212.84</v>
      </c>
      <c r="V67" s="278">
        <f t="shared" si="7"/>
        <v>122185.02</v>
      </c>
      <c r="W67" s="275">
        <f t="shared" si="8"/>
        <v>225397.86</v>
      </c>
      <c r="X67" s="276">
        <f t="shared" ref="X67" si="22">+T67</f>
        <v>225397.86000000002</v>
      </c>
      <c r="Y67" s="280">
        <v>8</v>
      </c>
      <c r="Z67" s="268"/>
    </row>
    <row r="68" spans="1:26">
      <c r="A68" s="8">
        <v>59</v>
      </c>
      <c r="B68" s="268" t="s">
        <v>1413</v>
      </c>
      <c r="C68" s="268" t="s">
        <v>1459</v>
      </c>
      <c r="D68" s="269">
        <v>0</v>
      </c>
      <c r="E68" s="270">
        <v>-201.38</v>
      </c>
      <c r="F68" s="270">
        <v>0</v>
      </c>
      <c r="G68" s="270">
        <v>0</v>
      </c>
      <c r="H68" s="270">
        <v>0</v>
      </c>
      <c r="I68" s="271">
        <v>0</v>
      </c>
      <c r="J68" s="272">
        <v>0</v>
      </c>
      <c r="K68" s="272">
        <v>0</v>
      </c>
      <c r="L68" s="272">
        <v>0</v>
      </c>
      <c r="M68" s="272">
        <v>0</v>
      </c>
      <c r="N68" s="272">
        <v>0</v>
      </c>
      <c r="O68" s="272">
        <v>0</v>
      </c>
      <c r="P68" s="274"/>
      <c r="Q68" s="274"/>
      <c r="R68" s="275">
        <v>-201.38</v>
      </c>
      <c r="S68" s="268"/>
      <c r="T68" s="276"/>
      <c r="U68" s="277">
        <f t="shared" si="6"/>
        <v>-201.38</v>
      </c>
      <c r="V68" s="278">
        <f t="shared" si="7"/>
        <v>0</v>
      </c>
      <c r="W68" s="275">
        <f t="shared" si="8"/>
        <v>-201.38</v>
      </c>
      <c r="X68" s="268"/>
      <c r="Y68" s="280"/>
      <c r="Z68" s="268"/>
    </row>
    <row r="69" spans="1:26">
      <c r="A69" s="8">
        <v>60</v>
      </c>
      <c r="B69" s="268" t="s">
        <v>1413</v>
      </c>
      <c r="C69" s="268" t="s">
        <v>1460</v>
      </c>
      <c r="D69" s="269">
        <v>0</v>
      </c>
      <c r="E69" s="270">
        <v>0</v>
      </c>
      <c r="F69" s="270">
        <v>0</v>
      </c>
      <c r="G69" s="270">
        <v>0</v>
      </c>
      <c r="H69" s="270">
        <v>0</v>
      </c>
      <c r="I69" s="271">
        <v>18107.37</v>
      </c>
      <c r="J69" s="272">
        <v>0</v>
      </c>
      <c r="K69" s="272">
        <v>0</v>
      </c>
      <c r="L69" s="272">
        <v>88543</v>
      </c>
      <c r="M69" s="272">
        <v>126490</v>
      </c>
      <c r="N69" s="272">
        <v>0</v>
      </c>
      <c r="O69" s="272">
        <v>0</v>
      </c>
      <c r="P69" s="273">
        <v>42962</v>
      </c>
      <c r="Q69" s="274">
        <v>376</v>
      </c>
      <c r="R69" s="275">
        <v>233140.37</v>
      </c>
      <c r="S69" s="268"/>
      <c r="T69" s="276">
        <f t="shared" ref="T69:T71" si="23">+R69</f>
        <v>233140.37</v>
      </c>
      <c r="U69" s="277">
        <f t="shared" si="6"/>
        <v>18107.37</v>
      </c>
      <c r="V69" s="278">
        <f t="shared" si="7"/>
        <v>215033</v>
      </c>
      <c r="W69" s="275">
        <f t="shared" si="8"/>
        <v>233140.37</v>
      </c>
      <c r="X69" s="279">
        <f t="shared" ref="X69" si="24">+T69</f>
        <v>233140.37</v>
      </c>
      <c r="Y69" s="280">
        <v>52</v>
      </c>
      <c r="Z69" s="268"/>
    </row>
    <row r="70" spans="1:26">
      <c r="A70" s="8">
        <v>61</v>
      </c>
      <c r="B70" s="268" t="s">
        <v>1413</v>
      </c>
      <c r="C70" s="268" t="s">
        <v>1461</v>
      </c>
      <c r="D70" s="269">
        <v>169.19</v>
      </c>
      <c r="E70" s="270">
        <v>170.22</v>
      </c>
      <c r="F70" s="270">
        <v>171.24</v>
      </c>
      <c r="G70" s="270">
        <v>157.07</v>
      </c>
      <c r="H70" s="270">
        <v>6995.9800000000005</v>
      </c>
      <c r="I70" s="271">
        <v>758.09</v>
      </c>
      <c r="J70" s="272">
        <v>31822.21</v>
      </c>
      <c r="K70" s="272">
        <v>19348.71</v>
      </c>
      <c r="L70" s="272">
        <v>6806.41</v>
      </c>
      <c r="M70" s="272">
        <v>11843.960000000001</v>
      </c>
      <c r="N70" s="272">
        <v>0</v>
      </c>
      <c r="O70" s="272">
        <v>0</v>
      </c>
      <c r="P70" s="273">
        <v>43039</v>
      </c>
      <c r="Q70" s="274">
        <v>376</v>
      </c>
      <c r="R70" s="275">
        <v>78243.08</v>
      </c>
      <c r="S70" s="268"/>
      <c r="T70" s="276">
        <f t="shared" si="23"/>
        <v>78243.08</v>
      </c>
      <c r="U70" s="277">
        <f t="shared" si="6"/>
        <v>8421.7900000000009</v>
      </c>
      <c r="V70" s="278">
        <f t="shared" si="7"/>
        <v>69821.290000000008</v>
      </c>
      <c r="W70" s="275">
        <f t="shared" si="8"/>
        <v>78243.080000000016</v>
      </c>
      <c r="X70" s="268"/>
      <c r="Y70" s="280" t="s">
        <v>1441</v>
      </c>
      <c r="Z70" s="268"/>
    </row>
    <row r="71" spans="1:26">
      <c r="A71" s="8">
        <v>62</v>
      </c>
      <c r="B71" s="268" t="s">
        <v>1413</v>
      </c>
      <c r="C71" s="268" t="s">
        <v>1462</v>
      </c>
      <c r="D71" s="269">
        <v>4804.3599999999997</v>
      </c>
      <c r="E71" s="270">
        <v>5192.38</v>
      </c>
      <c r="F71" s="270">
        <v>68244.149999999994</v>
      </c>
      <c r="G71" s="270">
        <v>-1980.78</v>
      </c>
      <c r="H71" s="270">
        <v>0</v>
      </c>
      <c r="I71" s="271">
        <v>0</v>
      </c>
      <c r="J71" s="272">
        <v>0</v>
      </c>
      <c r="K71" s="272">
        <v>0</v>
      </c>
      <c r="L71" s="272">
        <v>0</v>
      </c>
      <c r="M71" s="272">
        <v>0</v>
      </c>
      <c r="N71" s="272">
        <v>0</v>
      </c>
      <c r="O71" s="272">
        <v>0</v>
      </c>
      <c r="P71" s="273">
        <v>42735</v>
      </c>
      <c r="Q71" s="274">
        <v>376</v>
      </c>
      <c r="R71" s="275">
        <v>76260.11</v>
      </c>
      <c r="S71" s="268"/>
      <c r="T71" s="276">
        <f t="shared" si="23"/>
        <v>76260.11</v>
      </c>
      <c r="U71" s="277">
        <f t="shared" si="6"/>
        <v>76260.11</v>
      </c>
      <c r="V71" s="278">
        <f t="shared" si="7"/>
        <v>0</v>
      </c>
      <c r="W71" s="275">
        <f t="shared" si="8"/>
        <v>76260.11</v>
      </c>
      <c r="X71" s="276">
        <f t="shared" ref="X71" si="25">+T71</f>
        <v>76260.11</v>
      </c>
      <c r="Y71" s="280">
        <v>39</v>
      </c>
      <c r="Z71" s="268"/>
    </row>
    <row r="72" spans="1:26">
      <c r="A72" s="8">
        <v>63</v>
      </c>
      <c r="B72" s="268" t="s">
        <v>1413</v>
      </c>
      <c r="C72" s="268" t="s">
        <v>1463</v>
      </c>
      <c r="D72" s="269">
        <v>-8308.2900000000009</v>
      </c>
      <c r="E72" s="270">
        <v>203.88</v>
      </c>
      <c r="F72" s="270">
        <v>0</v>
      </c>
      <c r="G72" s="270">
        <v>-504.77000000000004</v>
      </c>
      <c r="H72" s="270">
        <v>1.73</v>
      </c>
      <c r="I72" s="271">
        <v>0</v>
      </c>
      <c r="J72" s="272">
        <v>0</v>
      </c>
      <c r="K72" s="272">
        <v>0</v>
      </c>
      <c r="L72" s="272">
        <v>0</v>
      </c>
      <c r="M72" s="272">
        <v>0</v>
      </c>
      <c r="N72" s="272">
        <v>0</v>
      </c>
      <c r="O72" s="272">
        <v>0</v>
      </c>
      <c r="P72" s="274"/>
      <c r="Q72" s="274"/>
      <c r="R72" s="275">
        <v>-8607.4500000000007</v>
      </c>
      <c r="S72" s="268"/>
      <c r="T72" s="276"/>
      <c r="U72" s="277">
        <f t="shared" si="6"/>
        <v>-8607.4500000000007</v>
      </c>
      <c r="V72" s="278">
        <f t="shared" si="7"/>
        <v>0</v>
      </c>
      <c r="W72" s="275">
        <f t="shared" si="8"/>
        <v>-8607.4500000000007</v>
      </c>
      <c r="X72" s="268"/>
      <c r="Y72" s="280"/>
      <c r="Z72" s="268"/>
    </row>
    <row r="73" spans="1:26">
      <c r="A73" s="8">
        <v>64</v>
      </c>
      <c r="B73" s="268" t="s">
        <v>1413</v>
      </c>
      <c r="C73" s="268" t="s">
        <v>1464</v>
      </c>
      <c r="D73" s="269">
        <v>0</v>
      </c>
      <c r="E73" s="270">
        <v>0</v>
      </c>
      <c r="F73" s="270">
        <v>0</v>
      </c>
      <c r="G73" s="270">
        <v>0</v>
      </c>
      <c r="H73" s="270">
        <v>0</v>
      </c>
      <c r="I73" s="271">
        <v>0</v>
      </c>
      <c r="J73" s="272">
        <v>0</v>
      </c>
      <c r="K73" s="272">
        <v>0</v>
      </c>
      <c r="L73" s="272">
        <v>0</v>
      </c>
      <c r="M73" s="272">
        <v>0</v>
      </c>
      <c r="N73" s="272">
        <v>0</v>
      </c>
      <c r="O73" s="272">
        <v>2691</v>
      </c>
      <c r="P73" s="274"/>
      <c r="Q73" s="274"/>
      <c r="R73" s="275">
        <v>2691</v>
      </c>
      <c r="S73" s="268"/>
      <c r="T73" s="276">
        <f>+R73</f>
        <v>2691</v>
      </c>
      <c r="U73" s="277">
        <f t="shared" si="6"/>
        <v>0</v>
      </c>
      <c r="V73" s="278">
        <f t="shared" si="7"/>
        <v>2691</v>
      </c>
      <c r="W73" s="275">
        <f t="shared" si="8"/>
        <v>2691</v>
      </c>
      <c r="X73" s="268"/>
      <c r="Y73" s="280" t="s">
        <v>1426</v>
      </c>
      <c r="Z73" s="268"/>
    </row>
    <row r="74" spans="1:26">
      <c r="A74" s="8">
        <v>65</v>
      </c>
      <c r="B74" s="268" t="s">
        <v>1413</v>
      </c>
      <c r="C74" s="268" t="s">
        <v>1465</v>
      </c>
      <c r="D74" s="269">
        <v>1581.56</v>
      </c>
      <c r="E74" s="270">
        <v>188.84</v>
      </c>
      <c r="F74" s="270">
        <v>189.98</v>
      </c>
      <c r="G74" s="270">
        <v>538.54</v>
      </c>
      <c r="H74" s="270">
        <v>4090.82</v>
      </c>
      <c r="I74" s="271">
        <v>26086.03</v>
      </c>
      <c r="J74" s="272">
        <v>632793.65</v>
      </c>
      <c r="K74" s="272">
        <v>320058.5</v>
      </c>
      <c r="L74" s="272">
        <v>132088.63</v>
      </c>
      <c r="M74" s="272">
        <v>37949.599999999999</v>
      </c>
      <c r="N74" s="272">
        <v>25509.89</v>
      </c>
      <c r="O74" s="272">
        <v>13001.57</v>
      </c>
      <c r="P74" s="274"/>
      <c r="Q74" s="274"/>
      <c r="R74" s="275">
        <v>1194077.6100000001</v>
      </c>
      <c r="S74" s="268"/>
      <c r="T74" s="276"/>
      <c r="U74" s="277">
        <f t="shared" si="6"/>
        <v>32675.769999999997</v>
      </c>
      <c r="V74" s="278">
        <f t="shared" si="7"/>
        <v>1161401.8400000001</v>
      </c>
      <c r="W74" s="275">
        <f t="shared" si="8"/>
        <v>1194077.6100000001</v>
      </c>
      <c r="X74" s="268"/>
      <c r="Y74" s="280"/>
      <c r="Z74" s="268"/>
    </row>
    <row r="75" spans="1:26">
      <c r="A75" s="8">
        <v>66</v>
      </c>
      <c r="B75" s="268" t="s">
        <v>1413</v>
      </c>
      <c r="C75" s="268" t="s">
        <v>1466</v>
      </c>
      <c r="D75" s="269">
        <v>0</v>
      </c>
      <c r="E75" s="270">
        <v>0</v>
      </c>
      <c r="F75" s="270">
        <v>0</v>
      </c>
      <c r="G75" s="270">
        <v>0</v>
      </c>
      <c r="H75" s="270">
        <v>0</v>
      </c>
      <c r="I75" s="271">
        <v>259.08</v>
      </c>
      <c r="J75" s="272">
        <v>0</v>
      </c>
      <c r="K75" s="272">
        <v>0</v>
      </c>
      <c r="L75" s="272">
        <v>0</v>
      </c>
      <c r="M75" s="272">
        <v>0</v>
      </c>
      <c r="N75" s="272">
        <v>0</v>
      </c>
      <c r="O75" s="272">
        <v>0</v>
      </c>
      <c r="P75" s="274"/>
      <c r="Q75" s="274"/>
      <c r="R75" s="275">
        <v>259.08</v>
      </c>
      <c r="S75" s="268"/>
      <c r="T75" s="276">
        <f t="shared" ref="T75:T76" si="26">+R75</f>
        <v>259.08</v>
      </c>
      <c r="U75" s="277">
        <f t="shared" si="6"/>
        <v>259.08</v>
      </c>
      <c r="V75" s="278">
        <f t="shared" si="7"/>
        <v>0</v>
      </c>
      <c r="W75" s="275">
        <f t="shared" si="8"/>
        <v>259.08</v>
      </c>
      <c r="X75" s="279"/>
      <c r="Y75" s="280" t="s">
        <v>1444</v>
      </c>
      <c r="Z75" s="268"/>
    </row>
    <row r="76" spans="1:26">
      <c r="A76" s="8">
        <v>67</v>
      </c>
      <c r="B76" s="268" t="s">
        <v>1413</v>
      </c>
      <c r="C76" s="268" t="s">
        <v>1467</v>
      </c>
      <c r="D76" s="269">
        <v>286.55</v>
      </c>
      <c r="E76" s="270">
        <v>291.92</v>
      </c>
      <c r="F76" s="270">
        <v>287.55</v>
      </c>
      <c r="G76" s="270">
        <v>282.27</v>
      </c>
      <c r="H76" s="270">
        <v>-997.89</v>
      </c>
      <c r="I76" s="271">
        <v>286.55</v>
      </c>
      <c r="J76" s="272">
        <v>0</v>
      </c>
      <c r="K76" s="272">
        <v>0</v>
      </c>
      <c r="L76" s="272">
        <v>0</v>
      </c>
      <c r="M76" s="272">
        <v>0</v>
      </c>
      <c r="N76" s="272">
        <v>0</v>
      </c>
      <c r="O76" s="272">
        <v>0</v>
      </c>
      <c r="P76" s="273">
        <v>42643</v>
      </c>
      <c r="Q76" s="274">
        <v>376</v>
      </c>
      <c r="R76" s="275">
        <v>436.95</v>
      </c>
      <c r="S76" s="268"/>
      <c r="T76" s="276">
        <f t="shared" si="26"/>
        <v>436.95</v>
      </c>
      <c r="U76" s="277">
        <f t="shared" si="6"/>
        <v>436.95</v>
      </c>
      <c r="V76" s="278">
        <f t="shared" si="7"/>
        <v>0</v>
      </c>
      <c r="W76" s="275">
        <f t="shared" si="8"/>
        <v>436.95</v>
      </c>
      <c r="X76" s="268"/>
      <c r="Y76" s="280" t="s">
        <v>1441</v>
      </c>
      <c r="Z76" s="268"/>
    </row>
    <row r="77" spans="1:26">
      <c r="A77" s="8">
        <v>68</v>
      </c>
      <c r="B77" s="268" t="s">
        <v>1413</v>
      </c>
      <c r="C77" s="268" t="s">
        <v>1468</v>
      </c>
      <c r="D77" s="269">
        <v>62961.020000000004</v>
      </c>
      <c r="E77" s="270">
        <v>2667.92</v>
      </c>
      <c r="F77" s="270">
        <v>11996.460000000001</v>
      </c>
      <c r="G77" s="270">
        <v>9586.56</v>
      </c>
      <c r="H77" s="270">
        <v>94435.75</v>
      </c>
      <c r="I77" s="271">
        <v>6081.1500000000005</v>
      </c>
      <c r="J77" s="272">
        <v>0</v>
      </c>
      <c r="K77" s="272">
        <v>0</v>
      </c>
      <c r="L77" s="272">
        <v>0</v>
      </c>
      <c r="M77" s="272">
        <v>0</v>
      </c>
      <c r="N77" s="272">
        <v>0</v>
      </c>
      <c r="O77" s="272">
        <v>0</v>
      </c>
      <c r="P77" s="274"/>
      <c r="Q77" s="274"/>
      <c r="R77" s="275">
        <v>187728.86000000002</v>
      </c>
      <c r="S77" s="268"/>
      <c r="T77" s="276"/>
      <c r="U77" s="277">
        <f t="shared" si="6"/>
        <v>187728.86000000002</v>
      </c>
      <c r="V77" s="278">
        <f t="shared" si="7"/>
        <v>0</v>
      </c>
      <c r="W77" s="275">
        <f t="shared" si="8"/>
        <v>187728.86000000002</v>
      </c>
      <c r="X77" s="268"/>
      <c r="Y77" s="280"/>
      <c r="Z77" s="268"/>
    </row>
    <row r="78" spans="1:26">
      <c r="A78" s="8">
        <v>69</v>
      </c>
      <c r="B78" s="268" t="s">
        <v>1413</v>
      </c>
      <c r="C78" s="268" t="s">
        <v>1469</v>
      </c>
      <c r="D78" s="269">
        <v>-482.39</v>
      </c>
      <c r="E78" s="270">
        <v>0.02</v>
      </c>
      <c r="F78" s="270">
        <v>0.02</v>
      </c>
      <c r="G78" s="270">
        <v>0.02</v>
      </c>
      <c r="H78" s="270">
        <v>0.02</v>
      </c>
      <c r="I78" s="271">
        <v>0.02</v>
      </c>
      <c r="J78" s="272">
        <v>0</v>
      </c>
      <c r="K78" s="272">
        <v>0</v>
      </c>
      <c r="L78" s="272">
        <v>0</v>
      </c>
      <c r="M78" s="272">
        <v>0</v>
      </c>
      <c r="N78" s="272">
        <v>0</v>
      </c>
      <c r="O78" s="272">
        <v>0</v>
      </c>
      <c r="P78" s="274"/>
      <c r="Q78" s="274"/>
      <c r="R78" s="275">
        <v>-482.29</v>
      </c>
      <c r="S78" s="268"/>
      <c r="T78" s="276"/>
      <c r="U78" s="277">
        <f t="shared" si="6"/>
        <v>-482.29000000000008</v>
      </c>
      <c r="V78" s="278">
        <f t="shared" si="7"/>
        <v>0</v>
      </c>
      <c r="W78" s="275">
        <f t="shared" si="8"/>
        <v>-482.29000000000008</v>
      </c>
      <c r="X78" s="268"/>
      <c r="Y78" s="280"/>
      <c r="Z78" s="268"/>
    </row>
    <row r="79" spans="1:26">
      <c r="A79" s="8">
        <v>70</v>
      </c>
      <c r="B79" s="268" t="s">
        <v>1413</v>
      </c>
      <c r="C79" s="268" t="s">
        <v>1470</v>
      </c>
      <c r="D79" s="269">
        <v>48876.19</v>
      </c>
      <c r="E79" s="270">
        <v>3676.62</v>
      </c>
      <c r="F79" s="270">
        <v>7909.26</v>
      </c>
      <c r="G79" s="270">
        <v>0</v>
      </c>
      <c r="H79" s="270">
        <v>0</v>
      </c>
      <c r="I79" s="271">
        <v>0</v>
      </c>
      <c r="J79" s="272">
        <v>0</v>
      </c>
      <c r="K79" s="272">
        <v>0</v>
      </c>
      <c r="L79" s="272">
        <v>0</v>
      </c>
      <c r="M79" s="272">
        <v>0</v>
      </c>
      <c r="N79" s="272">
        <v>0</v>
      </c>
      <c r="O79" s="272">
        <v>0</v>
      </c>
      <c r="P79" s="273">
        <v>42735</v>
      </c>
      <c r="Q79" s="274"/>
      <c r="R79" s="275">
        <v>60462.07</v>
      </c>
      <c r="S79" s="268"/>
      <c r="T79" s="276">
        <f t="shared" ref="T79:T95" si="27">+R79</f>
        <v>60462.07</v>
      </c>
      <c r="U79" s="277">
        <f t="shared" si="6"/>
        <v>60462.070000000007</v>
      </c>
      <c r="V79" s="278">
        <f t="shared" si="7"/>
        <v>0</v>
      </c>
      <c r="W79" s="275">
        <f t="shared" si="8"/>
        <v>60462.070000000007</v>
      </c>
      <c r="X79" s="268"/>
      <c r="Y79" s="280" t="s">
        <v>1441</v>
      </c>
      <c r="Z79" s="268"/>
    </row>
    <row r="80" spans="1:26">
      <c r="A80" s="8">
        <v>71</v>
      </c>
      <c r="B80" s="268" t="s">
        <v>1413</v>
      </c>
      <c r="C80" s="268" t="s">
        <v>1471</v>
      </c>
      <c r="D80" s="269">
        <v>48936.62</v>
      </c>
      <c r="E80" s="270">
        <v>3676.62</v>
      </c>
      <c r="F80" s="270">
        <v>19416.47</v>
      </c>
      <c r="G80" s="270">
        <v>0</v>
      </c>
      <c r="H80" s="270">
        <v>0</v>
      </c>
      <c r="I80" s="271">
        <v>0</v>
      </c>
      <c r="J80" s="272">
        <v>0</v>
      </c>
      <c r="K80" s="272">
        <v>0</v>
      </c>
      <c r="L80" s="272">
        <v>0</v>
      </c>
      <c r="M80" s="272">
        <v>0</v>
      </c>
      <c r="N80" s="272">
        <v>0</v>
      </c>
      <c r="O80" s="272">
        <v>0</v>
      </c>
      <c r="P80" s="273">
        <v>42735</v>
      </c>
      <c r="Q80" s="274"/>
      <c r="R80" s="275">
        <v>72029.710000000006</v>
      </c>
      <c r="S80" s="268"/>
      <c r="T80" s="276">
        <f t="shared" si="27"/>
        <v>72029.710000000006</v>
      </c>
      <c r="U80" s="277">
        <f t="shared" si="6"/>
        <v>72029.710000000006</v>
      </c>
      <c r="V80" s="278">
        <f t="shared" si="7"/>
        <v>0</v>
      </c>
      <c r="W80" s="275">
        <f t="shared" si="8"/>
        <v>72029.710000000006</v>
      </c>
      <c r="X80" s="268"/>
      <c r="Y80" s="280" t="s">
        <v>1441</v>
      </c>
      <c r="Z80" s="268"/>
    </row>
    <row r="81" spans="1:26">
      <c r="A81" s="8">
        <v>72</v>
      </c>
      <c r="B81" s="268" t="s">
        <v>1413</v>
      </c>
      <c r="C81" s="268" t="s">
        <v>1472</v>
      </c>
      <c r="D81" s="269">
        <v>0</v>
      </c>
      <c r="E81" s="270">
        <v>0</v>
      </c>
      <c r="F81" s="270">
        <v>0</v>
      </c>
      <c r="G81" s="270">
        <v>0</v>
      </c>
      <c r="H81" s="270">
        <v>0</v>
      </c>
      <c r="I81" s="271">
        <v>0</v>
      </c>
      <c r="J81" s="272">
        <v>0</v>
      </c>
      <c r="K81" s="272">
        <v>0</v>
      </c>
      <c r="L81" s="272">
        <v>50596</v>
      </c>
      <c r="M81" s="272">
        <v>69569.5</v>
      </c>
      <c r="N81" s="272">
        <v>0</v>
      </c>
      <c r="O81" s="272">
        <v>0</v>
      </c>
      <c r="P81" s="274"/>
      <c r="Q81" s="274"/>
      <c r="R81" s="275">
        <v>120165.5</v>
      </c>
      <c r="S81" s="268"/>
      <c r="T81" s="276"/>
      <c r="U81" s="277">
        <f t="shared" si="6"/>
        <v>0</v>
      </c>
      <c r="V81" s="278">
        <f t="shared" si="7"/>
        <v>120165.5</v>
      </c>
      <c r="W81" s="275">
        <f t="shared" si="8"/>
        <v>120165.5</v>
      </c>
      <c r="X81" s="268"/>
      <c r="Y81" s="280"/>
      <c r="Z81" s="268"/>
    </row>
    <row r="82" spans="1:26">
      <c r="A82" s="8">
        <v>73</v>
      </c>
      <c r="B82" s="268" t="s">
        <v>1413</v>
      </c>
      <c r="C82" s="268" t="s">
        <v>1473</v>
      </c>
      <c r="D82" s="269">
        <v>6756.88</v>
      </c>
      <c r="E82" s="270">
        <v>24852.29</v>
      </c>
      <c r="F82" s="270">
        <v>96288.92</v>
      </c>
      <c r="G82" s="270">
        <v>832898.79</v>
      </c>
      <c r="H82" s="270">
        <v>457551.32</v>
      </c>
      <c r="I82" s="271">
        <v>131346.23999999999</v>
      </c>
      <c r="J82" s="272">
        <v>50000</v>
      </c>
      <c r="K82" s="272">
        <v>275.75</v>
      </c>
      <c r="L82" s="272">
        <v>0</v>
      </c>
      <c r="M82" s="272">
        <v>0</v>
      </c>
      <c r="N82" s="272">
        <v>0</v>
      </c>
      <c r="O82" s="272">
        <v>0</v>
      </c>
      <c r="P82" s="273">
        <v>42978</v>
      </c>
      <c r="Q82" s="274">
        <v>376</v>
      </c>
      <c r="R82" s="275">
        <v>1599970.19</v>
      </c>
      <c r="S82" s="268"/>
      <c r="T82" s="276">
        <f t="shared" si="27"/>
        <v>1599970.19</v>
      </c>
      <c r="U82" s="277">
        <f t="shared" si="6"/>
        <v>1549694.44</v>
      </c>
      <c r="V82" s="278">
        <f t="shared" si="7"/>
        <v>50275.75</v>
      </c>
      <c r="W82" s="275">
        <f t="shared" si="8"/>
        <v>1599970.19</v>
      </c>
      <c r="X82" s="268"/>
      <c r="Y82" s="280" t="s">
        <v>1441</v>
      </c>
      <c r="Z82" s="268"/>
    </row>
    <row r="83" spans="1:26">
      <c r="A83" s="8">
        <v>74</v>
      </c>
      <c r="B83" s="268" t="s">
        <v>1413</v>
      </c>
      <c r="C83" s="268" t="s">
        <v>1474</v>
      </c>
      <c r="D83" s="269">
        <v>0</v>
      </c>
      <c r="E83" s="270">
        <v>0</v>
      </c>
      <c r="F83" s="270">
        <v>0</v>
      </c>
      <c r="G83" s="270">
        <v>0</v>
      </c>
      <c r="H83" s="270">
        <v>0</v>
      </c>
      <c r="I83" s="271">
        <v>0</v>
      </c>
      <c r="J83" s="272">
        <v>0</v>
      </c>
      <c r="K83" s="272">
        <v>0</v>
      </c>
      <c r="L83" s="272">
        <v>82218.5</v>
      </c>
      <c r="M83" s="272">
        <v>126943.44</v>
      </c>
      <c r="N83" s="272">
        <v>1153.53</v>
      </c>
      <c r="O83" s="272">
        <v>1159.8900000000001</v>
      </c>
      <c r="P83" s="273">
        <v>43465</v>
      </c>
      <c r="Q83" s="274">
        <v>376</v>
      </c>
      <c r="R83" s="275">
        <v>211475.36000000002</v>
      </c>
      <c r="S83" s="268"/>
      <c r="T83" s="276">
        <f t="shared" si="27"/>
        <v>211475.36000000002</v>
      </c>
      <c r="U83" s="277">
        <f t="shared" si="6"/>
        <v>0</v>
      </c>
      <c r="V83" s="278">
        <f t="shared" si="7"/>
        <v>211475.36000000002</v>
      </c>
      <c r="W83" s="275">
        <f t="shared" si="8"/>
        <v>211475.36000000002</v>
      </c>
      <c r="X83" s="279">
        <v>0</v>
      </c>
      <c r="Y83" s="280" t="s">
        <v>1400</v>
      </c>
      <c r="Z83" s="268"/>
    </row>
    <row r="84" spans="1:26">
      <c r="A84" s="8">
        <v>75</v>
      </c>
      <c r="B84" s="268" t="s">
        <v>1413</v>
      </c>
      <c r="C84" s="268" t="s">
        <v>1475</v>
      </c>
      <c r="D84" s="269">
        <v>-83891.7</v>
      </c>
      <c r="E84" s="270">
        <v>143790.94</v>
      </c>
      <c r="F84" s="270">
        <v>8953.27</v>
      </c>
      <c r="G84" s="270">
        <v>0</v>
      </c>
      <c r="H84" s="270">
        <v>0</v>
      </c>
      <c r="I84" s="271">
        <v>7050.42</v>
      </c>
      <c r="J84" s="272">
        <v>0</v>
      </c>
      <c r="K84" s="272">
        <v>0</v>
      </c>
      <c r="L84" s="272">
        <v>0</v>
      </c>
      <c r="M84" s="272">
        <v>0</v>
      </c>
      <c r="N84" s="272">
        <v>0</v>
      </c>
      <c r="O84" s="272">
        <v>0</v>
      </c>
      <c r="P84" s="273">
        <v>42704</v>
      </c>
      <c r="Q84" s="274">
        <v>376</v>
      </c>
      <c r="R84" s="275">
        <v>75902.930000000008</v>
      </c>
      <c r="S84" s="268"/>
      <c r="T84" s="276">
        <f t="shared" si="27"/>
        <v>75902.930000000008</v>
      </c>
      <c r="U84" s="277">
        <f t="shared" si="6"/>
        <v>75902.930000000008</v>
      </c>
      <c r="V84" s="278">
        <f t="shared" si="7"/>
        <v>0</v>
      </c>
      <c r="W84" s="275">
        <f t="shared" si="8"/>
        <v>75902.930000000008</v>
      </c>
      <c r="X84" s="276">
        <f t="shared" ref="X84" si="28">+T84</f>
        <v>75902.930000000008</v>
      </c>
      <c r="Y84" s="280">
        <v>15</v>
      </c>
      <c r="Z84" s="268"/>
    </row>
    <row r="85" spans="1:26">
      <c r="A85" s="8">
        <v>76</v>
      </c>
      <c r="B85" s="268" t="s">
        <v>1413</v>
      </c>
      <c r="C85" s="268" t="s">
        <v>1476</v>
      </c>
      <c r="D85" s="269">
        <v>52836.91</v>
      </c>
      <c r="E85" s="270">
        <v>319.61</v>
      </c>
      <c r="F85" s="270">
        <v>5622.6900000000005</v>
      </c>
      <c r="G85" s="270">
        <v>9808.8700000000008</v>
      </c>
      <c r="H85" s="270">
        <v>15186.82</v>
      </c>
      <c r="I85" s="271">
        <v>18870.64</v>
      </c>
      <c r="J85" s="272">
        <v>228248.09</v>
      </c>
      <c r="K85" s="272">
        <v>140963.88</v>
      </c>
      <c r="L85" s="272">
        <v>160714.79</v>
      </c>
      <c r="M85" s="272">
        <v>3488.63</v>
      </c>
      <c r="N85" s="272">
        <v>3507.88</v>
      </c>
      <c r="O85" s="272">
        <v>56231.39</v>
      </c>
      <c r="P85" s="274"/>
      <c r="Q85" s="274"/>
      <c r="R85" s="275">
        <v>695800.20000000007</v>
      </c>
      <c r="S85" s="268"/>
      <c r="T85" s="276"/>
      <c r="U85" s="277">
        <f t="shared" si="6"/>
        <v>102645.54</v>
      </c>
      <c r="V85" s="278">
        <f t="shared" si="7"/>
        <v>593154.66</v>
      </c>
      <c r="W85" s="275">
        <f t="shared" si="8"/>
        <v>695800.20000000007</v>
      </c>
      <c r="X85" s="268"/>
      <c r="Y85" s="280"/>
      <c r="Z85" s="268"/>
    </row>
    <row r="86" spans="1:26">
      <c r="A86" s="8">
        <v>77</v>
      </c>
      <c r="B86" s="268" t="s">
        <v>1413</v>
      </c>
      <c r="C86" s="268" t="s">
        <v>1477</v>
      </c>
      <c r="D86" s="269">
        <v>0</v>
      </c>
      <c r="E86" s="270">
        <v>0</v>
      </c>
      <c r="F86" s="270">
        <v>0</v>
      </c>
      <c r="G86" s="270">
        <v>0</v>
      </c>
      <c r="H86" s="270">
        <v>0</v>
      </c>
      <c r="I86" s="271">
        <v>0</v>
      </c>
      <c r="J86" s="272">
        <v>63245</v>
      </c>
      <c r="K86" s="272">
        <v>88891.790000000008</v>
      </c>
      <c r="L86" s="272">
        <v>0</v>
      </c>
      <c r="M86" s="272">
        <v>0</v>
      </c>
      <c r="N86" s="272">
        <v>0</v>
      </c>
      <c r="O86" s="272">
        <v>0</v>
      </c>
      <c r="P86" s="273">
        <v>42978</v>
      </c>
      <c r="Q86" s="274">
        <v>376</v>
      </c>
      <c r="R86" s="275">
        <v>152136.79</v>
      </c>
      <c r="S86" s="268"/>
      <c r="T86" s="276">
        <f t="shared" si="27"/>
        <v>152136.79</v>
      </c>
      <c r="U86" s="277">
        <f t="shared" si="6"/>
        <v>0</v>
      </c>
      <c r="V86" s="278">
        <f t="shared" si="7"/>
        <v>152136.79</v>
      </c>
      <c r="W86" s="275">
        <f t="shared" si="8"/>
        <v>152136.79</v>
      </c>
      <c r="X86" s="279">
        <f t="shared" ref="X86:X87" si="29">+T86</f>
        <v>152136.79</v>
      </c>
      <c r="Y86" s="280">
        <v>53</v>
      </c>
      <c r="Z86" s="268"/>
    </row>
    <row r="87" spans="1:26">
      <c r="A87" s="8">
        <v>78</v>
      </c>
      <c r="B87" s="268" t="s">
        <v>1413</v>
      </c>
      <c r="C87" s="268" t="s">
        <v>1478</v>
      </c>
      <c r="D87" s="269">
        <v>322.48</v>
      </c>
      <c r="E87" s="270">
        <v>-2877.06</v>
      </c>
      <c r="F87" s="270">
        <v>4063.17</v>
      </c>
      <c r="G87" s="270">
        <v>0</v>
      </c>
      <c r="H87" s="270">
        <v>0</v>
      </c>
      <c r="I87" s="271">
        <v>648.1</v>
      </c>
      <c r="J87" s="272">
        <v>0</v>
      </c>
      <c r="K87" s="272">
        <v>0</v>
      </c>
      <c r="L87" s="272">
        <v>0</v>
      </c>
      <c r="M87" s="272">
        <v>0</v>
      </c>
      <c r="N87" s="272">
        <v>0</v>
      </c>
      <c r="O87" s="272">
        <v>0</v>
      </c>
      <c r="P87" s="273">
        <v>42735</v>
      </c>
      <c r="Q87" s="274">
        <v>376</v>
      </c>
      <c r="R87" s="275">
        <v>2156.69</v>
      </c>
      <c r="S87" s="268"/>
      <c r="T87" s="276">
        <f t="shared" si="27"/>
        <v>2156.69</v>
      </c>
      <c r="U87" s="277">
        <f t="shared" si="6"/>
        <v>2156.69</v>
      </c>
      <c r="V87" s="278">
        <f t="shared" si="7"/>
        <v>0</v>
      </c>
      <c r="W87" s="275">
        <f t="shared" si="8"/>
        <v>2156.69</v>
      </c>
      <c r="X87" s="276">
        <f t="shared" si="29"/>
        <v>2156.69</v>
      </c>
      <c r="Y87" s="280">
        <v>16</v>
      </c>
      <c r="Z87" s="268"/>
    </row>
    <row r="88" spans="1:26">
      <c r="A88" s="8">
        <v>79</v>
      </c>
      <c r="B88" s="268" t="s">
        <v>1413</v>
      </c>
      <c r="C88" s="268" t="s">
        <v>1479</v>
      </c>
      <c r="D88" s="269">
        <v>2369.52</v>
      </c>
      <c r="E88" s="270">
        <v>498.21000000000004</v>
      </c>
      <c r="F88" s="270">
        <v>501.22</v>
      </c>
      <c r="G88" s="270">
        <v>459.74</v>
      </c>
      <c r="H88" s="270">
        <v>462.27</v>
      </c>
      <c r="I88" s="271">
        <v>464.82</v>
      </c>
      <c r="J88" s="272">
        <v>6791.89</v>
      </c>
      <c r="K88" s="272">
        <v>6829.34</v>
      </c>
      <c r="L88" s="272">
        <v>13191.5</v>
      </c>
      <c r="M88" s="272">
        <v>13264.26</v>
      </c>
      <c r="N88" s="272">
        <v>688.41</v>
      </c>
      <c r="O88" s="272">
        <v>692.2</v>
      </c>
      <c r="P88" s="273">
        <v>43100</v>
      </c>
      <c r="Q88" s="274">
        <v>376</v>
      </c>
      <c r="R88" s="275">
        <v>46213.38</v>
      </c>
      <c r="S88" s="268"/>
      <c r="T88" s="276">
        <f t="shared" si="27"/>
        <v>46213.38</v>
      </c>
      <c r="U88" s="277">
        <f t="shared" si="6"/>
        <v>4755.7799999999988</v>
      </c>
      <c r="V88" s="278">
        <f t="shared" si="7"/>
        <v>41457.599999999999</v>
      </c>
      <c r="W88" s="275">
        <f t="shared" si="8"/>
        <v>46213.38</v>
      </c>
      <c r="X88" s="268"/>
      <c r="Y88" s="280" t="s">
        <v>1441</v>
      </c>
      <c r="Z88" s="268"/>
    </row>
    <row r="89" spans="1:26">
      <c r="A89" s="8">
        <v>80</v>
      </c>
      <c r="B89" s="268" t="s">
        <v>1413</v>
      </c>
      <c r="C89" s="268" t="s">
        <v>1480</v>
      </c>
      <c r="D89" s="269">
        <v>0</v>
      </c>
      <c r="E89" s="270">
        <v>0</v>
      </c>
      <c r="F89" s="270">
        <v>0</v>
      </c>
      <c r="G89" s="270">
        <v>0</v>
      </c>
      <c r="H89" s="270">
        <v>0</v>
      </c>
      <c r="I89" s="271">
        <v>0</v>
      </c>
      <c r="J89" s="272">
        <v>0</v>
      </c>
      <c r="K89" s="272">
        <v>0</v>
      </c>
      <c r="L89" s="272">
        <v>0</v>
      </c>
      <c r="M89" s="272">
        <v>31622.5</v>
      </c>
      <c r="N89" s="272">
        <v>31796.9</v>
      </c>
      <c r="O89" s="272">
        <v>349.76</v>
      </c>
      <c r="P89" s="274"/>
      <c r="Q89" s="274"/>
      <c r="R89" s="275">
        <v>63769.16</v>
      </c>
      <c r="S89" s="268"/>
      <c r="T89" s="276">
        <f t="shared" si="27"/>
        <v>63769.16</v>
      </c>
      <c r="U89" s="277">
        <f t="shared" si="6"/>
        <v>0</v>
      </c>
      <c r="V89" s="278">
        <f t="shared" si="7"/>
        <v>63769.16</v>
      </c>
      <c r="W89" s="275">
        <f t="shared" si="8"/>
        <v>63769.16</v>
      </c>
      <c r="X89" s="279"/>
      <c r="Y89" s="280" t="s">
        <v>1426</v>
      </c>
      <c r="Z89" s="268"/>
    </row>
    <row r="90" spans="1:26">
      <c r="A90" s="8">
        <v>81</v>
      </c>
      <c r="B90" s="268" t="s">
        <v>1413</v>
      </c>
      <c r="C90" s="268" t="s">
        <v>1481</v>
      </c>
      <c r="D90" s="269">
        <v>3497.14</v>
      </c>
      <c r="E90" s="270">
        <v>112509</v>
      </c>
      <c r="F90" s="270">
        <v>4502.29</v>
      </c>
      <c r="G90" s="270">
        <v>2444.4900000000002</v>
      </c>
      <c r="H90" s="270">
        <v>0</v>
      </c>
      <c r="I90" s="271">
        <v>0</v>
      </c>
      <c r="J90" s="272">
        <v>0</v>
      </c>
      <c r="K90" s="272">
        <v>0</v>
      </c>
      <c r="L90" s="272">
        <v>0</v>
      </c>
      <c r="M90" s="272">
        <v>0</v>
      </c>
      <c r="N90" s="272">
        <v>0</v>
      </c>
      <c r="O90" s="272">
        <v>0</v>
      </c>
      <c r="P90" s="273">
        <v>42762</v>
      </c>
      <c r="Q90" s="274">
        <v>376</v>
      </c>
      <c r="R90" s="275">
        <v>122952.92</v>
      </c>
      <c r="S90" s="268"/>
      <c r="T90" s="276">
        <f t="shared" si="27"/>
        <v>122952.92</v>
      </c>
      <c r="U90" s="277">
        <f t="shared" si="6"/>
        <v>122952.92</v>
      </c>
      <c r="V90" s="278">
        <f t="shared" si="7"/>
        <v>0</v>
      </c>
      <c r="W90" s="275">
        <f t="shared" si="8"/>
        <v>122952.92</v>
      </c>
      <c r="X90" s="276">
        <f t="shared" ref="X90" si="30">+T90</f>
        <v>122952.92</v>
      </c>
      <c r="Y90" s="280">
        <v>40</v>
      </c>
      <c r="Z90" s="268"/>
    </row>
    <row r="91" spans="1:26">
      <c r="A91" s="8">
        <v>82</v>
      </c>
      <c r="B91" s="268" t="s">
        <v>1413</v>
      </c>
      <c r="C91" s="268" t="s">
        <v>1482</v>
      </c>
      <c r="D91" s="269">
        <v>4298.6900000000005</v>
      </c>
      <c r="E91" s="270">
        <v>131.43</v>
      </c>
      <c r="F91" s="270">
        <v>72385.89</v>
      </c>
      <c r="G91" s="270">
        <v>2534.62</v>
      </c>
      <c r="H91" s="270">
        <v>0</v>
      </c>
      <c r="I91" s="271">
        <v>0</v>
      </c>
      <c r="J91" s="272">
        <v>0</v>
      </c>
      <c r="K91" s="272">
        <v>0</v>
      </c>
      <c r="L91" s="272">
        <v>0</v>
      </c>
      <c r="M91" s="272">
        <v>0</v>
      </c>
      <c r="N91" s="272">
        <v>0</v>
      </c>
      <c r="O91" s="272">
        <v>0</v>
      </c>
      <c r="P91" s="273">
        <v>42748</v>
      </c>
      <c r="Q91" s="274">
        <v>376</v>
      </c>
      <c r="R91" s="275">
        <v>79350.63</v>
      </c>
      <c r="S91" s="268"/>
      <c r="T91" s="276">
        <f t="shared" si="27"/>
        <v>79350.63</v>
      </c>
      <c r="U91" s="277">
        <f t="shared" ref="U91:U154" si="31">SUM(D91:I91)</f>
        <v>79350.62999999999</v>
      </c>
      <c r="V91" s="278">
        <f t="shared" ref="V91:V154" si="32">SUM(J91:O91)</f>
        <v>0</v>
      </c>
      <c r="W91" s="275">
        <f t="shared" ref="W91:W154" si="33">U91+V91</f>
        <v>79350.62999999999</v>
      </c>
      <c r="X91" s="268"/>
      <c r="Y91" s="280" t="s">
        <v>1441</v>
      </c>
      <c r="Z91" s="268"/>
    </row>
    <row r="92" spans="1:26">
      <c r="A92" s="8">
        <v>83</v>
      </c>
      <c r="B92" s="268" t="s">
        <v>1413</v>
      </c>
      <c r="C92" s="268" t="s">
        <v>1483</v>
      </c>
      <c r="D92" s="269">
        <v>0</v>
      </c>
      <c r="E92" s="270">
        <v>2967.5</v>
      </c>
      <c r="F92" s="270">
        <v>71.25</v>
      </c>
      <c r="G92" s="270">
        <v>237.5</v>
      </c>
      <c r="H92" s="270">
        <v>6075.27</v>
      </c>
      <c r="I92" s="271">
        <v>84.66</v>
      </c>
      <c r="J92" s="272">
        <v>0</v>
      </c>
      <c r="K92" s="272">
        <v>0</v>
      </c>
      <c r="L92" s="272">
        <v>0</v>
      </c>
      <c r="M92" s="272">
        <v>0</v>
      </c>
      <c r="N92" s="272">
        <v>0</v>
      </c>
      <c r="O92" s="272">
        <v>0</v>
      </c>
      <c r="P92" s="273">
        <v>42582</v>
      </c>
      <c r="Q92" s="274">
        <v>376</v>
      </c>
      <c r="R92" s="275">
        <v>9436.18</v>
      </c>
      <c r="S92" s="268"/>
      <c r="T92" s="276">
        <f t="shared" si="27"/>
        <v>9436.18</v>
      </c>
      <c r="U92" s="277">
        <f t="shared" si="31"/>
        <v>9436.18</v>
      </c>
      <c r="V92" s="278">
        <f t="shared" si="32"/>
        <v>0</v>
      </c>
      <c r="W92" s="275">
        <f t="shared" si="33"/>
        <v>9436.18</v>
      </c>
      <c r="X92" s="279"/>
      <c r="Y92" s="280" t="s">
        <v>1444</v>
      </c>
      <c r="Z92" s="268"/>
    </row>
    <row r="93" spans="1:26">
      <c r="A93" s="8">
        <v>84</v>
      </c>
      <c r="B93" s="268" t="s">
        <v>1413</v>
      </c>
      <c r="C93" s="268" t="s">
        <v>1484</v>
      </c>
      <c r="D93" s="269">
        <v>222.14000000000001</v>
      </c>
      <c r="E93" s="270">
        <v>0</v>
      </c>
      <c r="F93" s="270">
        <v>0</v>
      </c>
      <c r="G93" s="270">
        <v>0</v>
      </c>
      <c r="H93" s="270">
        <v>0</v>
      </c>
      <c r="I93" s="271">
        <v>0</v>
      </c>
      <c r="J93" s="272">
        <v>0</v>
      </c>
      <c r="K93" s="272">
        <v>0</v>
      </c>
      <c r="L93" s="272">
        <v>0</v>
      </c>
      <c r="M93" s="272">
        <v>0</v>
      </c>
      <c r="N93" s="272">
        <v>0</v>
      </c>
      <c r="O93" s="272">
        <v>0</v>
      </c>
      <c r="P93" s="273">
        <v>42734</v>
      </c>
      <c r="Q93" s="274">
        <v>376</v>
      </c>
      <c r="R93" s="275">
        <v>222.14000000000001</v>
      </c>
      <c r="S93" s="268"/>
      <c r="T93" s="276">
        <f t="shared" si="27"/>
        <v>222.14000000000001</v>
      </c>
      <c r="U93" s="277">
        <f t="shared" si="31"/>
        <v>222.14000000000001</v>
      </c>
      <c r="V93" s="278">
        <f t="shared" si="32"/>
        <v>0</v>
      </c>
      <c r="W93" s="275">
        <f t="shared" si="33"/>
        <v>222.14000000000001</v>
      </c>
      <c r="X93" s="276">
        <f t="shared" ref="X93:X95" si="34">+T93</f>
        <v>222.14000000000001</v>
      </c>
      <c r="Y93" s="280">
        <v>25</v>
      </c>
      <c r="Z93" s="268"/>
    </row>
    <row r="94" spans="1:26">
      <c r="A94" s="8">
        <v>85</v>
      </c>
      <c r="B94" s="268" t="s">
        <v>1413</v>
      </c>
      <c r="C94" s="268" t="s">
        <v>1485</v>
      </c>
      <c r="D94" s="269">
        <v>0</v>
      </c>
      <c r="E94" s="270">
        <v>2200.67</v>
      </c>
      <c r="F94" s="270">
        <v>10498.99</v>
      </c>
      <c r="G94" s="270">
        <v>0</v>
      </c>
      <c r="H94" s="270">
        <v>0</v>
      </c>
      <c r="I94" s="271">
        <v>0</v>
      </c>
      <c r="J94" s="272">
        <v>0</v>
      </c>
      <c r="K94" s="272">
        <v>0</v>
      </c>
      <c r="L94" s="272">
        <v>0</v>
      </c>
      <c r="M94" s="272">
        <v>0</v>
      </c>
      <c r="N94" s="272">
        <v>0</v>
      </c>
      <c r="O94" s="272">
        <v>0</v>
      </c>
      <c r="P94" s="273">
        <v>42734</v>
      </c>
      <c r="Q94" s="274">
        <v>376</v>
      </c>
      <c r="R94" s="275">
        <v>12699.66</v>
      </c>
      <c r="S94" s="268"/>
      <c r="T94" s="276">
        <f t="shared" si="27"/>
        <v>12699.66</v>
      </c>
      <c r="U94" s="277">
        <f t="shared" si="31"/>
        <v>12699.66</v>
      </c>
      <c r="V94" s="278">
        <f t="shared" si="32"/>
        <v>0</v>
      </c>
      <c r="W94" s="275">
        <f t="shared" si="33"/>
        <v>12699.66</v>
      </c>
      <c r="X94" s="276">
        <f t="shared" si="34"/>
        <v>12699.66</v>
      </c>
      <c r="Y94" s="280">
        <v>26</v>
      </c>
      <c r="Z94" s="268"/>
    </row>
    <row r="95" spans="1:26">
      <c r="A95" s="8">
        <v>86</v>
      </c>
      <c r="B95" s="268" t="s">
        <v>1413</v>
      </c>
      <c r="C95" s="268" t="s">
        <v>1486</v>
      </c>
      <c r="D95" s="269">
        <v>-33.33</v>
      </c>
      <c r="E95" s="270">
        <v>0</v>
      </c>
      <c r="F95" s="270">
        <v>0</v>
      </c>
      <c r="G95" s="270">
        <v>0</v>
      </c>
      <c r="H95" s="270">
        <v>0</v>
      </c>
      <c r="I95" s="271">
        <v>2548.33</v>
      </c>
      <c r="J95" s="272">
        <v>0</v>
      </c>
      <c r="K95" s="272">
        <v>0</v>
      </c>
      <c r="L95" s="272">
        <v>0</v>
      </c>
      <c r="M95" s="272">
        <v>0</v>
      </c>
      <c r="N95" s="272">
        <v>0</v>
      </c>
      <c r="O95" s="272">
        <v>0</v>
      </c>
      <c r="P95" s="273">
        <v>42734</v>
      </c>
      <c r="Q95" s="274">
        <v>376</v>
      </c>
      <c r="R95" s="275">
        <v>2515</v>
      </c>
      <c r="S95" s="268"/>
      <c r="T95" s="276">
        <f t="shared" si="27"/>
        <v>2515</v>
      </c>
      <c r="U95" s="277">
        <f t="shared" si="31"/>
        <v>2515</v>
      </c>
      <c r="V95" s="278">
        <f t="shared" si="32"/>
        <v>0</v>
      </c>
      <c r="W95" s="275">
        <f t="shared" si="33"/>
        <v>2515</v>
      </c>
      <c r="X95" s="276">
        <f t="shared" si="34"/>
        <v>2515</v>
      </c>
      <c r="Y95" s="280">
        <v>27</v>
      </c>
      <c r="Z95" s="268"/>
    </row>
    <row r="96" spans="1:26">
      <c r="A96" s="8">
        <v>87</v>
      </c>
      <c r="B96" s="268" t="s">
        <v>1413</v>
      </c>
      <c r="C96" s="268" t="s">
        <v>1487</v>
      </c>
      <c r="D96" s="269">
        <v>9863.48</v>
      </c>
      <c r="E96" s="270">
        <v>2148.87</v>
      </c>
      <c r="F96" s="270">
        <v>24019.4</v>
      </c>
      <c r="G96" s="270">
        <v>8062.06</v>
      </c>
      <c r="H96" s="270">
        <v>21059.420000000002</v>
      </c>
      <c r="I96" s="271">
        <v>10013.83</v>
      </c>
      <c r="J96" s="272">
        <v>0</v>
      </c>
      <c r="K96" s="272">
        <v>0</v>
      </c>
      <c r="L96" s="272">
        <v>0</v>
      </c>
      <c r="M96" s="272">
        <v>0</v>
      </c>
      <c r="N96" s="272">
        <v>0</v>
      </c>
      <c r="O96" s="272">
        <v>0</v>
      </c>
      <c r="P96" s="274"/>
      <c r="Q96" s="274"/>
      <c r="R96" s="275">
        <v>75167.06</v>
      </c>
      <c r="S96" s="268"/>
      <c r="T96" s="276"/>
      <c r="U96" s="277">
        <f t="shared" si="31"/>
        <v>75167.06</v>
      </c>
      <c r="V96" s="278">
        <f t="shared" si="32"/>
        <v>0</v>
      </c>
      <c r="W96" s="275">
        <f t="shared" si="33"/>
        <v>75167.06</v>
      </c>
      <c r="X96" s="268"/>
      <c r="Y96" s="280"/>
      <c r="Z96" s="268"/>
    </row>
    <row r="97" spans="1:26">
      <c r="A97" s="8">
        <v>88</v>
      </c>
      <c r="B97" s="268" t="s">
        <v>1413</v>
      </c>
      <c r="C97" s="268" t="s">
        <v>1488</v>
      </c>
      <c r="D97" s="269">
        <v>4653.5</v>
      </c>
      <c r="E97" s="270">
        <v>73.14</v>
      </c>
      <c r="F97" s="270">
        <v>73.59</v>
      </c>
      <c r="G97" s="270">
        <v>67.5</v>
      </c>
      <c r="H97" s="270">
        <v>67.87</v>
      </c>
      <c r="I97" s="271">
        <v>68.239999999999995</v>
      </c>
      <c r="J97" s="272">
        <v>68.62</v>
      </c>
      <c r="K97" s="272">
        <v>69</v>
      </c>
      <c r="L97" s="272">
        <v>69.38</v>
      </c>
      <c r="M97" s="272">
        <v>69.77</v>
      </c>
      <c r="N97" s="272">
        <v>70.14</v>
      </c>
      <c r="O97" s="272">
        <v>70.53</v>
      </c>
      <c r="P97" s="274"/>
      <c r="Q97" s="274"/>
      <c r="R97" s="275">
        <v>5421.28</v>
      </c>
      <c r="S97" s="268"/>
      <c r="T97" s="276"/>
      <c r="U97" s="277">
        <f t="shared" si="31"/>
        <v>5003.84</v>
      </c>
      <c r="V97" s="278">
        <f t="shared" si="32"/>
        <v>417.43999999999994</v>
      </c>
      <c r="W97" s="275">
        <f t="shared" si="33"/>
        <v>5421.28</v>
      </c>
      <c r="X97" s="268"/>
      <c r="Y97" s="280"/>
      <c r="Z97" s="268"/>
    </row>
    <row r="98" spans="1:26">
      <c r="A98" s="8">
        <v>89</v>
      </c>
      <c r="B98" s="268" t="s">
        <v>1413</v>
      </c>
      <c r="C98" s="268" t="s">
        <v>1489</v>
      </c>
      <c r="D98" s="269">
        <v>2500.2800000000002</v>
      </c>
      <c r="E98" s="270">
        <v>725.07</v>
      </c>
      <c r="F98" s="270">
        <v>3929.07</v>
      </c>
      <c r="G98" s="270">
        <v>0</v>
      </c>
      <c r="H98" s="270">
        <v>6231.4000000000005</v>
      </c>
      <c r="I98" s="271">
        <v>471.15000000000003</v>
      </c>
      <c r="J98" s="272">
        <v>0</v>
      </c>
      <c r="K98" s="272">
        <v>0</v>
      </c>
      <c r="L98" s="272">
        <v>0</v>
      </c>
      <c r="M98" s="272">
        <v>0</v>
      </c>
      <c r="N98" s="272">
        <v>0</v>
      </c>
      <c r="O98" s="272">
        <v>0</v>
      </c>
      <c r="P98" s="273">
        <v>42811</v>
      </c>
      <c r="Q98" s="274">
        <v>378</v>
      </c>
      <c r="R98" s="275">
        <v>13856.970000000001</v>
      </c>
      <c r="S98" s="268"/>
      <c r="T98" s="276">
        <f>+R98</f>
        <v>13856.970000000001</v>
      </c>
      <c r="U98" s="277">
        <f t="shared" si="31"/>
        <v>13856.97</v>
      </c>
      <c r="V98" s="278">
        <f t="shared" si="32"/>
        <v>0</v>
      </c>
      <c r="W98" s="275">
        <f t="shared" si="33"/>
        <v>13856.97</v>
      </c>
      <c r="X98" s="276">
        <f>+T98</f>
        <v>13856.970000000001</v>
      </c>
      <c r="Y98" s="280">
        <v>37</v>
      </c>
      <c r="Z98" s="268"/>
    </row>
    <row r="99" spans="1:26">
      <c r="A99" s="8">
        <v>90</v>
      </c>
      <c r="B99" s="268" t="s">
        <v>1413</v>
      </c>
      <c r="C99" s="268" t="s">
        <v>1490</v>
      </c>
      <c r="D99" s="269">
        <v>0</v>
      </c>
      <c r="E99" s="270">
        <v>0</v>
      </c>
      <c r="F99" s="270">
        <v>0</v>
      </c>
      <c r="G99" s="270">
        <v>7416.25</v>
      </c>
      <c r="H99" s="270">
        <v>0</v>
      </c>
      <c r="I99" s="271">
        <v>0</v>
      </c>
      <c r="J99" s="272">
        <v>0</v>
      </c>
      <c r="K99" s="272">
        <v>0</v>
      </c>
      <c r="L99" s="272">
        <v>0</v>
      </c>
      <c r="M99" s="272">
        <v>0</v>
      </c>
      <c r="N99" s="272">
        <v>0</v>
      </c>
      <c r="O99" s="272">
        <v>0</v>
      </c>
      <c r="P99" s="273">
        <v>42643</v>
      </c>
      <c r="Q99" s="274">
        <v>378</v>
      </c>
      <c r="R99" s="275">
        <v>7416.25</v>
      </c>
      <c r="S99" s="268"/>
      <c r="T99" s="276">
        <f>+R99</f>
        <v>7416.25</v>
      </c>
      <c r="U99" s="277">
        <f t="shared" si="31"/>
        <v>7416.25</v>
      </c>
      <c r="V99" s="278">
        <f t="shared" si="32"/>
        <v>0</v>
      </c>
      <c r="W99" s="275">
        <f t="shared" si="33"/>
        <v>7416.25</v>
      </c>
      <c r="X99" s="276">
        <f>+T99</f>
        <v>7416.25</v>
      </c>
      <c r="Y99" s="280">
        <v>38</v>
      </c>
      <c r="Z99" s="268"/>
    </row>
    <row r="100" spans="1:26">
      <c r="A100" s="8">
        <v>91</v>
      </c>
      <c r="B100" s="268" t="s">
        <v>1413</v>
      </c>
      <c r="C100" s="268" t="s">
        <v>1491</v>
      </c>
      <c r="D100" s="269">
        <v>0</v>
      </c>
      <c r="E100" s="270">
        <v>0</v>
      </c>
      <c r="F100" s="270">
        <v>0</v>
      </c>
      <c r="G100" s="270">
        <v>0</v>
      </c>
      <c r="H100" s="270">
        <v>0</v>
      </c>
      <c r="I100" s="271">
        <v>0</v>
      </c>
      <c r="J100" s="272">
        <v>0</v>
      </c>
      <c r="K100" s="272">
        <v>0</v>
      </c>
      <c r="L100" s="272">
        <v>0</v>
      </c>
      <c r="M100" s="272">
        <v>55655.6</v>
      </c>
      <c r="N100" s="272">
        <v>306.94</v>
      </c>
      <c r="O100" s="272">
        <v>308.63</v>
      </c>
      <c r="P100" s="274"/>
      <c r="Q100" s="274"/>
      <c r="R100" s="275">
        <v>56271.17</v>
      </c>
      <c r="S100" s="268"/>
      <c r="T100" s="276">
        <f>+R100</f>
        <v>56271.17</v>
      </c>
      <c r="U100" s="277">
        <f t="shared" si="31"/>
        <v>0</v>
      </c>
      <c r="V100" s="278">
        <f t="shared" si="32"/>
        <v>56271.17</v>
      </c>
      <c r="W100" s="275">
        <f t="shared" si="33"/>
        <v>56271.17</v>
      </c>
      <c r="X100" s="276">
        <f>+T100</f>
        <v>56271.17</v>
      </c>
      <c r="Y100" s="280">
        <v>21</v>
      </c>
      <c r="Z100" s="268"/>
    </row>
    <row r="101" spans="1:26">
      <c r="A101" s="8">
        <v>92</v>
      </c>
      <c r="B101" s="268" t="s">
        <v>1413</v>
      </c>
      <c r="C101" s="268" t="s">
        <v>1492</v>
      </c>
      <c r="D101" s="269">
        <v>2.5</v>
      </c>
      <c r="E101" s="270">
        <v>2.52</v>
      </c>
      <c r="F101" s="270">
        <v>2.54</v>
      </c>
      <c r="G101" s="270">
        <v>2.33</v>
      </c>
      <c r="H101" s="270">
        <v>2.34</v>
      </c>
      <c r="I101" s="271">
        <v>2.35</v>
      </c>
      <c r="J101" s="272">
        <v>2.37</v>
      </c>
      <c r="K101" s="272">
        <v>2.38</v>
      </c>
      <c r="L101" s="272">
        <v>2.4</v>
      </c>
      <c r="M101" s="272">
        <v>2.4</v>
      </c>
      <c r="N101" s="272">
        <v>2.42</v>
      </c>
      <c r="O101" s="272">
        <v>2.4300000000000002</v>
      </c>
      <c r="P101" s="273">
        <v>43465</v>
      </c>
      <c r="Q101" s="274">
        <v>376</v>
      </c>
      <c r="R101" s="275">
        <v>28.98</v>
      </c>
      <c r="S101" s="268"/>
      <c r="T101" s="276"/>
      <c r="U101" s="277">
        <f t="shared" si="31"/>
        <v>14.58</v>
      </c>
      <c r="V101" s="278">
        <f t="shared" si="32"/>
        <v>14.4</v>
      </c>
      <c r="W101" s="275">
        <f t="shared" si="33"/>
        <v>28.98</v>
      </c>
      <c r="X101" s="268"/>
      <c r="Y101" s="280"/>
      <c r="Z101" s="268"/>
    </row>
    <row r="102" spans="1:26">
      <c r="A102" s="8">
        <v>93</v>
      </c>
      <c r="B102" s="268" t="s">
        <v>1413</v>
      </c>
      <c r="C102" s="268" t="s">
        <v>1493</v>
      </c>
      <c r="D102" s="269">
        <v>4625.59</v>
      </c>
      <c r="E102" s="270">
        <v>0</v>
      </c>
      <c r="F102" s="270">
        <v>5624.87</v>
      </c>
      <c r="G102" s="270">
        <v>3751.23</v>
      </c>
      <c r="H102" s="270">
        <v>7515.13</v>
      </c>
      <c r="I102" s="271">
        <v>64.680000000000007</v>
      </c>
      <c r="J102" s="272">
        <v>0</v>
      </c>
      <c r="K102" s="272">
        <v>0</v>
      </c>
      <c r="L102" s="272">
        <v>0</v>
      </c>
      <c r="M102" s="272">
        <v>0</v>
      </c>
      <c r="N102" s="272">
        <v>0</v>
      </c>
      <c r="O102" s="272">
        <v>0</v>
      </c>
      <c r="P102" s="274"/>
      <c r="Q102" s="274"/>
      <c r="R102" s="275">
        <v>21581.5</v>
      </c>
      <c r="S102" s="268"/>
      <c r="T102" s="276"/>
      <c r="U102" s="277">
        <f t="shared" si="31"/>
        <v>21581.5</v>
      </c>
      <c r="V102" s="278">
        <f t="shared" si="32"/>
        <v>0</v>
      </c>
      <c r="W102" s="275">
        <f t="shared" si="33"/>
        <v>21581.5</v>
      </c>
      <c r="X102" s="268"/>
      <c r="Y102" s="280"/>
      <c r="Z102" s="268"/>
    </row>
    <row r="103" spans="1:26">
      <c r="A103" s="8">
        <v>94</v>
      </c>
      <c r="B103" s="268" t="s">
        <v>1413</v>
      </c>
      <c r="C103" s="268" t="s">
        <v>1494</v>
      </c>
      <c r="D103" s="269">
        <v>0</v>
      </c>
      <c r="E103" s="270">
        <v>0</v>
      </c>
      <c r="F103" s="270">
        <v>0</v>
      </c>
      <c r="G103" s="270">
        <v>0</v>
      </c>
      <c r="H103" s="270">
        <v>0</v>
      </c>
      <c r="I103" s="271">
        <v>0</v>
      </c>
      <c r="J103" s="272">
        <v>34784.75</v>
      </c>
      <c r="K103" s="272">
        <v>38138.840000000004</v>
      </c>
      <c r="L103" s="272">
        <v>32024.670000000002</v>
      </c>
      <c r="M103" s="272">
        <v>578.79</v>
      </c>
      <c r="N103" s="272">
        <v>581.98</v>
      </c>
      <c r="O103" s="272">
        <v>585.19000000000005</v>
      </c>
      <c r="P103" s="274"/>
      <c r="Q103" s="274"/>
      <c r="R103" s="275">
        <v>106694.22</v>
      </c>
      <c r="S103" s="268"/>
      <c r="T103" s="276"/>
      <c r="U103" s="277">
        <f t="shared" si="31"/>
        <v>0</v>
      </c>
      <c r="V103" s="278">
        <f t="shared" si="32"/>
        <v>106694.21999999999</v>
      </c>
      <c r="W103" s="275">
        <f t="shared" si="33"/>
        <v>106694.21999999999</v>
      </c>
      <c r="X103" s="268"/>
      <c r="Y103" s="280"/>
      <c r="Z103" s="268"/>
    </row>
    <row r="104" spans="1:26">
      <c r="A104" s="8">
        <v>95</v>
      </c>
      <c r="B104" s="268" t="s">
        <v>1413</v>
      </c>
      <c r="C104" s="268" t="s">
        <v>1495</v>
      </c>
      <c r="D104" s="269">
        <v>48448.88</v>
      </c>
      <c r="E104" s="270">
        <v>344.81</v>
      </c>
      <c r="F104" s="270">
        <v>346.90000000000003</v>
      </c>
      <c r="G104" s="270">
        <v>318.18</v>
      </c>
      <c r="H104" s="270">
        <v>319.94</v>
      </c>
      <c r="I104" s="271">
        <v>14476.73</v>
      </c>
      <c r="J104" s="272">
        <v>6324.5</v>
      </c>
      <c r="K104" s="272">
        <v>0</v>
      </c>
      <c r="L104" s="272">
        <v>0</v>
      </c>
      <c r="M104" s="272">
        <v>0</v>
      </c>
      <c r="N104" s="272">
        <v>0</v>
      </c>
      <c r="O104" s="272">
        <v>0</v>
      </c>
      <c r="P104" s="274"/>
      <c r="Q104" s="274"/>
      <c r="R104" s="275">
        <v>70579.94</v>
      </c>
      <c r="S104" s="268"/>
      <c r="T104" s="276"/>
      <c r="U104" s="277">
        <f t="shared" si="31"/>
        <v>64255.44</v>
      </c>
      <c r="V104" s="278">
        <f t="shared" si="32"/>
        <v>6324.5</v>
      </c>
      <c r="W104" s="275">
        <f t="shared" si="33"/>
        <v>70579.94</v>
      </c>
      <c r="X104" s="268"/>
      <c r="Y104" s="280"/>
      <c r="Z104" s="268"/>
    </row>
    <row r="105" spans="1:26">
      <c r="A105" s="8">
        <v>96</v>
      </c>
      <c r="B105" s="268" t="s">
        <v>1413</v>
      </c>
      <c r="C105" s="268" t="s">
        <v>1496</v>
      </c>
      <c r="D105" s="269">
        <v>170.24</v>
      </c>
      <c r="E105" s="270">
        <v>171.28</v>
      </c>
      <c r="F105" s="270">
        <v>172.31</v>
      </c>
      <c r="G105" s="270">
        <v>158.05000000000001</v>
      </c>
      <c r="H105" s="270">
        <v>37645.800000000003</v>
      </c>
      <c r="I105" s="271">
        <v>361.74</v>
      </c>
      <c r="J105" s="272">
        <v>1628.65</v>
      </c>
      <c r="K105" s="272">
        <v>0</v>
      </c>
      <c r="L105" s="272">
        <v>0</v>
      </c>
      <c r="M105" s="272">
        <v>0</v>
      </c>
      <c r="N105" s="272">
        <v>0</v>
      </c>
      <c r="O105" s="272">
        <v>0</v>
      </c>
      <c r="P105" s="274"/>
      <c r="Q105" s="274"/>
      <c r="R105" s="275">
        <v>40308.07</v>
      </c>
      <c r="S105" s="268"/>
      <c r="T105" s="276"/>
      <c r="U105" s="277">
        <f t="shared" si="31"/>
        <v>38679.42</v>
      </c>
      <c r="V105" s="278">
        <f t="shared" si="32"/>
        <v>1628.65</v>
      </c>
      <c r="W105" s="275">
        <f t="shared" si="33"/>
        <v>40308.07</v>
      </c>
      <c r="X105" s="268"/>
      <c r="Y105" s="280"/>
      <c r="Z105" s="268"/>
    </row>
    <row r="106" spans="1:26">
      <c r="A106" s="8">
        <v>97</v>
      </c>
      <c r="B106" s="268" t="s">
        <v>1413</v>
      </c>
      <c r="C106" s="268" t="s">
        <v>1497</v>
      </c>
      <c r="D106" s="269">
        <v>0</v>
      </c>
      <c r="E106" s="270">
        <v>0</v>
      </c>
      <c r="F106" s="270">
        <v>0</v>
      </c>
      <c r="G106" s="270">
        <v>0</v>
      </c>
      <c r="H106" s="270">
        <v>0</v>
      </c>
      <c r="I106" s="271">
        <v>0</v>
      </c>
      <c r="J106" s="272">
        <v>0</v>
      </c>
      <c r="K106" s="272">
        <v>0</v>
      </c>
      <c r="L106" s="272">
        <v>50596</v>
      </c>
      <c r="M106" s="272">
        <v>50596</v>
      </c>
      <c r="N106" s="272">
        <v>0</v>
      </c>
      <c r="O106" s="272">
        <v>0</v>
      </c>
      <c r="P106" s="274"/>
      <c r="Q106" s="274"/>
      <c r="R106" s="275">
        <v>101192</v>
      </c>
      <c r="S106" s="268"/>
      <c r="T106" s="276"/>
      <c r="U106" s="277">
        <f t="shared" si="31"/>
        <v>0</v>
      </c>
      <c r="V106" s="278">
        <f t="shared" si="32"/>
        <v>101192</v>
      </c>
      <c r="W106" s="275">
        <f t="shared" si="33"/>
        <v>101192</v>
      </c>
      <c r="X106" s="268"/>
      <c r="Y106" s="280"/>
      <c r="Z106" s="268"/>
    </row>
    <row r="107" spans="1:26">
      <c r="A107" s="8">
        <v>98</v>
      </c>
      <c r="B107" s="268" t="s">
        <v>1413</v>
      </c>
      <c r="C107" s="268" t="s">
        <v>1498</v>
      </c>
      <c r="D107" s="269">
        <v>0</v>
      </c>
      <c r="E107" s="270">
        <v>0</v>
      </c>
      <c r="F107" s="270">
        <v>0</v>
      </c>
      <c r="G107" s="270">
        <v>0</v>
      </c>
      <c r="H107" s="270">
        <v>0</v>
      </c>
      <c r="I107" s="271">
        <v>0</v>
      </c>
      <c r="J107" s="272">
        <v>0</v>
      </c>
      <c r="K107" s="272">
        <v>94867.5</v>
      </c>
      <c r="L107" s="272">
        <v>63768.19</v>
      </c>
      <c r="M107" s="272">
        <v>874.88</v>
      </c>
      <c r="N107" s="272">
        <v>879.7</v>
      </c>
      <c r="O107" s="272">
        <v>884.55000000000007</v>
      </c>
      <c r="P107" s="274"/>
      <c r="Q107" s="274"/>
      <c r="R107" s="275">
        <v>161274.82</v>
      </c>
      <c r="S107" s="268"/>
      <c r="T107" s="276"/>
      <c r="U107" s="277">
        <f t="shared" si="31"/>
        <v>0</v>
      </c>
      <c r="V107" s="278">
        <f t="shared" si="32"/>
        <v>161274.82</v>
      </c>
      <c r="W107" s="275">
        <f t="shared" si="33"/>
        <v>161274.82</v>
      </c>
      <c r="X107" s="268"/>
      <c r="Y107" s="280"/>
      <c r="Z107" s="268"/>
    </row>
    <row r="108" spans="1:26">
      <c r="A108" s="8">
        <v>99</v>
      </c>
      <c r="B108" s="268" t="s">
        <v>1413</v>
      </c>
      <c r="C108" s="268" t="s">
        <v>1651</v>
      </c>
      <c r="D108" s="269">
        <v>8.4499999999999993</v>
      </c>
      <c r="E108" s="270">
        <v>8.49</v>
      </c>
      <c r="F108" s="270">
        <v>8.5500000000000007</v>
      </c>
      <c r="G108" s="270">
        <v>12816.15</v>
      </c>
      <c r="H108" s="270">
        <v>36175.85</v>
      </c>
      <c r="I108" s="271">
        <v>6271.87</v>
      </c>
      <c r="J108" s="272">
        <v>0</v>
      </c>
      <c r="K108" s="272">
        <v>0</v>
      </c>
      <c r="L108" s="272">
        <v>0</v>
      </c>
      <c r="M108" s="272">
        <v>0</v>
      </c>
      <c r="N108" s="272">
        <v>0</v>
      </c>
      <c r="O108" s="272">
        <v>0</v>
      </c>
      <c r="P108" s="273">
        <v>42978</v>
      </c>
      <c r="Q108" s="274">
        <v>376</v>
      </c>
      <c r="R108" s="275">
        <v>55289.36</v>
      </c>
      <c r="S108" s="268"/>
      <c r="T108" s="276">
        <f>+R108</f>
        <v>55289.36</v>
      </c>
      <c r="U108" s="277">
        <f t="shared" si="31"/>
        <v>55289.36</v>
      </c>
      <c r="V108" s="278">
        <f t="shared" si="32"/>
        <v>0</v>
      </c>
      <c r="W108" s="275">
        <f t="shared" si="33"/>
        <v>55289.36</v>
      </c>
      <c r="X108" s="276">
        <f>+T108</f>
        <v>55289.36</v>
      </c>
      <c r="Y108" s="280">
        <v>17</v>
      </c>
      <c r="Z108" s="268"/>
    </row>
    <row r="109" spans="1:26">
      <c r="A109" s="8">
        <v>100</v>
      </c>
      <c r="B109" s="268" t="s">
        <v>1413</v>
      </c>
      <c r="C109" s="268" t="s">
        <v>1499</v>
      </c>
      <c r="D109" s="269">
        <v>1.29</v>
      </c>
      <c r="E109" s="270">
        <v>0</v>
      </c>
      <c r="F109" s="270">
        <v>3353.56</v>
      </c>
      <c r="G109" s="270">
        <v>17323.78</v>
      </c>
      <c r="H109" s="270">
        <v>133847.58000000002</v>
      </c>
      <c r="I109" s="271">
        <v>0</v>
      </c>
      <c r="J109" s="272">
        <v>825.23</v>
      </c>
      <c r="K109" s="272">
        <v>829.78</v>
      </c>
      <c r="L109" s="272">
        <v>834.35</v>
      </c>
      <c r="M109" s="272">
        <v>838.95</v>
      </c>
      <c r="N109" s="272">
        <v>843.59</v>
      </c>
      <c r="O109" s="272">
        <v>848.24</v>
      </c>
      <c r="P109" s="274"/>
      <c r="Q109" s="274"/>
      <c r="R109" s="275">
        <v>159546.35</v>
      </c>
      <c r="S109" s="268"/>
      <c r="T109" s="276"/>
      <c r="U109" s="277">
        <f t="shared" si="31"/>
        <v>154526.21000000002</v>
      </c>
      <c r="V109" s="278">
        <f t="shared" si="32"/>
        <v>5020.1400000000003</v>
      </c>
      <c r="W109" s="275">
        <f t="shared" si="33"/>
        <v>159546.35000000003</v>
      </c>
      <c r="X109" s="268"/>
      <c r="Y109" s="280">
        <v>1</v>
      </c>
      <c r="Z109" s="268"/>
    </row>
    <row r="110" spans="1:26">
      <c r="A110" s="8">
        <v>101</v>
      </c>
      <c r="B110" s="268" t="s">
        <v>1413</v>
      </c>
      <c r="C110" s="268" t="s">
        <v>1500</v>
      </c>
      <c r="D110" s="269">
        <v>64242.18</v>
      </c>
      <c r="E110" s="270">
        <v>60861.22</v>
      </c>
      <c r="F110" s="270">
        <v>84583.35</v>
      </c>
      <c r="G110" s="270">
        <v>83263.17</v>
      </c>
      <c r="H110" s="270">
        <v>129580.83</v>
      </c>
      <c r="I110" s="271">
        <v>70501.39</v>
      </c>
      <c r="J110" s="272">
        <v>99889.58</v>
      </c>
      <c r="K110" s="272">
        <v>99889.58</v>
      </c>
      <c r="L110" s="272">
        <v>99889.58</v>
      </c>
      <c r="M110" s="272">
        <v>99889.58</v>
      </c>
      <c r="N110" s="272">
        <v>99889.58</v>
      </c>
      <c r="O110" s="272">
        <v>99889.58</v>
      </c>
      <c r="P110" s="273">
        <v>43100</v>
      </c>
      <c r="Q110" s="274">
        <v>381</v>
      </c>
      <c r="R110" s="275">
        <v>1092369.6200000001</v>
      </c>
      <c r="S110" s="986">
        <f>+'State Allocation Formulas'!$L$25</f>
        <v>0.77239999999999998</v>
      </c>
      <c r="T110" s="276">
        <f>+R110*S110</f>
        <v>843746.2944880001</v>
      </c>
      <c r="U110" s="277">
        <f t="shared" si="31"/>
        <v>493032.14</v>
      </c>
      <c r="V110" s="278">
        <f t="shared" si="32"/>
        <v>599337.48</v>
      </c>
      <c r="W110" s="275">
        <f t="shared" si="33"/>
        <v>1092369.6200000001</v>
      </c>
      <c r="X110" s="279">
        <f t="shared" ref="X110" si="35">+T110</f>
        <v>843746.2944880001</v>
      </c>
      <c r="Y110" s="280">
        <v>51</v>
      </c>
      <c r="Z110" s="268"/>
    </row>
    <row r="111" spans="1:26">
      <c r="A111" s="8">
        <v>102</v>
      </c>
      <c r="B111" s="268" t="s">
        <v>1413</v>
      </c>
      <c r="C111" s="268" t="s">
        <v>1501</v>
      </c>
      <c r="D111" s="269">
        <v>320.5</v>
      </c>
      <c r="E111" s="270">
        <v>12080.95</v>
      </c>
      <c r="F111" s="270">
        <v>0</v>
      </c>
      <c r="G111" s="270">
        <v>0</v>
      </c>
      <c r="H111" s="270">
        <v>0</v>
      </c>
      <c r="I111" s="271">
        <v>0</v>
      </c>
      <c r="J111" s="272">
        <v>0</v>
      </c>
      <c r="K111" s="272">
        <v>0</v>
      </c>
      <c r="L111" s="272">
        <v>0</v>
      </c>
      <c r="M111" s="272">
        <v>0</v>
      </c>
      <c r="N111" s="272">
        <v>0</v>
      </c>
      <c r="O111" s="272">
        <v>0</v>
      </c>
      <c r="P111" s="273">
        <v>42735</v>
      </c>
      <c r="Q111" s="274">
        <v>376</v>
      </c>
      <c r="R111" s="275">
        <v>12401.45</v>
      </c>
      <c r="S111" s="268"/>
      <c r="T111" s="276">
        <f t="shared" ref="T111" si="36">+R111</f>
        <v>12401.45</v>
      </c>
      <c r="U111" s="277">
        <f t="shared" si="31"/>
        <v>12401.45</v>
      </c>
      <c r="V111" s="278">
        <f t="shared" si="32"/>
        <v>0</v>
      </c>
      <c r="W111" s="275">
        <f t="shared" si="33"/>
        <v>12401.45</v>
      </c>
      <c r="X111" s="268"/>
      <c r="Y111" s="280" t="s">
        <v>1426</v>
      </c>
      <c r="Z111" s="268"/>
    </row>
    <row r="112" spans="1:26">
      <c r="A112" s="8">
        <v>103</v>
      </c>
      <c r="B112" s="268" t="s">
        <v>1413</v>
      </c>
      <c r="C112" s="268" t="s">
        <v>1502</v>
      </c>
      <c r="D112" s="269">
        <v>6695.93</v>
      </c>
      <c r="E112" s="270">
        <v>0</v>
      </c>
      <c r="F112" s="270">
        <v>104622.8</v>
      </c>
      <c r="G112" s="270">
        <v>0</v>
      </c>
      <c r="H112" s="270">
        <v>-0.67</v>
      </c>
      <c r="I112" s="271">
        <v>0</v>
      </c>
      <c r="J112" s="272">
        <v>0</v>
      </c>
      <c r="K112" s="272">
        <v>0</v>
      </c>
      <c r="L112" s="272">
        <v>0</v>
      </c>
      <c r="M112" s="272">
        <v>0</v>
      </c>
      <c r="N112" s="272">
        <v>0</v>
      </c>
      <c r="O112" s="272">
        <v>0</v>
      </c>
      <c r="P112" s="273">
        <v>42735</v>
      </c>
      <c r="Q112" s="274">
        <v>376</v>
      </c>
      <c r="R112" s="275">
        <v>111318.06</v>
      </c>
      <c r="S112" s="268"/>
      <c r="T112" s="276">
        <f>+R112</f>
        <v>111318.06</v>
      </c>
      <c r="U112" s="277">
        <f t="shared" si="31"/>
        <v>111318.06000000001</v>
      </c>
      <c r="V112" s="278">
        <f t="shared" si="32"/>
        <v>0</v>
      </c>
      <c r="W112" s="275">
        <f t="shared" si="33"/>
        <v>111318.06000000001</v>
      </c>
      <c r="X112" s="276">
        <f>+T112</f>
        <v>111318.06</v>
      </c>
      <c r="Y112" s="280">
        <v>32</v>
      </c>
      <c r="Z112" s="268"/>
    </row>
    <row r="113" spans="1:26">
      <c r="A113" s="8">
        <v>104</v>
      </c>
      <c r="B113" s="268" t="s">
        <v>1413</v>
      </c>
      <c r="C113" s="268" t="s">
        <v>1503</v>
      </c>
      <c r="D113" s="269">
        <v>35.25</v>
      </c>
      <c r="E113" s="270">
        <v>45802.37</v>
      </c>
      <c r="F113" s="270">
        <v>13110.08</v>
      </c>
      <c r="G113" s="270">
        <v>51034.270000000004</v>
      </c>
      <c r="H113" s="270">
        <v>85.33</v>
      </c>
      <c r="I113" s="271">
        <v>0</v>
      </c>
      <c r="J113" s="272">
        <v>0</v>
      </c>
      <c r="K113" s="272">
        <v>0</v>
      </c>
      <c r="L113" s="272">
        <v>0</v>
      </c>
      <c r="M113" s="272">
        <v>0</v>
      </c>
      <c r="N113" s="272">
        <v>0</v>
      </c>
      <c r="O113" s="272">
        <v>0</v>
      </c>
      <c r="P113" s="273">
        <v>42917</v>
      </c>
      <c r="Q113" s="274">
        <v>376</v>
      </c>
      <c r="R113" s="275">
        <v>110067.3</v>
      </c>
      <c r="S113" s="268"/>
      <c r="T113" s="276">
        <f>+R113</f>
        <v>110067.3</v>
      </c>
      <c r="U113" s="277">
        <f t="shared" si="31"/>
        <v>110067.3</v>
      </c>
      <c r="V113" s="278">
        <f t="shared" si="32"/>
        <v>0</v>
      </c>
      <c r="W113" s="275">
        <f t="shared" si="33"/>
        <v>110067.3</v>
      </c>
      <c r="X113" s="276">
        <f t="shared" ref="X113" si="37">+T113</f>
        <v>110067.3</v>
      </c>
      <c r="Y113" s="280">
        <v>33</v>
      </c>
      <c r="Z113" s="268"/>
    </row>
    <row r="114" spans="1:26">
      <c r="A114" s="8">
        <v>105</v>
      </c>
      <c r="B114" s="268" t="s">
        <v>1413</v>
      </c>
      <c r="C114" s="268" t="s">
        <v>1504</v>
      </c>
      <c r="D114" s="269">
        <v>0</v>
      </c>
      <c r="E114" s="270">
        <v>0</v>
      </c>
      <c r="F114" s="270">
        <v>0</v>
      </c>
      <c r="G114" s="270">
        <v>0</v>
      </c>
      <c r="H114" s="270">
        <v>0</v>
      </c>
      <c r="I114" s="271">
        <v>0</v>
      </c>
      <c r="J114" s="272">
        <v>0</v>
      </c>
      <c r="K114" s="272">
        <v>193529.7</v>
      </c>
      <c r="L114" s="272">
        <v>1067.31</v>
      </c>
      <c r="M114" s="272">
        <v>1073.2</v>
      </c>
      <c r="N114" s="272">
        <v>1079.1300000000001</v>
      </c>
      <c r="O114" s="272">
        <v>1085.07</v>
      </c>
      <c r="P114" s="273">
        <v>43100</v>
      </c>
      <c r="Q114" s="274">
        <v>376</v>
      </c>
      <c r="R114" s="275">
        <v>197834.41</v>
      </c>
      <c r="S114" s="268"/>
      <c r="T114" s="276">
        <f t="shared" ref="T114:T120" si="38">+R114</f>
        <v>197834.41</v>
      </c>
      <c r="U114" s="277">
        <f t="shared" si="31"/>
        <v>0</v>
      </c>
      <c r="V114" s="278">
        <f t="shared" si="32"/>
        <v>197834.41000000003</v>
      </c>
      <c r="W114" s="275">
        <f t="shared" si="33"/>
        <v>197834.41000000003</v>
      </c>
      <c r="X114" s="279">
        <f>+T114</f>
        <v>197834.41</v>
      </c>
      <c r="Y114" s="280">
        <v>34</v>
      </c>
      <c r="Z114" s="268"/>
    </row>
    <row r="115" spans="1:26">
      <c r="A115" s="8">
        <v>106</v>
      </c>
      <c r="B115" s="268" t="s">
        <v>1413</v>
      </c>
      <c r="C115" s="268" t="s">
        <v>1505</v>
      </c>
      <c r="D115" s="269">
        <v>0</v>
      </c>
      <c r="E115" s="270">
        <v>0</v>
      </c>
      <c r="F115" s="270">
        <v>0</v>
      </c>
      <c r="G115" s="270">
        <v>27933.95</v>
      </c>
      <c r="H115" s="270">
        <v>86874.77</v>
      </c>
      <c r="I115" s="271">
        <v>42247.22</v>
      </c>
      <c r="J115" s="272">
        <v>23634.36</v>
      </c>
      <c r="K115" s="272">
        <v>41473.31</v>
      </c>
      <c r="L115" s="272">
        <v>42334.48</v>
      </c>
      <c r="M115" s="272">
        <v>254438.71</v>
      </c>
      <c r="N115" s="272">
        <v>265841.93</v>
      </c>
      <c r="O115" s="272">
        <v>257252.9</v>
      </c>
      <c r="P115" s="273">
        <v>43100</v>
      </c>
      <c r="Q115" s="274">
        <v>376</v>
      </c>
      <c r="R115" s="275">
        <v>1042031.63</v>
      </c>
      <c r="S115" s="268"/>
      <c r="T115" s="276">
        <f t="shared" si="38"/>
        <v>1042031.63</v>
      </c>
      <c r="U115" s="277">
        <f t="shared" si="31"/>
        <v>157055.94</v>
      </c>
      <c r="V115" s="278">
        <f t="shared" si="32"/>
        <v>884975.69000000006</v>
      </c>
      <c r="W115" s="275">
        <f t="shared" si="33"/>
        <v>1042031.6300000001</v>
      </c>
      <c r="X115" s="276">
        <f>+T115</f>
        <v>1042031.63</v>
      </c>
      <c r="Y115" s="280">
        <v>34</v>
      </c>
      <c r="Z115" s="268"/>
    </row>
    <row r="116" spans="1:26">
      <c r="A116" s="8">
        <v>107</v>
      </c>
      <c r="B116" s="268" t="s">
        <v>1413</v>
      </c>
      <c r="C116" s="268" t="s">
        <v>1506</v>
      </c>
      <c r="D116" s="269">
        <v>276578.96000000002</v>
      </c>
      <c r="E116" s="270">
        <v>95544.89</v>
      </c>
      <c r="F116" s="270">
        <v>108569.42</v>
      </c>
      <c r="G116" s="270">
        <v>748.01</v>
      </c>
      <c r="H116" s="270">
        <v>14502.69</v>
      </c>
      <c r="I116" s="271">
        <v>0</v>
      </c>
      <c r="J116" s="272">
        <v>0</v>
      </c>
      <c r="K116" s="272">
        <v>0</v>
      </c>
      <c r="L116" s="272">
        <v>0</v>
      </c>
      <c r="M116" s="272">
        <v>0</v>
      </c>
      <c r="N116" s="272">
        <v>0</v>
      </c>
      <c r="O116" s="272">
        <v>0</v>
      </c>
      <c r="P116" s="273">
        <v>42795</v>
      </c>
      <c r="Q116" s="274">
        <v>378</v>
      </c>
      <c r="R116" s="275">
        <v>495943.97000000003</v>
      </c>
      <c r="S116" s="268"/>
      <c r="T116" s="276">
        <f t="shared" si="38"/>
        <v>495943.97000000003</v>
      </c>
      <c r="U116" s="277">
        <f t="shared" si="31"/>
        <v>495943.97000000003</v>
      </c>
      <c r="V116" s="278">
        <f t="shared" si="32"/>
        <v>0</v>
      </c>
      <c r="W116" s="275">
        <f t="shared" si="33"/>
        <v>495943.97000000003</v>
      </c>
      <c r="X116" s="276"/>
      <c r="Y116" s="280" t="s">
        <v>1426</v>
      </c>
      <c r="Z116" s="268"/>
    </row>
    <row r="117" spans="1:26">
      <c r="A117" s="8">
        <v>108</v>
      </c>
      <c r="B117" s="268" t="s">
        <v>1413</v>
      </c>
      <c r="C117" s="268" t="s">
        <v>1507</v>
      </c>
      <c r="D117" s="269">
        <v>0</v>
      </c>
      <c r="E117" s="270">
        <v>0</v>
      </c>
      <c r="F117" s="270">
        <v>0</v>
      </c>
      <c r="G117" s="270">
        <v>0</v>
      </c>
      <c r="H117" s="270">
        <v>15068.23</v>
      </c>
      <c r="I117" s="271">
        <v>83.100000000000009</v>
      </c>
      <c r="J117" s="272">
        <v>83.56</v>
      </c>
      <c r="K117" s="272">
        <v>84.02</v>
      </c>
      <c r="L117" s="272">
        <v>84.48</v>
      </c>
      <c r="M117" s="272">
        <v>84.95</v>
      </c>
      <c r="N117" s="272">
        <v>0</v>
      </c>
      <c r="O117" s="272">
        <v>0</v>
      </c>
      <c r="P117" s="273">
        <v>43029</v>
      </c>
      <c r="Q117" s="274">
        <v>376</v>
      </c>
      <c r="R117" s="275">
        <v>15488.34</v>
      </c>
      <c r="S117" s="268"/>
      <c r="T117" s="276">
        <f t="shared" si="38"/>
        <v>15488.34</v>
      </c>
      <c r="U117" s="277">
        <f t="shared" si="31"/>
        <v>15151.33</v>
      </c>
      <c r="V117" s="278">
        <f t="shared" si="32"/>
        <v>337.01</v>
      </c>
      <c r="W117" s="275">
        <f t="shared" si="33"/>
        <v>15488.34</v>
      </c>
      <c r="X117" s="268"/>
      <c r="Y117" s="280" t="s">
        <v>1426</v>
      </c>
      <c r="Z117" s="268"/>
    </row>
    <row r="118" spans="1:26">
      <c r="A118" s="8">
        <v>109</v>
      </c>
      <c r="B118" s="268" t="s">
        <v>1413</v>
      </c>
      <c r="C118" s="268" t="s">
        <v>1508</v>
      </c>
      <c r="D118" s="269">
        <v>93.37</v>
      </c>
      <c r="E118" s="270">
        <v>85441.38</v>
      </c>
      <c r="F118" s="270">
        <v>1142.54</v>
      </c>
      <c r="G118" s="270">
        <v>123455.44</v>
      </c>
      <c r="H118" s="270">
        <v>28808.9</v>
      </c>
      <c r="I118" s="271">
        <v>0</v>
      </c>
      <c r="J118" s="272">
        <v>0</v>
      </c>
      <c r="K118" s="272">
        <v>0</v>
      </c>
      <c r="L118" s="272">
        <v>0</v>
      </c>
      <c r="M118" s="272">
        <v>0</v>
      </c>
      <c r="N118" s="272">
        <v>0</v>
      </c>
      <c r="O118" s="272">
        <v>0</v>
      </c>
      <c r="P118" s="273">
        <v>42916</v>
      </c>
      <c r="Q118" s="274">
        <v>376</v>
      </c>
      <c r="R118" s="275">
        <v>238941.63</v>
      </c>
      <c r="S118" s="268"/>
      <c r="T118" s="276">
        <f t="shared" si="38"/>
        <v>238941.63</v>
      </c>
      <c r="U118" s="277">
        <f t="shared" si="31"/>
        <v>238941.62999999998</v>
      </c>
      <c r="V118" s="278">
        <f t="shared" si="32"/>
        <v>0</v>
      </c>
      <c r="W118" s="275">
        <f t="shared" si="33"/>
        <v>238941.62999999998</v>
      </c>
      <c r="X118" s="276">
        <f t="shared" ref="X118:X122" si="39">+T118</f>
        <v>238941.63</v>
      </c>
      <c r="Y118" s="280">
        <v>2</v>
      </c>
      <c r="Z118" s="268"/>
    </row>
    <row r="119" spans="1:26">
      <c r="A119" s="8">
        <v>110</v>
      </c>
      <c r="B119" s="268" t="s">
        <v>1413</v>
      </c>
      <c r="C119" s="268" t="s">
        <v>1509</v>
      </c>
      <c r="D119" s="269">
        <v>855.16</v>
      </c>
      <c r="E119" s="270">
        <v>3280.9</v>
      </c>
      <c r="F119" s="270">
        <v>20012.48</v>
      </c>
      <c r="G119" s="270">
        <v>2926.28</v>
      </c>
      <c r="H119" s="270">
        <v>0</v>
      </c>
      <c r="I119" s="271">
        <v>0</v>
      </c>
      <c r="J119" s="272">
        <v>0</v>
      </c>
      <c r="K119" s="272">
        <v>0</v>
      </c>
      <c r="L119" s="272">
        <v>0</v>
      </c>
      <c r="M119" s="272">
        <v>0</v>
      </c>
      <c r="N119" s="272">
        <v>0</v>
      </c>
      <c r="O119" s="272">
        <v>0</v>
      </c>
      <c r="P119" s="273">
        <v>42719</v>
      </c>
      <c r="Q119" s="274">
        <v>378</v>
      </c>
      <c r="R119" s="275">
        <v>27074.82</v>
      </c>
      <c r="S119" s="268"/>
      <c r="T119" s="276">
        <f t="shared" si="38"/>
        <v>27074.82</v>
      </c>
      <c r="U119" s="277">
        <f t="shared" si="31"/>
        <v>27074.82</v>
      </c>
      <c r="V119" s="278">
        <f t="shared" si="32"/>
        <v>0</v>
      </c>
      <c r="W119" s="275">
        <f t="shared" si="33"/>
        <v>27074.82</v>
      </c>
      <c r="X119" s="276"/>
      <c r="Y119" s="280" t="s">
        <v>1426</v>
      </c>
      <c r="Z119" s="268"/>
    </row>
    <row r="120" spans="1:26">
      <c r="A120" s="8">
        <v>111</v>
      </c>
      <c r="B120" s="268" t="s">
        <v>1413</v>
      </c>
      <c r="C120" s="268" t="s">
        <v>1510</v>
      </c>
      <c r="D120" s="269">
        <v>0</v>
      </c>
      <c r="E120" s="270">
        <v>0</v>
      </c>
      <c r="F120" s="270">
        <v>0</v>
      </c>
      <c r="G120" s="270">
        <v>0</v>
      </c>
      <c r="H120" s="270">
        <v>0</v>
      </c>
      <c r="I120" s="271">
        <v>0</v>
      </c>
      <c r="J120" s="272">
        <v>0</v>
      </c>
      <c r="K120" s="272">
        <v>4427.1500000000005</v>
      </c>
      <c r="L120" s="272">
        <v>75285.97</v>
      </c>
      <c r="M120" s="272">
        <v>9293.91</v>
      </c>
      <c r="N120" s="272">
        <v>490.87</v>
      </c>
      <c r="O120" s="272">
        <v>493.58</v>
      </c>
      <c r="P120" s="274"/>
      <c r="Q120" s="274"/>
      <c r="R120" s="275">
        <v>89991.48</v>
      </c>
      <c r="S120" s="268"/>
      <c r="T120" s="276">
        <f t="shared" si="38"/>
        <v>89991.48</v>
      </c>
      <c r="U120" s="277">
        <f t="shared" si="31"/>
        <v>0</v>
      </c>
      <c r="V120" s="278">
        <f t="shared" si="32"/>
        <v>89991.48</v>
      </c>
      <c r="W120" s="275">
        <f t="shared" si="33"/>
        <v>89991.48</v>
      </c>
      <c r="X120" s="276">
        <f t="shared" si="39"/>
        <v>89991.48</v>
      </c>
      <c r="Y120" s="280">
        <v>28</v>
      </c>
      <c r="Z120" s="268"/>
    </row>
    <row r="121" spans="1:26">
      <c r="A121" s="8">
        <v>112</v>
      </c>
      <c r="B121" s="268" t="s">
        <v>1413</v>
      </c>
      <c r="C121" s="268" t="s">
        <v>1511</v>
      </c>
      <c r="D121" s="269">
        <v>0</v>
      </c>
      <c r="E121" s="270">
        <v>0</v>
      </c>
      <c r="F121" s="270">
        <v>0</v>
      </c>
      <c r="G121" s="270">
        <v>0</v>
      </c>
      <c r="H121" s="270">
        <v>0</v>
      </c>
      <c r="I121" s="271">
        <v>73.960000000000008</v>
      </c>
      <c r="J121" s="272">
        <v>8854.7100000000009</v>
      </c>
      <c r="K121" s="272">
        <v>49.24</v>
      </c>
      <c r="L121" s="272">
        <v>0</v>
      </c>
      <c r="M121" s="272">
        <v>0</v>
      </c>
      <c r="N121" s="272">
        <v>0</v>
      </c>
      <c r="O121" s="272">
        <v>0</v>
      </c>
      <c r="P121" s="274"/>
      <c r="Q121" s="274"/>
      <c r="R121" s="275">
        <v>8977.91</v>
      </c>
      <c r="S121" s="268"/>
      <c r="T121" s="276"/>
      <c r="U121" s="277">
        <f t="shared" si="31"/>
        <v>73.960000000000008</v>
      </c>
      <c r="V121" s="278">
        <f t="shared" si="32"/>
        <v>8903.9500000000007</v>
      </c>
      <c r="W121" s="275">
        <f t="shared" si="33"/>
        <v>8977.91</v>
      </c>
      <c r="X121" s="268"/>
      <c r="Y121" s="280"/>
      <c r="Z121" s="268"/>
    </row>
    <row r="122" spans="1:26">
      <c r="A122" s="8">
        <v>113</v>
      </c>
      <c r="B122" s="268" t="s">
        <v>1413</v>
      </c>
      <c r="C122" s="268" t="s">
        <v>1512</v>
      </c>
      <c r="D122" s="269">
        <v>0</v>
      </c>
      <c r="E122" s="270">
        <v>0</v>
      </c>
      <c r="F122" s="270">
        <v>0</v>
      </c>
      <c r="G122" s="270">
        <v>0</v>
      </c>
      <c r="H122" s="270">
        <v>0</v>
      </c>
      <c r="I122" s="271">
        <v>0</v>
      </c>
      <c r="J122" s="272">
        <v>0</v>
      </c>
      <c r="K122" s="272">
        <v>4427.1500000000005</v>
      </c>
      <c r="L122" s="272">
        <v>75285.97</v>
      </c>
      <c r="M122" s="272">
        <v>9293.91</v>
      </c>
      <c r="N122" s="272">
        <v>490.87</v>
      </c>
      <c r="O122" s="272">
        <v>493.58</v>
      </c>
      <c r="P122" s="274"/>
      <c r="Q122" s="274"/>
      <c r="R122" s="275">
        <v>89991.48</v>
      </c>
      <c r="S122" s="268"/>
      <c r="T122" s="276">
        <f>+R122</f>
        <v>89991.48</v>
      </c>
      <c r="U122" s="277">
        <f t="shared" si="31"/>
        <v>0</v>
      </c>
      <c r="V122" s="278">
        <f t="shared" si="32"/>
        <v>89991.48</v>
      </c>
      <c r="W122" s="275">
        <f t="shared" si="33"/>
        <v>89991.48</v>
      </c>
      <c r="X122" s="276">
        <f t="shared" si="39"/>
        <v>89991.48</v>
      </c>
      <c r="Y122" s="280">
        <v>29</v>
      </c>
      <c r="Z122" s="268"/>
    </row>
    <row r="123" spans="1:26">
      <c r="A123" s="8">
        <v>114</v>
      </c>
      <c r="B123" s="268" t="s">
        <v>1413</v>
      </c>
      <c r="C123" s="268" t="s">
        <v>1513</v>
      </c>
      <c r="D123" s="269">
        <v>0</v>
      </c>
      <c r="E123" s="270">
        <v>0</v>
      </c>
      <c r="F123" s="270">
        <v>0</v>
      </c>
      <c r="G123" s="270">
        <v>0</v>
      </c>
      <c r="H123" s="270">
        <v>0</v>
      </c>
      <c r="I123" s="271">
        <v>0</v>
      </c>
      <c r="J123" s="272">
        <v>8854.3000000000011</v>
      </c>
      <c r="K123" s="272">
        <v>48.83</v>
      </c>
      <c r="L123" s="272">
        <v>0</v>
      </c>
      <c r="M123" s="272">
        <v>0</v>
      </c>
      <c r="N123" s="272">
        <v>0</v>
      </c>
      <c r="O123" s="272">
        <v>0</v>
      </c>
      <c r="P123" s="274"/>
      <c r="Q123" s="274"/>
      <c r="R123" s="275">
        <v>8903.130000000001</v>
      </c>
      <c r="S123" s="268"/>
      <c r="T123" s="276"/>
      <c r="U123" s="277">
        <f t="shared" si="31"/>
        <v>0</v>
      </c>
      <c r="V123" s="278">
        <f t="shared" si="32"/>
        <v>8903.130000000001</v>
      </c>
      <c r="W123" s="275">
        <f t="shared" si="33"/>
        <v>8903.130000000001</v>
      </c>
      <c r="X123" s="268"/>
      <c r="Y123" s="280"/>
      <c r="Z123" s="268"/>
    </row>
    <row r="124" spans="1:26">
      <c r="A124" s="8">
        <v>115</v>
      </c>
      <c r="B124" s="268" t="s">
        <v>1413</v>
      </c>
      <c r="C124" s="268" t="s">
        <v>1514</v>
      </c>
      <c r="D124" s="269">
        <v>22.52</v>
      </c>
      <c r="E124" s="270">
        <v>22.67</v>
      </c>
      <c r="F124" s="270">
        <v>22.8</v>
      </c>
      <c r="G124" s="270">
        <v>20.91</v>
      </c>
      <c r="H124" s="270">
        <v>86575.69</v>
      </c>
      <c r="I124" s="271">
        <v>0</v>
      </c>
      <c r="J124" s="272">
        <v>0</v>
      </c>
      <c r="K124" s="272">
        <v>0</v>
      </c>
      <c r="L124" s="272">
        <v>0</v>
      </c>
      <c r="M124" s="272">
        <v>0</v>
      </c>
      <c r="N124" s="272">
        <v>0</v>
      </c>
      <c r="O124" s="272">
        <v>0</v>
      </c>
      <c r="P124" s="274"/>
      <c r="Q124" s="274"/>
      <c r="R124" s="275">
        <v>86664.59</v>
      </c>
      <c r="S124" s="268"/>
      <c r="T124" s="276"/>
      <c r="U124" s="277">
        <f t="shared" si="31"/>
        <v>86664.59</v>
      </c>
      <c r="V124" s="278">
        <f t="shared" si="32"/>
        <v>0</v>
      </c>
      <c r="W124" s="275">
        <f t="shared" si="33"/>
        <v>86664.59</v>
      </c>
      <c r="X124" s="268"/>
      <c r="Y124" s="280"/>
      <c r="Z124" s="268"/>
    </row>
    <row r="125" spans="1:26">
      <c r="A125" s="8">
        <v>116</v>
      </c>
      <c r="B125" s="268" t="s">
        <v>1413</v>
      </c>
      <c r="C125" s="268" t="s">
        <v>1515</v>
      </c>
      <c r="D125" s="269">
        <v>3099.37</v>
      </c>
      <c r="E125" s="270">
        <v>8939.86</v>
      </c>
      <c r="F125" s="270">
        <v>1980.13</v>
      </c>
      <c r="G125" s="270">
        <v>0</v>
      </c>
      <c r="H125" s="270">
        <v>0</v>
      </c>
      <c r="I125" s="271">
        <v>0</v>
      </c>
      <c r="J125" s="272">
        <v>0</v>
      </c>
      <c r="K125" s="272">
        <v>0</v>
      </c>
      <c r="L125" s="272">
        <v>0</v>
      </c>
      <c r="M125" s="272">
        <v>0</v>
      </c>
      <c r="N125" s="272">
        <v>0</v>
      </c>
      <c r="O125" s="272">
        <v>0</v>
      </c>
      <c r="P125" s="273">
        <v>42765</v>
      </c>
      <c r="Q125" s="274">
        <v>376</v>
      </c>
      <c r="R125" s="275">
        <v>14019.36</v>
      </c>
      <c r="S125" s="268"/>
      <c r="T125" s="276">
        <f t="shared" ref="T125:T128" si="40">+R125</f>
        <v>14019.36</v>
      </c>
      <c r="U125" s="277">
        <f t="shared" si="31"/>
        <v>14019.36</v>
      </c>
      <c r="V125" s="278">
        <f t="shared" si="32"/>
        <v>0</v>
      </c>
      <c r="W125" s="275">
        <f t="shared" si="33"/>
        <v>14019.36</v>
      </c>
      <c r="X125" s="276">
        <f t="shared" ref="X125:X127" si="41">+T125</f>
        <v>14019.36</v>
      </c>
      <c r="Y125" s="280">
        <v>6</v>
      </c>
      <c r="Z125" s="268"/>
    </row>
    <row r="126" spans="1:26">
      <c r="A126" s="8">
        <v>117</v>
      </c>
      <c r="B126" s="268" t="s">
        <v>1413</v>
      </c>
      <c r="C126" s="268" t="s">
        <v>1516</v>
      </c>
      <c r="D126" s="269">
        <v>0</v>
      </c>
      <c r="E126" s="270">
        <v>267.13</v>
      </c>
      <c r="F126" s="270">
        <v>11872.72</v>
      </c>
      <c r="G126" s="270">
        <v>0</v>
      </c>
      <c r="H126" s="270">
        <v>0</v>
      </c>
      <c r="I126" s="271">
        <v>0</v>
      </c>
      <c r="J126" s="272">
        <v>0</v>
      </c>
      <c r="K126" s="272">
        <v>0</v>
      </c>
      <c r="L126" s="272">
        <v>0</v>
      </c>
      <c r="M126" s="272">
        <v>0</v>
      </c>
      <c r="N126" s="272">
        <v>0</v>
      </c>
      <c r="O126" s="272">
        <v>0</v>
      </c>
      <c r="P126" s="273">
        <v>43100</v>
      </c>
      <c r="Q126" s="274">
        <v>376</v>
      </c>
      <c r="R126" s="275">
        <v>12139.85</v>
      </c>
      <c r="S126" s="268"/>
      <c r="T126" s="276">
        <f t="shared" si="40"/>
        <v>12139.85</v>
      </c>
      <c r="U126" s="277">
        <f t="shared" si="31"/>
        <v>12139.849999999999</v>
      </c>
      <c r="V126" s="278">
        <f t="shared" si="32"/>
        <v>0</v>
      </c>
      <c r="W126" s="275">
        <f t="shared" si="33"/>
        <v>12139.849999999999</v>
      </c>
      <c r="X126" s="276"/>
      <c r="Y126" s="280" t="s">
        <v>1426</v>
      </c>
      <c r="Z126" s="268"/>
    </row>
    <row r="127" spans="1:26">
      <c r="A127" s="8">
        <v>118</v>
      </c>
      <c r="B127" s="268" t="s">
        <v>1413</v>
      </c>
      <c r="C127" s="268" t="s">
        <v>1517</v>
      </c>
      <c r="D127" s="269">
        <v>5883.75</v>
      </c>
      <c r="E127" s="270">
        <v>1428.1000000000001</v>
      </c>
      <c r="F127" s="270">
        <v>42879.69</v>
      </c>
      <c r="G127" s="270">
        <v>292918.66000000003</v>
      </c>
      <c r="H127" s="270">
        <v>387922.7</v>
      </c>
      <c r="I127" s="271">
        <v>158928.14000000001</v>
      </c>
      <c r="J127" s="272">
        <v>637734.85</v>
      </c>
      <c r="K127" s="272">
        <v>1147211.96</v>
      </c>
      <c r="L127" s="272">
        <v>1912478.83</v>
      </c>
      <c r="M127" s="272">
        <v>341901.16000000003</v>
      </c>
      <c r="N127" s="272">
        <v>0</v>
      </c>
      <c r="O127" s="272">
        <v>0</v>
      </c>
      <c r="P127" s="273">
        <v>43039</v>
      </c>
      <c r="Q127" s="274">
        <v>376</v>
      </c>
      <c r="R127" s="275">
        <v>4929287.84</v>
      </c>
      <c r="S127" s="268"/>
      <c r="T127" s="276">
        <f t="shared" si="40"/>
        <v>4929287.84</v>
      </c>
      <c r="U127" s="277">
        <f t="shared" si="31"/>
        <v>889961.04</v>
      </c>
      <c r="V127" s="278">
        <f t="shared" si="32"/>
        <v>4039326.8000000003</v>
      </c>
      <c r="W127" s="275">
        <f t="shared" si="33"/>
        <v>4929287.84</v>
      </c>
      <c r="X127" s="276">
        <f t="shared" si="41"/>
        <v>4929287.84</v>
      </c>
      <c r="Y127" s="280">
        <v>14</v>
      </c>
      <c r="Z127" s="268"/>
    </row>
    <row r="128" spans="1:26">
      <c r="A128" s="8">
        <v>119</v>
      </c>
      <c r="B128" s="268" t="s">
        <v>1413</v>
      </c>
      <c r="C128" s="268" t="s">
        <v>1518</v>
      </c>
      <c r="D128" s="269">
        <v>0</v>
      </c>
      <c r="E128" s="270">
        <v>14709.56</v>
      </c>
      <c r="F128" s="270">
        <v>1390.1200000000001</v>
      </c>
      <c r="G128" s="270">
        <v>0</v>
      </c>
      <c r="H128" s="270">
        <v>0</v>
      </c>
      <c r="I128" s="271">
        <v>1651.46</v>
      </c>
      <c r="J128" s="272">
        <v>0</v>
      </c>
      <c r="K128" s="272">
        <v>0</v>
      </c>
      <c r="L128" s="272">
        <v>0</v>
      </c>
      <c r="M128" s="272">
        <v>0</v>
      </c>
      <c r="N128" s="272">
        <v>0</v>
      </c>
      <c r="O128" s="272">
        <v>0</v>
      </c>
      <c r="P128" s="273">
        <v>42735</v>
      </c>
      <c r="Q128" s="274">
        <v>376</v>
      </c>
      <c r="R128" s="275">
        <v>17751.14</v>
      </c>
      <c r="S128" s="268"/>
      <c r="T128" s="276">
        <f t="shared" si="40"/>
        <v>17751.14</v>
      </c>
      <c r="U128" s="277">
        <f t="shared" si="31"/>
        <v>17751.14</v>
      </c>
      <c r="V128" s="278">
        <f t="shared" si="32"/>
        <v>0</v>
      </c>
      <c r="W128" s="275">
        <f t="shared" si="33"/>
        <v>17751.14</v>
      </c>
      <c r="X128" s="276"/>
      <c r="Y128" s="280" t="s">
        <v>1426</v>
      </c>
      <c r="Z128" s="268"/>
    </row>
    <row r="129" spans="1:26">
      <c r="A129" s="8">
        <v>120</v>
      </c>
      <c r="B129" s="268" t="s">
        <v>1413</v>
      </c>
      <c r="C129" s="268" t="s">
        <v>1519</v>
      </c>
      <c r="D129" s="269">
        <v>0</v>
      </c>
      <c r="E129" s="270">
        <v>0</v>
      </c>
      <c r="F129" s="270">
        <v>0</v>
      </c>
      <c r="G129" s="270">
        <v>556.66999999999996</v>
      </c>
      <c r="H129" s="270">
        <v>10839.68</v>
      </c>
      <c r="I129" s="271">
        <v>37053.03</v>
      </c>
      <c r="J129" s="272">
        <v>0</v>
      </c>
      <c r="K129" s="272">
        <v>0</v>
      </c>
      <c r="L129" s="272">
        <v>0</v>
      </c>
      <c r="M129" s="272">
        <v>0</v>
      </c>
      <c r="N129" s="272">
        <v>0</v>
      </c>
      <c r="O129" s="272">
        <v>0</v>
      </c>
      <c r="P129" s="273">
        <v>42725</v>
      </c>
      <c r="Q129" s="274">
        <v>378</v>
      </c>
      <c r="R129" s="275">
        <v>48449.38</v>
      </c>
      <c r="S129" s="268"/>
      <c r="T129" s="276"/>
      <c r="U129" s="277">
        <f t="shared" si="31"/>
        <v>48449.38</v>
      </c>
      <c r="V129" s="278">
        <f t="shared" si="32"/>
        <v>0</v>
      </c>
      <c r="W129" s="275">
        <f t="shared" si="33"/>
        <v>48449.38</v>
      </c>
      <c r="X129" s="268"/>
      <c r="Y129" s="280"/>
      <c r="Z129" s="268"/>
    </row>
    <row r="130" spans="1:26">
      <c r="A130" s="8">
        <v>121</v>
      </c>
      <c r="B130" s="268" t="s">
        <v>1413</v>
      </c>
      <c r="C130" s="268" t="s">
        <v>1520</v>
      </c>
      <c r="D130" s="269">
        <v>0</v>
      </c>
      <c r="E130" s="270">
        <v>0</v>
      </c>
      <c r="F130" s="270">
        <v>9652.64</v>
      </c>
      <c r="G130" s="270">
        <v>0</v>
      </c>
      <c r="H130" s="270">
        <v>24.11</v>
      </c>
      <c r="I130" s="271">
        <v>0</v>
      </c>
      <c r="J130" s="272">
        <v>0</v>
      </c>
      <c r="K130" s="272">
        <v>0</v>
      </c>
      <c r="L130" s="272">
        <v>0</v>
      </c>
      <c r="M130" s="272">
        <v>0</v>
      </c>
      <c r="N130" s="272">
        <v>0</v>
      </c>
      <c r="O130" s="272">
        <v>0</v>
      </c>
      <c r="P130" s="273">
        <v>42856</v>
      </c>
      <c r="Q130" s="274">
        <v>376</v>
      </c>
      <c r="R130" s="275">
        <v>9676.75</v>
      </c>
      <c r="S130" s="268"/>
      <c r="T130" s="276">
        <f>+R130</f>
        <v>9676.75</v>
      </c>
      <c r="U130" s="277">
        <f t="shared" si="31"/>
        <v>9676.75</v>
      </c>
      <c r="V130" s="278">
        <f t="shared" si="32"/>
        <v>0</v>
      </c>
      <c r="W130" s="275">
        <f t="shared" si="33"/>
        <v>9676.75</v>
      </c>
      <c r="X130" s="276"/>
      <c r="Y130" s="280" t="s">
        <v>1426</v>
      </c>
      <c r="Z130" s="268"/>
    </row>
    <row r="131" spans="1:26">
      <c r="A131" s="8">
        <v>122</v>
      </c>
      <c r="B131" s="268" t="s">
        <v>1413</v>
      </c>
      <c r="C131" s="268" t="s">
        <v>1521</v>
      </c>
      <c r="D131" s="269">
        <v>0</v>
      </c>
      <c r="E131" s="270">
        <v>0</v>
      </c>
      <c r="F131" s="270">
        <v>33580.559999999998</v>
      </c>
      <c r="G131" s="270">
        <v>0</v>
      </c>
      <c r="H131" s="270">
        <v>1138.4100000000001</v>
      </c>
      <c r="I131" s="271">
        <v>34937.629999999997</v>
      </c>
      <c r="J131" s="272">
        <v>0</v>
      </c>
      <c r="K131" s="272">
        <v>0</v>
      </c>
      <c r="L131" s="272">
        <v>0</v>
      </c>
      <c r="M131" s="272">
        <v>0</v>
      </c>
      <c r="N131" s="272">
        <v>0</v>
      </c>
      <c r="O131" s="272">
        <v>0</v>
      </c>
      <c r="P131" s="273">
        <v>43033</v>
      </c>
      <c r="Q131" s="274">
        <v>376</v>
      </c>
      <c r="R131" s="275">
        <v>69656.600000000006</v>
      </c>
      <c r="S131" s="268"/>
      <c r="T131" s="276"/>
      <c r="U131" s="277">
        <f t="shared" si="31"/>
        <v>69656.600000000006</v>
      </c>
      <c r="V131" s="278">
        <f t="shared" si="32"/>
        <v>0</v>
      </c>
      <c r="W131" s="275">
        <f t="shared" si="33"/>
        <v>69656.600000000006</v>
      </c>
      <c r="X131" s="268"/>
      <c r="Y131" s="280"/>
      <c r="Z131" s="268"/>
    </row>
    <row r="132" spans="1:26">
      <c r="A132" s="8">
        <v>123</v>
      </c>
      <c r="B132" s="268" t="s">
        <v>1413</v>
      </c>
      <c r="C132" s="268" t="s">
        <v>1522</v>
      </c>
      <c r="D132" s="269">
        <v>7055.21</v>
      </c>
      <c r="E132" s="270">
        <v>228.6</v>
      </c>
      <c r="F132" s="270">
        <v>1742.01</v>
      </c>
      <c r="G132" s="270">
        <v>219.28</v>
      </c>
      <c r="H132" s="270">
        <v>588.47</v>
      </c>
      <c r="I132" s="271">
        <v>69805.27</v>
      </c>
      <c r="J132" s="272">
        <v>608.71</v>
      </c>
      <c r="K132" s="272">
        <v>0</v>
      </c>
      <c r="L132" s="272">
        <v>0</v>
      </c>
      <c r="M132" s="272">
        <v>0</v>
      </c>
      <c r="N132" s="272">
        <v>0</v>
      </c>
      <c r="O132" s="272">
        <v>0</v>
      </c>
      <c r="P132" s="273">
        <v>42947</v>
      </c>
      <c r="Q132" s="274">
        <v>376</v>
      </c>
      <c r="R132" s="275">
        <v>80247.55</v>
      </c>
      <c r="S132" s="268"/>
      <c r="T132" s="276"/>
      <c r="U132" s="277">
        <f t="shared" si="31"/>
        <v>79638.84</v>
      </c>
      <c r="V132" s="278">
        <f t="shared" si="32"/>
        <v>608.71</v>
      </c>
      <c r="W132" s="275">
        <f t="shared" si="33"/>
        <v>80247.55</v>
      </c>
      <c r="X132" s="268"/>
      <c r="Y132" s="280"/>
      <c r="Z132" s="268"/>
    </row>
    <row r="133" spans="1:26">
      <c r="A133" s="8">
        <v>124</v>
      </c>
      <c r="B133" s="268" t="s">
        <v>1413</v>
      </c>
      <c r="C133" s="268" t="s">
        <v>1523</v>
      </c>
      <c r="D133" s="269">
        <v>1595.75</v>
      </c>
      <c r="E133" s="270">
        <v>11049.630000000001</v>
      </c>
      <c r="F133" s="270">
        <v>29107.5</v>
      </c>
      <c r="G133" s="270">
        <v>406.5</v>
      </c>
      <c r="H133" s="270">
        <v>1043.23</v>
      </c>
      <c r="I133" s="271">
        <v>0</v>
      </c>
      <c r="J133" s="272">
        <v>0</v>
      </c>
      <c r="K133" s="272">
        <v>0</v>
      </c>
      <c r="L133" s="272">
        <v>0</v>
      </c>
      <c r="M133" s="272">
        <v>0</v>
      </c>
      <c r="N133" s="272">
        <v>0</v>
      </c>
      <c r="O133" s="272">
        <v>0</v>
      </c>
      <c r="P133" s="273">
        <v>42734</v>
      </c>
      <c r="Q133" s="274">
        <v>376</v>
      </c>
      <c r="R133" s="275">
        <v>43202.61</v>
      </c>
      <c r="S133" s="268"/>
      <c r="T133" s="276">
        <f t="shared" ref="T133:T154" si="42">+R133</f>
        <v>43202.61</v>
      </c>
      <c r="U133" s="277">
        <f t="shared" si="31"/>
        <v>43202.610000000008</v>
      </c>
      <c r="V133" s="278">
        <f t="shared" si="32"/>
        <v>0</v>
      </c>
      <c r="W133" s="275">
        <f t="shared" si="33"/>
        <v>43202.610000000008</v>
      </c>
      <c r="X133" s="276"/>
      <c r="Y133" s="280" t="s">
        <v>1426</v>
      </c>
      <c r="Z133" s="268"/>
    </row>
    <row r="134" spans="1:26">
      <c r="A134" s="8">
        <v>125</v>
      </c>
      <c r="B134" s="268" t="s">
        <v>1413</v>
      </c>
      <c r="C134" s="268" t="s">
        <v>1524</v>
      </c>
      <c r="D134" s="269">
        <v>63428.54</v>
      </c>
      <c r="E134" s="270">
        <v>3712.31</v>
      </c>
      <c r="F134" s="270">
        <v>4666.18</v>
      </c>
      <c r="G134" s="270">
        <v>0</v>
      </c>
      <c r="H134" s="270">
        <v>0</v>
      </c>
      <c r="I134" s="271">
        <v>0</v>
      </c>
      <c r="J134" s="272">
        <v>0</v>
      </c>
      <c r="K134" s="272">
        <v>0</v>
      </c>
      <c r="L134" s="272">
        <v>0</v>
      </c>
      <c r="M134" s="272">
        <v>0</v>
      </c>
      <c r="N134" s="272">
        <v>0</v>
      </c>
      <c r="O134" s="272">
        <v>0</v>
      </c>
      <c r="P134" s="273">
        <v>42709</v>
      </c>
      <c r="Q134" s="274">
        <v>376</v>
      </c>
      <c r="R134" s="275">
        <v>71807.03</v>
      </c>
      <c r="S134" s="268"/>
      <c r="T134" s="276">
        <f t="shared" si="42"/>
        <v>71807.03</v>
      </c>
      <c r="U134" s="277">
        <f t="shared" si="31"/>
        <v>71807.03</v>
      </c>
      <c r="V134" s="278">
        <f t="shared" si="32"/>
        <v>0</v>
      </c>
      <c r="W134" s="275">
        <f t="shared" si="33"/>
        <v>71807.03</v>
      </c>
      <c r="X134" s="276"/>
      <c r="Y134" s="280" t="s">
        <v>1441</v>
      </c>
      <c r="Z134" s="268"/>
    </row>
    <row r="135" spans="1:26">
      <c r="A135" s="8">
        <v>126</v>
      </c>
      <c r="B135" s="268" t="s">
        <v>1413</v>
      </c>
      <c r="C135" s="268" t="s">
        <v>1652</v>
      </c>
      <c r="D135" s="269">
        <v>0</v>
      </c>
      <c r="E135" s="270">
        <v>0</v>
      </c>
      <c r="F135" s="270">
        <v>380.68</v>
      </c>
      <c r="G135" s="270">
        <v>554.25</v>
      </c>
      <c r="H135" s="270">
        <v>53887.96</v>
      </c>
      <c r="I135" s="271">
        <v>0</v>
      </c>
      <c r="J135" s="272">
        <v>0</v>
      </c>
      <c r="K135" s="272">
        <v>0</v>
      </c>
      <c r="L135" s="272">
        <v>0</v>
      </c>
      <c r="M135" s="272">
        <v>0</v>
      </c>
      <c r="N135" s="272">
        <v>0</v>
      </c>
      <c r="O135" s="272">
        <v>0</v>
      </c>
      <c r="P135" s="273">
        <v>42916</v>
      </c>
      <c r="Q135" s="274">
        <v>376</v>
      </c>
      <c r="R135" s="275">
        <v>54822.89</v>
      </c>
      <c r="S135" s="268"/>
      <c r="T135" s="276">
        <f t="shared" si="42"/>
        <v>54822.89</v>
      </c>
      <c r="U135" s="277">
        <f t="shared" si="31"/>
        <v>54822.89</v>
      </c>
      <c r="V135" s="278">
        <f t="shared" si="32"/>
        <v>0</v>
      </c>
      <c r="W135" s="275">
        <f t="shared" si="33"/>
        <v>54822.89</v>
      </c>
      <c r="X135" s="276"/>
      <c r="Y135" s="280" t="s">
        <v>1426</v>
      </c>
      <c r="Z135" s="268"/>
    </row>
    <row r="136" spans="1:26">
      <c r="A136" s="8">
        <v>127</v>
      </c>
      <c r="B136" s="268" t="s">
        <v>1413</v>
      </c>
      <c r="C136" s="268" t="s">
        <v>1525</v>
      </c>
      <c r="D136" s="269">
        <v>0</v>
      </c>
      <c r="E136" s="270">
        <v>0</v>
      </c>
      <c r="F136" s="270">
        <v>0</v>
      </c>
      <c r="G136" s="270">
        <v>0</v>
      </c>
      <c r="H136" s="270">
        <v>4634.41</v>
      </c>
      <c r="I136" s="271">
        <v>0</v>
      </c>
      <c r="J136" s="272">
        <v>0</v>
      </c>
      <c r="K136" s="272">
        <v>0</v>
      </c>
      <c r="L136" s="272">
        <v>0</v>
      </c>
      <c r="M136" s="272">
        <v>0</v>
      </c>
      <c r="N136" s="272">
        <v>0</v>
      </c>
      <c r="O136" s="272">
        <v>0</v>
      </c>
      <c r="P136" s="273">
        <v>42885</v>
      </c>
      <c r="Q136" s="274">
        <v>376</v>
      </c>
      <c r="R136" s="275">
        <v>4634.41</v>
      </c>
      <c r="S136" s="268"/>
      <c r="T136" s="276">
        <f t="shared" si="42"/>
        <v>4634.41</v>
      </c>
      <c r="U136" s="277">
        <f t="shared" si="31"/>
        <v>4634.41</v>
      </c>
      <c r="V136" s="278">
        <f t="shared" si="32"/>
        <v>0</v>
      </c>
      <c r="W136" s="275">
        <f t="shared" si="33"/>
        <v>4634.41</v>
      </c>
      <c r="X136" s="276"/>
      <c r="Y136" s="280" t="s">
        <v>1426</v>
      </c>
      <c r="Z136" s="268"/>
    </row>
    <row r="137" spans="1:26">
      <c r="A137" s="8">
        <v>128</v>
      </c>
      <c r="B137" s="268" t="s">
        <v>1413</v>
      </c>
      <c r="C137" s="268" t="s">
        <v>1526</v>
      </c>
      <c r="D137" s="269">
        <v>80684.53</v>
      </c>
      <c r="E137" s="270">
        <v>493.03000000000003</v>
      </c>
      <c r="F137" s="270">
        <v>-498</v>
      </c>
      <c r="G137" s="270">
        <v>816.75</v>
      </c>
      <c r="H137" s="270">
        <v>0</v>
      </c>
      <c r="I137" s="271">
        <v>33107.360000000001</v>
      </c>
      <c r="J137" s="272">
        <v>0</v>
      </c>
      <c r="K137" s="272">
        <v>0</v>
      </c>
      <c r="L137" s="272">
        <v>0</v>
      </c>
      <c r="M137" s="272">
        <v>0</v>
      </c>
      <c r="N137" s="272">
        <v>0</v>
      </c>
      <c r="O137" s="272">
        <v>0</v>
      </c>
      <c r="P137" s="273">
        <v>42766</v>
      </c>
      <c r="Q137" s="274">
        <v>376</v>
      </c>
      <c r="R137" s="275">
        <v>114603.67</v>
      </c>
      <c r="S137" s="268"/>
      <c r="T137" s="276">
        <f t="shared" si="42"/>
        <v>114603.67</v>
      </c>
      <c r="U137" s="277">
        <f t="shared" si="31"/>
        <v>114603.67</v>
      </c>
      <c r="V137" s="278">
        <f t="shared" si="32"/>
        <v>0</v>
      </c>
      <c r="W137" s="275">
        <f t="shared" si="33"/>
        <v>114603.67</v>
      </c>
      <c r="X137" s="279">
        <f t="shared" ref="X137:X138" si="43">+T137</f>
        <v>114603.67</v>
      </c>
      <c r="Y137" s="280">
        <v>54</v>
      </c>
      <c r="Z137" s="268"/>
    </row>
    <row r="138" spans="1:26">
      <c r="A138" s="8">
        <v>129</v>
      </c>
      <c r="B138" s="268" t="s">
        <v>1413</v>
      </c>
      <c r="C138" s="268" t="s">
        <v>1527</v>
      </c>
      <c r="D138" s="269">
        <v>6893.34</v>
      </c>
      <c r="E138" s="270">
        <v>0</v>
      </c>
      <c r="F138" s="270">
        <v>0</v>
      </c>
      <c r="G138" s="270">
        <v>0</v>
      </c>
      <c r="H138" s="270">
        <v>0</v>
      </c>
      <c r="I138" s="271">
        <v>0</v>
      </c>
      <c r="J138" s="272">
        <v>0</v>
      </c>
      <c r="K138" s="272">
        <v>0</v>
      </c>
      <c r="L138" s="272">
        <v>0</v>
      </c>
      <c r="M138" s="272">
        <v>0</v>
      </c>
      <c r="N138" s="272">
        <v>0</v>
      </c>
      <c r="O138" s="272">
        <v>59326.6</v>
      </c>
      <c r="P138" s="273">
        <v>42916</v>
      </c>
      <c r="Q138" s="274">
        <v>376</v>
      </c>
      <c r="R138" s="275">
        <v>66219.94</v>
      </c>
      <c r="S138" s="268"/>
      <c r="T138" s="276">
        <f t="shared" si="42"/>
        <v>66219.94</v>
      </c>
      <c r="U138" s="277">
        <f t="shared" si="31"/>
        <v>6893.34</v>
      </c>
      <c r="V138" s="278">
        <f t="shared" si="32"/>
        <v>59326.6</v>
      </c>
      <c r="W138" s="275">
        <f t="shared" si="33"/>
        <v>66219.94</v>
      </c>
      <c r="X138" s="276">
        <f t="shared" si="43"/>
        <v>66219.94</v>
      </c>
      <c r="Y138" s="280">
        <v>22</v>
      </c>
      <c r="Z138" s="268"/>
    </row>
    <row r="139" spans="1:26">
      <c r="A139" s="8">
        <v>130</v>
      </c>
      <c r="B139" s="268" t="s">
        <v>1413</v>
      </c>
      <c r="C139" s="268" t="s">
        <v>1528</v>
      </c>
      <c r="D139" s="269">
        <v>0</v>
      </c>
      <c r="E139" s="270">
        <v>0</v>
      </c>
      <c r="F139" s="270">
        <v>0</v>
      </c>
      <c r="G139" s="270">
        <v>4705.43</v>
      </c>
      <c r="H139" s="270">
        <v>79634.14</v>
      </c>
      <c r="I139" s="271">
        <v>0</v>
      </c>
      <c r="J139" s="272">
        <v>0</v>
      </c>
      <c r="K139" s="272">
        <v>0</v>
      </c>
      <c r="L139" s="272">
        <v>0</v>
      </c>
      <c r="M139" s="272">
        <v>0</v>
      </c>
      <c r="N139" s="272">
        <v>0</v>
      </c>
      <c r="O139" s="272">
        <v>0</v>
      </c>
      <c r="P139" s="274"/>
      <c r="Q139" s="274"/>
      <c r="R139" s="275">
        <v>84339.57</v>
      </c>
      <c r="S139" s="268"/>
      <c r="T139" s="276"/>
      <c r="U139" s="277">
        <f t="shared" si="31"/>
        <v>84339.57</v>
      </c>
      <c r="V139" s="278">
        <f t="shared" si="32"/>
        <v>0</v>
      </c>
      <c r="W139" s="275">
        <f t="shared" si="33"/>
        <v>84339.57</v>
      </c>
      <c r="X139" s="268"/>
      <c r="Y139" s="280"/>
      <c r="Z139" s="268"/>
    </row>
    <row r="140" spans="1:26">
      <c r="A140" s="8">
        <v>131</v>
      </c>
      <c r="B140" s="268" t="s">
        <v>1413</v>
      </c>
      <c r="C140" s="268" t="s">
        <v>1529</v>
      </c>
      <c r="D140" s="269">
        <v>0</v>
      </c>
      <c r="E140" s="270">
        <v>189.74</v>
      </c>
      <c r="F140" s="270">
        <v>7056.89</v>
      </c>
      <c r="G140" s="270">
        <v>50600.07</v>
      </c>
      <c r="H140" s="270">
        <v>319.02</v>
      </c>
      <c r="I140" s="271">
        <v>7142.78</v>
      </c>
      <c r="J140" s="272">
        <v>360.17</v>
      </c>
      <c r="K140" s="272">
        <v>362.16</v>
      </c>
      <c r="L140" s="272">
        <v>0</v>
      </c>
      <c r="M140" s="272">
        <v>0</v>
      </c>
      <c r="N140" s="272">
        <v>0</v>
      </c>
      <c r="O140" s="272">
        <v>0</v>
      </c>
      <c r="P140" s="273">
        <v>42978</v>
      </c>
      <c r="Q140" s="274">
        <v>376</v>
      </c>
      <c r="R140" s="275">
        <v>66030.83</v>
      </c>
      <c r="S140" s="268"/>
      <c r="T140" s="276">
        <f t="shared" si="42"/>
        <v>66030.83</v>
      </c>
      <c r="U140" s="277">
        <f t="shared" si="31"/>
        <v>65308.499999999993</v>
      </c>
      <c r="V140" s="278">
        <f t="shared" si="32"/>
        <v>722.33</v>
      </c>
      <c r="W140" s="275">
        <f t="shared" si="33"/>
        <v>66030.829999999987</v>
      </c>
      <c r="X140" s="279"/>
      <c r="Y140" s="280" t="s">
        <v>1426</v>
      </c>
      <c r="Z140" s="268"/>
    </row>
    <row r="141" spans="1:26">
      <c r="A141" s="8">
        <v>132</v>
      </c>
      <c r="B141" s="268" t="s">
        <v>1413</v>
      </c>
      <c r="C141" s="268" t="s">
        <v>1530</v>
      </c>
      <c r="D141" s="269">
        <v>0</v>
      </c>
      <c r="E141" s="270">
        <v>0</v>
      </c>
      <c r="F141" s="270">
        <v>0</v>
      </c>
      <c r="G141" s="270">
        <v>40618.47</v>
      </c>
      <c r="H141" s="270">
        <v>339071.88</v>
      </c>
      <c r="I141" s="271">
        <v>6389.21</v>
      </c>
      <c r="J141" s="272">
        <v>0</v>
      </c>
      <c r="K141" s="272">
        <v>0</v>
      </c>
      <c r="L141" s="272">
        <v>0</v>
      </c>
      <c r="M141" s="272">
        <v>0</v>
      </c>
      <c r="N141" s="272">
        <v>0</v>
      </c>
      <c r="O141" s="272">
        <v>0</v>
      </c>
      <c r="P141" s="273">
        <v>42874</v>
      </c>
      <c r="Q141" s="274">
        <v>367</v>
      </c>
      <c r="R141" s="275">
        <v>386079.56</v>
      </c>
      <c r="S141" s="268"/>
      <c r="T141" s="276">
        <f t="shared" si="42"/>
        <v>386079.56</v>
      </c>
      <c r="U141" s="277">
        <f t="shared" si="31"/>
        <v>386079.56</v>
      </c>
      <c r="V141" s="278">
        <f t="shared" si="32"/>
        <v>0</v>
      </c>
      <c r="W141" s="275">
        <f t="shared" si="33"/>
        <v>386079.56</v>
      </c>
      <c r="X141" s="276">
        <f t="shared" ref="X141:X149" si="44">+T141</f>
        <v>386079.56</v>
      </c>
      <c r="Y141" s="280">
        <v>18</v>
      </c>
      <c r="Z141" s="268"/>
    </row>
    <row r="142" spans="1:26">
      <c r="A142" s="8">
        <v>133</v>
      </c>
      <c r="B142" s="268" t="s">
        <v>1413</v>
      </c>
      <c r="C142" s="268" t="s">
        <v>1531</v>
      </c>
      <c r="D142" s="269">
        <v>0</v>
      </c>
      <c r="E142" s="270">
        <v>671</v>
      </c>
      <c r="F142" s="270">
        <v>5903.55</v>
      </c>
      <c r="G142" s="270">
        <v>303815.90000000002</v>
      </c>
      <c r="H142" s="270">
        <v>681.13</v>
      </c>
      <c r="I142" s="271">
        <v>0</v>
      </c>
      <c r="J142" s="272">
        <v>0</v>
      </c>
      <c r="K142" s="272">
        <v>0</v>
      </c>
      <c r="L142" s="272">
        <v>0</v>
      </c>
      <c r="M142" s="272">
        <v>0</v>
      </c>
      <c r="N142" s="272">
        <v>0</v>
      </c>
      <c r="O142" s="272">
        <v>0</v>
      </c>
      <c r="P142" s="273">
        <v>42800</v>
      </c>
      <c r="Q142" s="274">
        <v>376</v>
      </c>
      <c r="R142" s="275">
        <v>311071.58</v>
      </c>
      <c r="S142" s="268"/>
      <c r="T142" s="276">
        <f t="shared" si="42"/>
        <v>311071.58</v>
      </c>
      <c r="U142" s="277">
        <f t="shared" si="31"/>
        <v>311071.58</v>
      </c>
      <c r="V142" s="278">
        <f t="shared" si="32"/>
        <v>0</v>
      </c>
      <c r="W142" s="275">
        <f t="shared" si="33"/>
        <v>311071.58</v>
      </c>
      <c r="X142" s="276">
        <f t="shared" si="44"/>
        <v>311071.58</v>
      </c>
      <c r="Y142" s="280">
        <v>1</v>
      </c>
      <c r="Z142" s="268"/>
    </row>
    <row r="143" spans="1:26">
      <c r="A143" s="8">
        <v>134</v>
      </c>
      <c r="B143" s="268" t="s">
        <v>1413</v>
      </c>
      <c r="C143" s="268" t="s">
        <v>1532</v>
      </c>
      <c r="D143" s="269">
        <v>0</v>
      </c>
      <c r="E143" s="270">
        <v>0</v>
      </c>
      <c r="F143" s="270">
        <v>90775.67</v>
      </c>
      <c r="G143" s="270">
        <v>1537.38</v>
      </c>
      <c r="H143" s="270">
        <v>509.11</v>
      </c>
      <c r="I143" s="271">
        <v>764.18000000000006</v>
      </c>
      <c r="J143" s="272">
        <v>0</v>
      </c>
      <c r="K143" s="272">
        <v>0</v>
      </c>
      <c r="L143" s="272">
        <v>0</v>
      </c>
      <c r="M143" s="272">
        <v>0</v>
      </c>
      <c r="N143" s="272">
        <v>0</v>
      </c>
      <c r="O143" s="272">
        <v>0</v>
      </c>
      <c r="P143" s="273">
        <v>42885</v>
      </c>
      <c r="Q143" s="274">
        <v>376</v>
      </c>
      <c r="R143" s="275">
        <v>93586.34</v>
      </c>
      <c r="S143" s="268"/>
      <c r="T143" s="276">
        <f t="shared" si="42"/>
        <v>93586.34</v>
      </c>
      <c r="U143" s="277">
        <f t="shared" si="31"/>
        <v>93586.34</v>
      </c>
      <c r="V143" s="278">
        <f t="shared" si="32"/>
        <v>0</v>
      </c>
      <c r="W143" s="275">
        <f t="shared" si="33"/>
        <v>93586.34</v>
      </c>
      <c r="X143" s="276">
        <f t="shared" si="44"/>
        <v>93586.34</v>
      </c>
      <c r="Y143" s="280">
        <v>30</v>
      </c>
      <c r="Z143" s="268"/>
    </row>
    <row r="144" spans="1:26">
      <c r="A144" s="8">
        <v>135</v>
      </c>
      <c r="B144" s="268" t="s">
        <v>1413</v>
      </c>
      <c r="C144" s="268" t="s">
        <v>1533</v>
      </c>
      <c r="D144" s="269">
        <v>0</v>
      </c>
      <c r="E144" s="270">
        <v>526.37</v>
      </c>
      <c r="F144" s="270">
        <v>98674.53</v>
      </c>
      <c r="G144" s="270">
        <v>547.09</v>
      </c>
      <c r="H144" s="270">
        <v>7305.1900000000005</v>
      </c>
      <c r="I144" s="271">
        <v>4066.54</v>
      </c>
      <c r="J144" s="272">
        <v>0</v>
      </c>
      <c r="K144" s="272">
        <v>0</v>
      </c>
      <c r="L144" s="272">
        <v>0</v>
      </c>
      <c r="M144" s="272">
        <v>0</v>
      </c>
      <c r="N144" s="272">
        <v>0</v>
      </c>
      <c r="O144" s="272">
        <v>0</v>
      </c>
      <c r="P144" s="273">
        <v>42885</v>
      </c>
      <c r="Q144" s="274">
        <v>376</v>
      </c>
      <c r="R144" s="275">
        <v>111119.72</v>
      </c>
      <c r="S144" s="268"/>
      <c r="T144" s="276">
        <f t="shared" si="42"/>
        <v>111119.72</v>
      </c>
      <c r="U144" s="277">
        <f t="shared" si="31"/>
        <v>111119.71999999999</v>
      </c>
      <c r="V144" s="278">
        <f t="shared" si="32"/>
        <v>0</v>
      </c>
      <c r="W144" s="275">
        <f t="shared" si="33"/>
        <v>111119.71999999999</v>
      </c>
      <c r="X144" s="276">
        <f t="shared" si="44"/>
        <v>111119.72</v>
      </c>
      <c r="Y144" s="280">
        <v>31</v>
      </c>
      <c r="Z144" s="268"/>
    </row>
    <row r="145" spans="1:26">
      <c r="A145" s="8">
        <v>136</v>
      </c>
      <c r="B145" s="268" t="s">
        <v>1413</v>
      </c>
      <c r="C145" s="268" t="s">
        <v>1534</v>
      </c>
      <c r="D145" s="269">
        <v>0</v>
      </c>
      <c r="E145" s="270">
        <v>2769.9900000000002</v>
      </c>
      <c r="F145" s="270">
        <v>6384.77</v>
      </c>
      <c r="G145" s="270">
        <v>35494.21</v>
      </c>
      <c r="H145" s="270">
        <v>162121.5</v>
      </c>
      <c r="I145" s="271">
        <v>-35806.340000000004</v>
      </c>
      <c r="J145" s="272">
        <v>0</v>
      </c>
      <c r="K145" s="272">
        <v>0</v>
      </c>
      <c r="L145" s="272">
        <v>0</v>
      </c>
      <c r="M145" s="272">
        <v>0</v>
      </c>
      <c r="N145" s="272">
        <v>0</v>
      </c>
      <c r="O145" s="272">
        <v>0</v>
      </c>
      <c r="P145" s="273">
        <v>42855</v>
      </c>
      <c r="Q145" s="274">
        <v>376</v>
      </c>
      <c r="R145" s="275">
        <v>170964.13</v>
      </c>
      <c r="S145" s="268"/>
      <c r="T145" s="276">
        <f t="shared" si="42"/>
        <v>170964.13</v>
      </c>
      <c r="U145" s="277">
        <f t="shared" si="31"/>
        <v>170964.13</v>
      </c>
      <c r="V145" s="278">
        <f t="shared" si="32"/>
        <v>0</v>
      </c>
      <c r="W145" s="275">
        <f t="shared" si="33"/>
        <v>170964.13</v>
      </c>
      <c r="X145" s="276">
        <f t="shared" si="44"/>
        <v>170964.13</v>
      </c>
      <c r="Y145" s="280">
        <v>36</v>
      </c>
      <c r="Z145" s="268"/>
    </row>
    <row r="146" spans="1:26">
      <c r="A146" s="8">
        <v>137</v>
      </c>
      <c r="B146" s="268" t="s">
        <v>1413</v>
      </c>
      <c r="C146" s="268" t="s">
        <v>1535</v>
      </c>
      <c r="D146" s="269">
        <v>0</v>
      </c>
      <c r="E146" s="270">
        <v>0</v>
      </c>
      <c r="F146" s="270">
        <v>7237.1500000000005</v>
      </c>
      <c r="G146" s="270">
        <v>12877.34</v>
      </c>
      <c r="H146" s="270">
        <v>25395.510000000002</v>
      </c>
      <c r="I146" s="271">
        <v>8701.2100000000009</v>
      </c>
      <c r="J146" s="272">
        <v>267.5</v>
      </c>
      <c r="K146" s="272">
        <v>161986.99</v>
      </c>
      <c r="L146" s="272">
        <v>0</v>
      </c>
      <c r="M146" s="272">
        <v>0</v>
      </c>
      <c r="N146" s="272">
        <v>0</v>
      </c>
      <c r="O146" s="272">
        <v>0</v>
      </c>
      <c r="P146" s="273">
        <v>42962</v>
      </c>
      <c r="Q146" s="274">
        <v>376</v>
      </c>
      <c r="R146" s="275">
        <v>216465.7</v>
      </c>
      <c r="S146" s="268"/>
      <c r="T146" s="276">
        <f t="shared" si="42"/>
        <v>216465.7</v>
      </c>
      <c r="U146" s="277">
        <f t="shared" si="31"/>
        <v>54211.21</v>
      </c>
      <c r="V146" s="278">
        <f t="shared" si="32"/>
        <v>162254.49</v>
      </c>
      <c r="W146" s="275">
        <f t="shared" si="33"/>
        <v>216465.69999999998</v>
      </c>
      <c r="X146" s="276"/>
      <c r="Y146" s="280" t="s">
        <v>1441</v>
      </c>
      <c r="Z146" s="268"/>
    </row>
    <row r="147" spans="1:26">
      <c r="A147" s="8">
        <v>138</v>
      </c>
      <c r="B147" s="268" t="s">
        <v>1413</v>
      </c>
      <c r="C147" s="268" t="s">
        <v>1536</v>
      </c>
      <c r="D147" s="269">
        <v>0</v>
      </c>
      <c r="E147" s="270">
        <v>0</v>
      </c>
      <c r="F147" s="270">
        <v>0</v>
      </c>
      <c r="G147" s="270">
        <v>0</v>
      </c>
      <c r="H147" s="270">
        <v>0</v>
      </c>
      <c r="I147" s="271">
        <v>2774.3</v>
      </c>
      <c r="J147" s="272">
        <v>15381.5</v>
      </c>
      <c r="K147" s="272">
        <v>0</v>
      </c>
      <c r="L147" s="272">
        <v>0</v>
      </c>
      <c r="M147" s="272">
        <v>0</v>
      </c>
      <c r="N147" s="272">
        <v>0</v>
      </c>
      <c r="O147" s="272">
        <v>0</v>
      </c>
      <c r="P147" s="273">
        <v>42917</v>
      </c>
      <c r="Q147" s="274">
        <v>376</v>
      </c>
      <c r="R147" s="275">
        <v>18155.8</v>
      </c>
      <c r="S147" s="268"/>
      <c r="T147" s="276">
        <f t="shared" si="42"/>
        <v>18155.8</v>
      </c>
      <c r="U147" s="277">
        <f t="shared" si="31"/>
        <v>2774.3</v>
      </c>
      <c r="V147" s="278">
        <f t="shared" si="32"/>
        <v>15381.5</v>
      </c>
      <c r="W147" s="275">
        <f t="shared" si="33"/>
        <v>18155.8</v>
      </c>
      <c r="X147" s="276"/>
      <c r="Y147" s="280" t="s">
        <v>1426</v>
      </c>
      <c r="Z147" s="268"/>
    </row>
    <row r="148" spans="1:26">
      <c r="A148" s="8">
        <v>139</v>
      </c>
      <c r="B148" s="268" t="s">
        <v>1413</v>
      </c>
      <c r="C148" s="268" t="s">
        <v>1537</v>
      </c>
      <c r="D148" s="269">
        <v>0</v>
      </c>
      <c r="E148" s="270">
        <v>0</v>
      </c>
      <c r="F148" s="270">
        <v>0</v>
      </c>
      <c r="G148" s="270">
        <v>26072.47</v>
      </c>
      <c r="H148" s="270">
        <v>198759.32</v>
      </c>
      <c r="I148" s="271">
        <v>282918.56</v>
      </c>
      <c r="J148" s="272">
        <v>130293.73</v>
      </c>
      <c r="K148" s="272">
        <v>0</v>
      </c>
      <c r="L148" s="272">
        <v>0</v>
      </c>
      <c r="M148" s="272">
        <v>0</v>
      </c>
      <c r="N148" s="272">
        <v>0</v>
      </c>
      <c r="O148" s="272">
        <v>0</v>
      </c>
      <c r="P148" s="273">
        <v>42917</v>
      </c>
      <c r="Q148" s="274">
        <v>376</v>
      </c>
      <c r="R148" s="275">
        <v>638044.07999999996</v>
      </c>
      <c r="S148" s="268"/>
      <c r="T148" s="276">
        <f t="shared" si="42"/>
        <v>638044.07999999996</v>
      </c>
      <c r="U148" s="277">
        <f t="shared" si="31"/>
        <v>507750.35</v>
      </c>
      <c r="V148" s="278">
        <f t="shared" si="32"/>
        <v>130293.73</v>
      </c>
      <c r="W148" s="275">
        <f t="shared" si="33"/>
        <v>638044.07999999996</v>
      </c>
      <c r="X148" s="276"/>
      <c r="Y148" s="280" t="s">
        <v>1426</v>
      </c>
      <c r="Z148" s="268"/>
    </row>
    <row r="149" spans="1:26">
      <c r="A149" s="8">
        <v>140</v>
      </c>
      <c r="B149" s="268" t="s">
        <v>1413</v>
      </c>
      <c r="C149" s="268" t="s">
        <v>1538</v>
      </c>
      <c r="D149" s="269">
        <v>0</v>
      </c>
      <c r="E149" s="270">
        <v>0</v>
      </c>
      <c r="F149" s="270">
        <v>0</v>
      </c>
      <c r="G149" s="270">
        <v>-150000</v>
      </c>
      <c r="H149" s="270">
        <v>4477.79</v>
      </c>
      <c r="I149" s="271">
        <v>-274544.42</v>
      </c>
      <c r="J149" s="272">
        <v>280167.21000000002</v>
      </c>
      <c r="K149" s="272">
        <v>0</v>
      </c>
      <c r="L149" s="272">
        <v>0</v>
      </c>
      <c r="M149" s="272">
        <v>0</v>
      </c>
      <c r="N149" s="272">
        <v>0</v>
      </c>
      <c r="O149" s="272">
        <v>0</v>
      </c>
      <c r="P149" s="273">
        <v>42928</v>
      </c>
      <c r="Q149" s="274">
        <v>376</v>
      </c>
      <c r="R149" s="275">
        <v>-139899.42000000001</v>
      </c>
      <c r="S149" s="268"/>
      <c r="T149" s="276">
        <f t="shared" si="42"/>
        <v>-139899.42000000001</v>
      </c>
      <c r="U149" s="277">
        <f t="shared" si="31"/>
        <v>-420066.63</v>
      </c>
      <c r="V149" s="278">
        <f t="shared" si="32"/>
        <v>280167.21000000002</v>
      </c>
      <c r="W149" s="275">
        <f t="shared" si="33"/>
        <v>-139899.41999999998</v>
      </c>
      <c r="X149" s="279">
        <f t="shared" si="44"/>
        <v>-139899.42000000001</v>
      </c>
      <c r="Y149" s="280"/>
      <c r="Z149" s="268"/>
    </row>
    <row r="150" spans="1:26">
      <c r="A150" s="8">
        <v>141</v>
      </c>
      <c r="B150" s="268" t="s">
        <v>1413</v>
      </c>
      <c r="C150" s="268" t="s">
        <v>1539</v>
      </c>
      <c r="D150" s="269">
        <v>0</v>
      </c>
      <c r="E150" s="270">
        <v>0</v>
      </c>
      <c r="F150" s="270">
        <v>0</v>
      </c>
      <c r="G150" s="270">
        <v>0</v>
      </c>
      <c r="H150" s="270">
        <v>0</v>
      </c>
      <c r="I150" s="271">
        <v>0</v>
      </c>
      <c r="J150" s="272">
        <v>14475.56</v>
      </c>
      <c r="K150" s="272">
        <v>14555.39</v>
      </c>
      <c r="L150" s="272">
        <v>0</v>
      </c>
      <c r="M150" s="272">
        <v>0</v>
      </c>
      <c r="N150" s="272">
        <v>0</v>
      </c>
      <c r="O150" s="272">
        <v>0</v>
      </c>
      <c r="P150" s="273">
        <v>42977</v>
      </c>
      <c r="Q150" s="274">
        <v>376</v>
      </c>
      <c r="R150" s="275">
        <v>29030.95</v>
      </c>
      <c r="S150" s="268"/>
      <c r="T150" s="276">
        <f t="shared" si="42"/>
        <v>29030.95</v>
      </c>
      <c r="U150" s="277">
        <f t="shared" si="31"/>
        <v>0</v>
      </c>
      <c r="V150" s="278">
        <f t="shared" si="32"/>
        <v>29030.949999999997</v>
      </c>
      <c r="W150" s="275">
        <f t="shared" si="33"/>
        <v>29030.949999999997</v>
      </c>
      <c r="X150" s="276"/>
      <c r="Y150" s="280" t="s">
        <v>1426</v>
      </c>
      <c r="Z150" s="268"/>
    </row>
    <row r="151" spans="1:26">
      <c r="A151" s="8">
        <v>142</v>
      </c>
      <c r="B151" s="268" t="s">
        <v>1413</v>
      </c>
      <c r="C151" s="268" t="s">
        <v>1540</v>
      </c>
      <c r="D151" s="269">
        <v>0</v>
      </c>
      <c r="E151" s="270">
        <v>0</v>
      </c>
      <c r="F151" s="270">
        <v>0</v>
      </c>
      <c r="G151" s="270">
        <v>0</v>
      </c>
      <c r="H151" s="270">
        <v>0</v>
      </c>
      <c r="I151" s="271">
        <v>3178.35</v>
      </c>
      <c r="J151" s="272">
        <v>18475.330000000002</v>
      </c>
      <c r="K151" s="272">
        <v>0</v>
      </c>
      <c r="L151" s="272">
        <v>0</v>
      </c>
      <c r="M151" s="272">
        <v>0</v>
      </c>
      <c r="N151" s="272">
        <v>0</v>
      </c>
      <c r="O151" s="272">
        <v>0</v>
      </c>
      <c r="P151" s="273">
        <v>42921</v>
      </c>
      <c r="Q151" s="274">
        <v>376</v>
      </c>
      <c r="R151" s="275">
        <v>21653.68</v>
      </c>
      <c r="S151" s="268"/>
      <c r="T151" s="276">
        <f t="shared" si="42"/>
        <v>21653.68</v>
      </c>
      <c r="U151" s="277">
        <f t="shared" si="31"/>
        <v>3178.35</v>
      </c>
      <c r="V151" s="278">
        <f t="shared" si="32"/>
        <v>18475.330000000002</v>
      </c>
      <c r="W151" s="275">
        <f t="shared" si="33"/>
        <v>21653.68</v>
      </c>
      <c r="X151" s="268"/>
      <c r="Y151" s="280" t="s">
        <v>1426</v>
      </c>
      <c r="Z151" s="268"/>
    </row>
    <row r="152" spans="1:26">
      <c r="A152" s="8">
        <v>143</v>
      </c>
      <c r="B152" s="268" t="s">
        <v>1413</v>
      </c>
      <c r="C152" s="268" t="s">
        <v>1541</v>
      </c>
      <c r="D152" s="269">
        <v>0</v>
      </c>
      <c r="E152" s="270">
        <v>0</v>
      </c>
      <c r="F152" s="270">
        <v>0</v>
      </c>
      <c r="G152" s="270">
        <v>0</v>
      </c>
      <c r="H152" s="270">
        <v>0</v>
      </c>
      <c r="I152" s="271">
        <v>0</v>
      </c>
      <c r="J152" s="272">
        <v>15478.4</v>
      </c>
      <c r="K152" s="272">
        <v>15563.76</v>
      </c>
      <c r="L152" s="272">
        <v>0</v>
      </c>
      <c r="M152" s="272">
        <v>0</v>
      </c>
      <c r="N152" s="272">
        <v>0</v>
      </c>
      <c r="O152" s="272">
        <v>0</v>
      </c>
      <c r="P152" s="273">
        <v>42948</v>
      </c>
      <c r="Q152" s="274">
        <v>376</v>
      </c>
      <c r="R152" s="275">
        <v>31042.16</v>
      </c>
      <c r="S152" s="268"/>
      <c r="T152" s="276">
        <f t="shared" si="42"/>
        <v>31042.16</v>
      </c>
      <c r="U152" s="277">
        <f t="shared" si="31"/>
        <v>0</v>
      </c>
      <c r="V152" s="278">
        <f t="shared" si="32"/>
        <v>31042.16</v>
      </c>
      <c r="W152" s="275">
        <f t="shared" si="33"/>
        <v>31042.16</v>
      </c>
      <c r="X152" s="268"/>
      <c r="Y152" s="280" t="s">
        <v>1426</v>
      </c>
      <c r="Z152" s="268"/>
    </row>
    <row r="153" spans="1:26">
      <c r="A153" s="8">
        <v>144</v>
      </c>
      <c r="B153" s="268" t="s">
        <v>1413</v>
      </c>
      <c r="C153" s="268" t="s">
        <v>1542</v>
      </c>
      <c r="D153" s="269">
        <v>0</v>
      </c>
      <c r="E153" s="270">
        <v>0</v>
      </c>
      <c r="F153" s="270">
        <v>0</v>
      </c>
      <c r="G153" s="270">
        <v>6324.5</v>
      </c>
      <c r="H153" s="270">
        <v>22357.170000000002</v>
      </c>
      <c r="I153" s="271">
        <v>13325.79</v>
      </c>
      <c r="J153" s="272">
        <v>0</v>
      </c>
      <c r="K153" s="272">
        <v>0</v>
      </c>
      <c r="L153" s="272">
        <v>0</v>
      </c>
      <c r="M153" s="272">
        <v>0</v>
      </c>
      <c r="N153" s="272">
        <v>0</v>
      </c>
      <c r="O153" s="272">
        <v>0</v>
      </c>
      <c r="P153" s="273">
        <v>42902</v>
      </c>
      <c r="Q153" s="274">
        <v>376</v>
      </c>
      <c r="R153" s="275">
        <v>42007.46</v>
      </c>
      <c r="S153" s="268"/>
      <c r="T153" s="276">
        <f t="shared" si="42"/>
        <v>42007.46</v>
      </c>
      <c r="U153" s="277">
        <f t="shared" si="31"/>
        <v>42007.460000000006</v>
      </c>
      <c r="V153" s="278">
        <f t="shared" si="32"/>
        <v>0</v>
      </c>
      <c r="W153" s="275">
        <f t="shared" si="33"/>
        <v>42007.460000000006</v>
      </c>
      <c r="X153" s="276"/>
      <c r="Y153" s="280" t="s">
        <v>1426</v>
      </c>
      <c r="Z153" s="268"/>
    </row>
    <row r="154" spans="1:26">
      <c r="A154" s="8">
        <v>145</v>
      </c>
      <c r="B154" s="268" t="s">
        <v>1413</v>
      </c>
      <c r="C154" s="268" t="s">
        <v>1543</v>
      </c>
      <c r="D154" s="269">
        <v>0</v>
      </c>
      <c r="E154" s="270">
        <v>0</v>
      </c>
      <c r="F154" s="270">
        <v>0</v>
      </c>
      <c r="G154" s="270">
        <v>0</v>
      </c>
      <c r="H154" s="270">
        <v>39324.89</v>
      </c>
      <c r="I154" s="271">
        <v>528.98</v>
      </c>
      <c r="J154" s="272">
        <v>19993.38</v>
      </c>
      <c r="K154" s="272">
        <v>19773.59</v>
      </c>
      <c r="L154" s="272">
        <v>0</v>
      </c>
      <c r="M154" s="272">
        <v>0</v>
      </c>
      <c r="N154" s="272">
        <v>0</v>
      </c>
      <c r="O154" s="272">
        <v>0</v>
      </c>
      <c r="P154" s="273">
        <v>42947</v>
      </c>
      <c r="Q154" s="274">
        <v>376</v>
      </c>
      <c r="R154" s="275">
        <v>79620.84</v>
      </c>
      <c r="S154" s="268"/>
      <c r="T154" s="276">
        <f t="shared" si="42"/>
        <v>79620.84</v>
      </c>
      <c r="U154" s="277">
        <f t="shared" si="31"/>
        <v>39853.870000000003</v>
      </c>
      <c r="V154" s="278">
        <f t="shared" si="32"/>
        <v>39766.97</v>
      </c>
      <c r="W154" s="275">
        <f t="shared" si="33"/>
        <v>79620.84</v>
      </c>
      <c r="X154" s="268"/>
      <c r="Y154" s="280" t="s">
        <v>1426</v>
      </c>
      <c r="Z154" s="268"/>
    </row>
    <row r="155" spans="1:26">
      <c r="A155" s="8">
        <v>146</v>
      </c>
      <c r="B155" s="268" t="s">
        <v>1413</v>
      </c>
      <c r="C155" s="268" t="s">
        <v>1544</v>
      </c>
      <c r="D155" s="269">
        <v>0</v>
      </c>
      <c r="E155" s="270">
        <v>0</v>
      </c>
      <c r="F155" s="270">
        <v>0</v>
      </c>
      <c r="G155" s="270">
        <v>0</v>
      </c>
      <c r="H155" s="270">
        <v>0</v>
      </c>
      <c r="I155" s="271">
        <v>9150.07</v>
      </c>
      <c r="J155" s="272">
        <v>46.32</v>
      </c>
      <c r="K155" s="272">
        <v>46.58</v>
      </c>
      <c r="L155" s="272">
        <v>46.83</v>
      </c>
      <c r="M155" s="272">
        <v>47.09</v>
      </c>
      <c r="N155" s="272">
        <v>47.35</v>
      </c>
      <c r="O155" s="272">
        <v>47.61</v>
      </c>
      <c r="P155" s="273">
        <v>43100</v>
      </c>
      <c r="Q155" s="274">
        <v>376</v>
      </c>
      <c r="R155" s="275">
        <v>9431.85</v>
      </c>
      <c r="S155" s="268"/>
      <c r="T155" s="276"/>
      <c r="U155" s="277">
        <f t="shared" ref="U155:U166" si="45">SUM(D155:I155)</f>
        <v>9150.07</v>
      </c>
      <c r="V155" s="278">
        <f t="shared" ref="V155:V166" si="46">SUM(J155:O155)</f>
        <v>281.78000000000003</v>
      </c>
      <c r="W155" s="275">
        <f t="shared" ref="W155:W166" si="47">U155+V155</f>
        <v>9431.85</v>
      </c>
      <c r="X155" s="268"/>
      <c r="Y155" s="280"/>
      <c r="Z155" s="268"/>
    </row>
    <row r="156" spans="1:26">
      <c r="A156" s="8">
        <v>147</v>
      </c>
      <c r="B156" s="268" t="s">
        <v>1413</v>
      </c>
      <c r="C156" s="268" t="s">
        <v>1545</v>
      </c>
      <c r="D156" s="269">
        <v>0</v>
      </c>
      <c r="E156" s="270">
        <v>0</v>
      </c>
      <c r="F156" s="270">
        <v>0</v>
      </c>
      <c r="G156" s="270">
        <v>0</v>
      </c>
      <c r="H156" s="270">
        <v>0</v>
      </c>
      <c r="I156" s="271">
        <v>0</v>
      </c>
      <c r="J156" s="272">
        <v>33277.33</v>
      </c>
      <c r="K156" s="272">
        <v>33460.85</v>
      </c>
      <c r="L156" s="272">
        <v>33645.39</v>
      </c>
      <c r="M156" s="272">
        <v>0</v>
      </c>
      <c r="N156" s="272">
        <v>0</v>
      </c>
      <c r="O156" s="272">
        <v>0</v>
      </c>
      <c r="P156" s="273">
        <v>42979</v>
      </c>
      <c r="Q156" s="274">
        <v>376</v>
      </c>
      <c r="R156" s="275">
        <v>100383.57</v>
      </c>
      <c r="S156" s="268"/>
      <c r="T156" s="276">
        <f t="shared" ref="T156:T159" si="48">+R156</f>
        <v>100383.57</v>
      </c>
      <c r="U156" s="277">
        <f t="shared" si="45"/>
        <v>0</v>
      </c>
      <c r="V156" s="278">
        <f t="shared" si="46"/>
        <v>100383.56999999999</v>
      </c>
      <c r="W156" s="275">
        <f t="shared" si="47"/>
        <v>100383.56999999999</v>
      </c>
      <c r="X156" s="276"/>
      <c r="Y156" s="280" t="s">
        <v>1426</v>
      </c>
      <c r="Z156" s="268"/>
    </row>
    <row r="157" spans="1:26">
      <c r="A157" s="8">
        <v>148</v>
      </c>
      <c r="B157" s="268" t="s">
        <v>1413</v>
      </c>
      <c r="C157" s="268" t="s">
        <v>1546</v>
      </c>
      <c r="D157" s="269">
        <v>0</v>
      </c>
      <c r="E157" s="270">
        <v>0</v>
      </c>
      <c r="F157" s="270">
        <v>0</v>
      </c>
      <c r="G157" s="270">
        <v>0</v>
      </c>
      <c r="H157" s="270">
        <v>0</v>
      </c>
      <c r="I157" s="271">
        <v>0</v>
      </c>
      <c r="J157" s="272">
        <v>14848.6</v>
      </c>
      <c r="K157" s="272">
        <v>14930.49</v>
      </c>
      <c r="L157" s="272">
        <v>0</v>
      </c>
      <c r="M157" s="272">
        <v>0</v>
      </c>
      <c r="N157" s="272">
        <v>0</v>
      </c>
      <c r="O157" s="272">
        <v>0</v>
      </c>
      <c r="P157" s="273">
        <v>42962</v>
      </c>
      <c r="Q157" s="274">
        <v>376</v>
      </c>
      <c r="R157" s="275">
        <v>29779.09</v>
      </c>
      <c r="S157" s="268"/>
      <c r="T157" s="276">
        <f t="shared" si="48"/>
        <v>29779.09</v>
      </c>
      <c r="U157" s="277">
        <f t="shared" si="45"/>
        <v>0</v>
      </c>
      <c r="V157" s="278">
        <f t="shared" si="46"/>
        <v>29779.09</v>
      </c>
      <c r="W157" s="275">
        <f t="shared" si="47"/>
        <v>29779.09</v>
      </c>
      <c r="X157" s="268"/>
      <c r="Y157" s="280" t="s">
        <v>1426</v>
      </c>
      <c r="Z157" s="268"/>
    </row>
    <row r="158" spans="1:26">
      <c r="A158" s="8">
        <v>149</v>
      </c>
      <c r="B158" s="268" t="s">
        <v>1413</v>
      </c>
      <c r="C158" s="268" t="s">
        <v>1547</v>
      </c>
      <c r="D158" s="269">
        <v>0</v>
      </c>
      <c r="E158" s="270">
        <v>0</v>
      </c>
      <c r="F158" s="270">
        <v>0</v>
      </c>
      <c r="G158" s="270">
        <v>0</v>
      </c>
      <c r="H158" s="270">
        <v>0</v>
      </c>
      <c r="I158" s="271">
        <v>0</v>
      </c>
      <c r="J158" s="272">
        <v>25385.53</v>
      </c>
      <c r="K158" s="272">
        <v>25525.53</v>
      </c>
      <c r="L158" s="272">
        <v>0</v>
      </c>
      <c r="M158" s="272">
        <v>0</v>
      </c>
      <c r="N158" s="272">
        <v>0</v>
      </c>
      <c r="O158" s="272">
        <v>0</v>
      </c>
      <c r="P158" s="273">
        <v>42962</v>
      </c>
      <c r="Q158" s="274">
        <v>376</v>
      </c>
      <c r="R158" s="275">
        <v>50911.06</v>
      </c>
      <c r="S158" s="268"/>
      <c r="T158" s="276">
        <f t="shared" si="48"/>
        <v>50911.06</v>
      </c>
      <c r="U158" s="277">
        <f t="shared" si="45"/>
        <v>0</v>
      </c>
      <c r="V158" s="278">
        <f t="shared" si="46"/>
        <v>50911.06</v>
      </c>
      <c r="W158" s="275">
        <f t="shared" si="47"/>
        <v>50911.06</v>
      </c>
      <c r="X158" s="268"/>
      <c r="Y158" s="280" t="s">
        <v>1426</v>
      </c>
      <c r="Z158" s="268"/>
    </row>
    <row r="159" spans="1:26">
      <c r="A159" s="8">
        <v>150</v>
      </c>
      <c r="B159" s="268" t="s">
        <v>1413</v>
      </c>
      <c r="C159" s="268" t="s">
        <v>1548</v>
      </c>
      <c r="D159" s="269">
        <v>0</v>
      </c>
      <c r="E159" s="270">
        <v>0</v>
      </c>
      <c r="F159" s="270">
        <v>0</v>
      </c>
      <c r="G159" s="270">
        <v>0</v>
      </c>
      <c r="H159" s="270">
        <v>0</v>
      </c>
      <c r="I159" s="271">
        <v>0</v>
      </c>
      <c r="J159" s="272">
        <v>31102.12</v>
      </c>
      <c r="K159" s="272">
        <v>31273.65</v>
      </c>
      <c r="L159" s="272">
        <v>31446.12</v>
      </c>
      <c r="M159" s="272">
        <v>0</v>
      </c>
      <c r="N159" s="272">
        <v>0</v>
      </c>
      <c r="O159" s="272">
        <v>0</v>
      </c>
      <c r="P159" s="273">
        <v>43008</v>
      </c>
      <c r="Q159" s="274">
        <v>376</v>
      </c>
      <c r="R159" s="275">
        <v>93821.89</v>
      </c>
      <c r="S159" s="268"/>
      <c r="T159" s="276">
        <f t="shared" si="48"/>
        <v>93821.89</v>
      </c>
      <c r="U159" s="277">
        <f t="shared" si="45"/>
        <v>0</v>
      </c>
      <c r="V159" s="278">
        <f t="shared" si="46"/>
        <v>93821.89</v>
      </c>
      <c r="W159" s="275">
        <f t="shared" si="47"/>
        <v>93821.89</v>
      </c>
      <c r="X159" s="268"/>
      <c r="Y159" s="280" t="s">
        <v>1426</v>
      </c>
      <c r="Z159" s="268"/>
    </row>
    <row r="160" spans="1:26">
      <c r="A160" s="8">
        <v>151</v>
      </c>
      <c r="B160" s="268" t="s">
        <v>1413</v>
      </c>
      <c r="C160" s="268" t="s">
        <v>1549</v>
      </c>
      <c r="D160" s="269">
        <v>0</v>
      </c>
      <c r="E160" s="270">
        <v>0</v>
      </c>
      <c r="F160" s="270">
        <v>0</v>
      </c>
      <c r="G160" s="270">
        <v>0</v>
      </c>
      <c r="H160" s="270">
        <v>0</v>
      </c>
      <c r="I160" s="271">
        <v>0</v>
      </c>
      <c r="J160" s="272">
        <v>142208.57</v>
      </c>
      <c r="K160" s="272">
        <v>142992.86000000002</v>
      </c>
      <c r="L160" s="272">
        <v>143781.46</v>
      </c>
      <c r="M160" s="272">
        <v>144574.42000000001</v>
      </c>
      <c r="N160" s="272">
        <v>145371.74</v>
      </c>
      <c r="O160" s="272">
        <v>0</v>
      </c>
      <c r="P160" s="273">
        <v>43069</v>
      </c>
      <c r="Q160" s="274">
        <v>376</v>
      </c>
      <c r="R160" s="275">
        <v>718929.05</v>
      </c>
      <c r="S160" s="268"/>
      <c r="T160" s="276">
        <f>+R160</f>
        <v>718929.05</v>
      </c>
      <c r="U160" s="277">
        <f t="shared" si="45"/>
        <v>0</v>
      </c>
      <c r="V160" s="278">
        <f t="shared" si="46"/>
        <v>718929.05</v>
      </c>
      <c r="W160" s="275">
        <f t="shared" si="47"/>
        <v>718929.05</v>
      </c>
      <c r="X160" s="302">
        <f>+T160</f>
        <v>718929.05</v>
      </c>
      <c r="Y160" s="280">
        <v>23</v>
      </c>
      <c r="Z160" s="268"/>
    </row>
    <row r="161" spans="1:26">
      <c r="A161" s="8">
        <v>152</v>
      </c>
      <c r="B161" s="268" t="s">
        <v>1413</v>
      </c>
      <c r="C161" s="268" t="s">
        <v>1550</v>
      </c>
      <c r="D161" s="269">
        <v>0</v>
      </c>
      <c r="E161" s="270">
        <v>0</v>
      </c>
      <c r="F161" s="270">
        <v>0</v>
      </c>
      <c r="G161" s="270">
        <v>0</v>
      </c>
      <c r="H161" s="270">
        <v>0</v>
      </c>
      <c r="I161" s="271">
        <v>0</v>
      </c>
      <c r="J161" s="272">
        <v>19111.810000000001</v>
      </c>
      <c r="K161" s="272">
        <v>19217.21</v>
      </c>
      <c r="L161" s="272">
        <v>19323.189999999999</v>
      </c>
      <c r="M161" s="272">
        <v>0</v>
      </c>
      <c r="N161" s="272">
        <v>0</v>
      </c>
      <c r="O161" s="272">
        <v>0</v>
      </c>
      <c r="P161" s="273">
        <v>42990</v>
      </c>
      <c r="Q161" s="274">
        <v>376</v>
      </c>
      <c r="R161" s="275">
        <v>57652.21</v>
      </c>
      <c r="S161" s="268"/>
      <c r="T161" s="276">
        <f t="shared" ref="T161:T163" si="49">+R161</f>
        <v>57652.21</v>
      </c>
      <c r="U161" s="277">
        <f t="shared" si="45"/>
        <v>0</v>
      </c>
      <c r="V161" s="278">
        <f t="shared" si="46"/>
        <v>57652.210000000006</v>
      </c>
      <c r="W161" s="275">
        <f t="shared" si="47"/>
        <v>57652.210000000006</v>
      </c>
      <c r="X161" s="268"/>
      <c r="Y161" s="280" t="s">
        <v>1426</v>
      </c>
      <c r="Z161" s="268"/>
    </row>
    <row r="162" spans="1:26">
      <c r="A162" s="8">
        <v>153</v>
      </c>
      <c r="B162" s="268" t="s">
        <v>1413</v>
      </c>
      <c r="C162" s="268" t="s">
        <v>1551</v>
      </c>
      <c r="D162" s="269">
        <v>0</v>
      </c>
      <c r="E162" s="270">
        <v>0</v>
      </c>
      <c r="F162" s="270">
        <v>0</v>
      </c>
      <c r="G162" s="270">
        <v>0</v>
      </c>
      <c r="H162" s="270">
        <v>0</v>
      </c>
      <c r="I162" s="271">
        <v>0</v>
      </c>
      <c r="J162" s="272">
        <v>18501.41</v>
      </c>
      <c r="K162" s="272">
        <v>18603.439999999999</v>
      </c>
      <c r="L162" s="272">
        <v>18706.05</v>
      </c>
      <c r="M162" s="272">
        <v>18809.2</v>
      </c>
      <c r="N162" s="272">
        <v>0</v>
      </c>
      <c r="O162" s="272">
        <v>0</v>
      </c>
      <c r="P162" s="273">
        <v>43038</v>
      </c>
      <c r="Q162" s="274">
        <v>376</v>
      </c>
      <c r="R162" s="275">
        <v>74620.100000000006</v>
      </c>
      <c r="S162" s="268"/>
      <c r="T162" s="276">
        <f t="shared" si="49"/>
        <v>74620.100000000006</v>
      </c>
      <c r="U162" s="277">
        <f t="shared" si="45"/>
        <v>0</v>
      </c>
      <c r="V162" s="278">
        <f t="shared" si="46"/>
        <v>74620.099999999991</v>
      </c>
      <c r="W162" s="275">
        <f t="shared" si="47"/>
        <v>74620.099999999991</v>
      </c>
      <c r="X162" s="268"/>
      <c r="Y162" s="280" t="s">
        <v>1426</v>
      </c>
      <c r="Z162" s="268"/>
    </row>
    <row r="163" spans="1:26">
      <c r="A163" s="8">
        <v>154</v>
      </c>
      <c r="B163" s="268" t="s">
        <v>1413</v>
      </c>
      <c r="C163" s="268" t="s">
        <v>1552</v>
      </c>
      <c r="D163" s="269">
        <v>0</v>
      </c>
      <c r="E163" s="270">
        <v>0</v>
      </c>
      <c r="F163" s="270">
        <v>0</v>
      </c>
      <c r="G163" s="270">
        <v>0</v>
      </c>
      <c r="H163" s="270">
        <v>0</v>
      </c>
      <c r="I163" s="271">
        <v>0</v>
      </c>
      <c r="J163" s="272">
        <v>0</v>
      </c>
      <c r="K163" s="272">
        <v>23714.16</v>
      </c>
      <c r="L163" s="272">
        <v>23844.94</v>
      </c>
      <c r="M163" s="272">
        <v>23976.44</v>
      </c>
      <c r="N163" s="272">
        <v>24108.68</v>
      </c>
      <c r="O163" s="272">
        <v>0</v>
      </c>
      <c r="P163" s="273">
        <v>43069</v>
      </c>
      <c r="Q163" s="274">
        <v>376</v>
      </c>
      <c r="R163" s="275">
        <v>95644.22</v>
      </c>
      <c r="S163" s="268"/>
      <c r="T163" s="276">
        <f t="shared" si="49"/>
        <v>95644.22</v>
      </c>
      <c r="U163" s="277">
        <f t="shared" si="45"/>
        <v>0</v>
      </c>
      <c r="V163" s="278">
        <f t="shared" si="46"/>
        <v>95644.22</v>
      </c>
      <c r="W163" s="275">
        <f t="shared" si="47"/>
        <v>95644.22</v>
      </c>
      <c r="X163" s="276"/>
      <c r="Y163" s="280" t="s">
        <v>1426</v>
      </c>
      <c r="Z163" s="268"/>
    </row>
    <row r="164" spans="1:26">
      <c r="A164" s="8">
        <v>155</v>
      </c>
      <c r="B164" s="268" t="s">
        <v>1413</v>
      </c>
      <c r="C164" s="268" t="s">
        <v>1553</v>
      </c>
      <c r="D164" s="269">
        <v>0</v>
      </c>
      <c r="E164" s="270">
        <v>0</v>
      </c>
      <c r="F164" s="270">
        <v>0</v>
      </c>
      <c r="G164" s="270">
        <v>0</v>
      </c>
      <c r="H164" s="270">
        <v>0</v>
      </c>
      <c r="I164" s="271">
        <v>0</v>
      </c>
      <c r="J164" s="272">
        <v>27614.03</v>
      </c>
      <c r="K164" s="272">
        <v>27766.32</v>
      </c>
      <c r="L164" s="272">
        <v>27919.45</v>
      </c>
      <c r="M164" s="272">
        <v>28073.43</v>
      </c>
      <c r="N164" s="272">
        <v>0</v>
      </c>
      <c r="O164" s="272">
        <v>0</v>
      </c>
      <c r="P164" s="274"/>
      <c r="Q164" s="274"/>
      <c r="R164" s="275">
        <v>111373.23</v>
      </c>
      <c r="S164" s="268"/>
      <c r="T164" s="276"/>
      <c r="U164" s="277">
        <f t="shared" si="45"/>
        <v>0</v>
      </c>
      <c r="V164" s="278">
        <f t="shared" si="46"/>
        <v>111373.23000000001</v>
      </c>
      <c r="W164" s="275">
        <f t="shared" si="47"/>
        <v>111373.23000000001</v>
      </c>
      <c r="X164" s="268"/>
      <c r="Y164" s="280"/>
      <c r="Z164" s="268"/>
    </row>
    <row r="165" spans="1:26">
      <c r="A165" s="8">
        <v>156</v>
      </c>
      <c r="B165" s="268" t="s">
        <v>1554</v>
      </c>
      <c r="C165" s="268" t="s">
        <v>1555</v>
      </c>
      <c r="D165" s="269">
        <v>190.58</v>
      </c>
      <c r="E165" s="270">
        <v>191.73000000000002</v>
      </c>
      <c r="F165" s="270">
        <v>5972.87</v>
      </c>
      <c r="G165" s="270">
        <v>10415.34</v>
      </c>
      <c r="H165" s="270">
        <v>31809.8</v>
      </c>
      <c r="I165" s="271">
        <v>113610.73</v>
      </c>
      <c r="J165" s="272">
        <v>1068.24</v>
      </c>
      <c r="K165" s="272">
        <v>1074.1300000000001</v>
      </c>
      <c r="L165" s="272">
        <v>1080.05</v>
      </c>
      <c r="M165" s="272">
        <v>1086.01</v>
      </c>
      <c r="N165" s="272">
        <v>1092</v>
      </c>
      <c r="O165" s="272">
        <v>1098.02</v>
      </c>
      <c r="P165" s="273">
        <v>43100</v>
      </c>
      <c r="Q165" s="274">
        <v>376</v>
      </c>
      <c r="R165" s="275">
        <v>168689.5</v>
      </c>
      <c r="S165" s="268"/>
      <c r="T165" s="276">
        <f t="shared" ref="T165:T166" si="50">+R165</f>
        <v>168689.5</v>
      </c>
      <c r="U165" s="277">
        <f t="shared" si="45"/>
        <v>162191.04999999999</v>
      </c>
      <c r="V165" s="278">
        <f t="shared" si="46"/>
        <v>6498.4500000000007</v>
      </c>
      <c r="W165" s="275">
        <f t="shared" si="47"/>
        <v>168689.5</v>
      </c>
      <c r="X165" s="279"/>
      <c r="Y165" s="280" t="s">
        <v>1400</v>
      </c>
      <c r="Z165" s="268"/>
    </row>
    <row r="166" spans="1:26">
      <c r="A166" s="8">
        <v>157</v>
      </c>
      <c r="B166" s="268" t="s">
        <v>1554</v>
      </c>
      <c r="C166" s="268" t="s">
        <v>1556</v>
      </c>
      <c r="D166" s="269">
        <v>94655.21</v>
      </c>
      <c r="E166" s="270">
        <v>98535.3</v>
      </c>
      <c r="F166" s="270">
        <v>132939.62</v>
      </c>
      <c r="G166" s="270">
        <v>62785.86</v>
      </c>
      <c r="H166" s="270">
        <v>41416.959999999999</v>
      </c>
      <c r="I166" s="271">
        <v>48388.3</v>
      </c>
      <c r="J166" s="272">
        <v>17664.89</v>
      </c>
      <c r="K166" s="272">
        <v>17762.310000000001</v>
      </c>
      <c r="L166" s="272">
        <v>17860.260000000002</v>
      </c>
      <c r="M166" s="272">
        <v>17958.77</v>
      </c>
      <c r="N166" s="272">
        <v>18057.810000000001</v>
      </c>
      <c r="O166" s="272">
        <v>18157.400000000001</v>
      </c>
      <c r="P166" s="273">
        <v>43434</v>
      </c>
      <c r="Q166" s="274">
        <v>376</v>
      </c>
      <c r="R166" s="275">
        <v>586182.69000000006</v>
      </c>
      <c r="S166" s="268"/>
      <c r="T166" s="276">
        <f t="shared" si="50"/>
        <v>586182.69000000006</v>
      </c>
      <c r="U166" s="277">
        <f t="shared" si="45"/>
        <v>478721.25</v>
      </c>
      <c r="V166" s="278">
        <f t="shared" si="46"/>
        <v>107461.44</v>
      </c>
      <c r="W166" s="275">
        <f t="shared" si="47"/>
        <v>586182.68999999994</v>
      </c>
      <c r="X166" s="279"/>
      <c r="Y166" s="280" t="s">
        <v>1400</v>
      </c>
      <c r="Z166" s="268"/>
    </row>
    <row r="167" spans="1:26">
      <c r="A167" s="8">
        <v>158</v>
      </c>
      <c r="B167" s="288"/>
      <c r="C167" s="289" t="s">
        <v>1557</v>
      </c>
      <c r="D167" s="290">
        <f t="shared" ref="D167:O167" si="51">SUM(D27:D166)</f>
        <v>2036814.9799999995</v>
      </c>
      <c r="E167" s="291">
        <f t="shared" si="51"/>
        <v>2658788.2100000009</v>
      </c>
      <c r="F167" s="291">
        <f t="shared" si="51"/>
        <v>3371657.64</v>
      </c>
      <c r="G167" s="291">
        <f t="shared" si="51"/>
        <v>4094063.9199999995</v>
      </c>
      <c r="H167" s="291">
        <f t="shared" si="51"/>
        <v>5845911.3000000007</v>
      </c>
      <c r="I167" s="292">
        <f t="shared" si="51"/>
        <v>4729305.9600000009</v>
      </c>
      <c r="J167" s="293">
        <f t="shared" si="51"/>
        <v>6979412.2400000012</v>
      </c>
      <c r="K167" s="293">
        <f t="shared" si="51"/>
        <v>7058667.200000002</v>
      </c>
      <c r="L167" s="293">
        <f t="shared" si="51"/>
        <v>6909364.3000000007</v>
      </c>
      <c r="M167" s="293">
        <f t="shared" si="51"/>
        <v>5214083.1999999993</v>
      </c>
      <c r="N167" s="293">
        <f t="shared" si="51"/>
        <v>3522815.0700000003</v>
      </c>
      <c r="O167" s="293">
        <f t="shared" si="51"/>
        <v>3147460.4400000004</v>
      </c>
      <c r="P167" s="294"/>
      <c r="Q167" s="294"/>
      <c r="R167" s="295">
        <f>SUM(R27:R166)</f>
        <v>55568344.459999986</v>
      </c>
      <c r="S167" s="288"/>
      <c r="T167" s="296">
        <f>SUM(T27:T166)</f>
        <v>42871768.677532002</v>
      </c>
      <c r="U167" s="297">
        <f>SUM(U27:U166)</f>
        <v>22736542.010000009</v>
      </c>
      <c r="V167" s="298">
        <f>SUM(V27:V166)</f>
        <v>32831802.450000003</v>
      </c>
      <c r="W167" s="295">
        <f>SUM(W27:W166)</f>
        <v>55568344.459999986</v>
      </c>
      <c r="X167" s="296">
        <f>SUM(X27:X166)</f>
        <v>16197224.664488005</v>
      </c>
      <c r="Y167" s="299"/>
      <c r="Z167" s="288"/>
    </row>
    <row r="168" spans="1:26">
      <c r="B168" s="288"/>
      <c r="C168" s="288"/>
      <c r="D168" s="269"/>
      <c r="E168" s="270"/>
      <c r="F168" s="270"/>
      <c r="G168" s="270"/>
      <c r="H168" s="270"/>
      <c r="I168" s="271"/>
      <c r="J168" s="272"/>
      <c r="K168" s="272"/>
      <c r="L168" s="272"/>
      <c r="M168" s="272"/>
      <c r="N168" s="272"/>
      <c r="O168" s="300"/>
      <c r="P168" s="284"/>
      <c r="Q168" s="284"/>
      <c r="R168" s="275"/>
      <c r="S168" s="288"/>
      <c r="T168" s="303"/>
      <c r="U168" s="277"/>
      <c r="V168" s="278"/>
      <c r="W168" s="275"/>
      <c r="X168" s="303"/>
      <c r="Y168" s="299"/>
      <c r="Z168" s="288"/>
    </row>
    <row r="169" spans="1:26">
      <c r="B169" s="288"/>
      <c r="C169" s="289"/>
      <c r="D169" s="269"/>
      <c r="E169" s="270"/>
      <c r="F169" s="270"/>
      <c r="G169" s="270"/>
      <c r="H169" s="270"/>
      <c r="I169" s="271">
        <f>SUM(D167:I167)</f>
        <v>22736542.010000002</v>
      </c>
      <c r="J169" s="272"/>
      <c r="K169" s="272"/>
      <c r="L169" s="272"/>
      <c r="M169" s="272"/>
      <c r="N169" s="272"/>
      <c r="O169" s="300">
        <f>SUM(J167:O167)</f>
        <v>32831802.450000003</v>
      </c>
      <c r="P169" s="284"/>
      <c r="Q169" s="284"/>
      <c r="R169" s="275"/>
      <c r="S169" s="288"/>
      <c r="T169" s="303"/>
      <c r="U169" s="277"/>
      <c r="V169" s="278"/>
      <c r="W169" s="275"/>
      <c r="X169" s="288"/>
      <c r="Y169" s="299"/>
      <c r="Z169" s="288"/>
    </row>
    <row r="170" spans="1:26">
      <c r="B170" s="288"/>
      <c r="C170" s="288"/>
      <c r="D170" s="269"/>
      <c r="E170" s="270"/>
      <c r="F170" s="270"/>
      <c r="G170" s="270"/>
      <c r="H170" s="270"/>
      <c r="I170" s="271"/>
      <c r="J170" s="272"/>
      <c r="K170" s="272"/>
      <c r="L170" s="272"/>
      <c r="M170" s="272"/>
      <c r="N170" s="272"/>
      <c r="O170" s="300"/>
      <c r="P170" s="284"/>
      <c r="Q170" s="284"/>
      <c r="R170" s="275"/>
      <c r="S170" s="288"/>
      <c r="T170" s="301"/>
      <c r="U170" s="277"/>
      <c r="V170" s="278"/>
      <c r="W170" s="275"/>
      <c r="X170" s="288"/>
      <c r="Y170" s="299"/>
      <c r="Z170" s="288"/>
    </row>
    <row r="171" spans="1:26">
      <c r="A171" s="8">
        <v>159</v>
      </c>
      <c r="B171" s="268" t="s">
        <v>1558</v>
      </c>
      <c r="C171" s="268" t="s">
        <v>1559</v>
      </c>
      <c r="D171" s="269">
        <v>0</v>
      </c>
      <c r="E171" s="270">
        <v>0</v>
      </c>
      <c r="F171" s="270">
        <v>0</v>
      </c>
      <c r="G171" s="270">
        <v>0</v>
      </c>
      <c r="H171" s="270">
        <v>0</v>
      </c>
      <c r="I171" s="271">
        <v>0</v>
      </c>
      <c r="J171" s="272">
        <v>882.87</v>
      </c>
      <c r="K171" s="272">
        <v>882.87</v>
      </c>
      <c r="L171" s="272">
        <v>882.87</v>
      </c>
      <c r="M171" s="272">
        <v>882.87</v>
      </c>
      <c r="N171" s="272">
        <v>882.87</v>
      </c>
      <c r="O171" s="272">
        <v>882.87</v>
      </c>
      <c r="P171" s="273">
        <v>44561</v>
      </c>
      <c r="Q171" s="274">
        <v>396</v>
      </c>
      <c r="R171" s="275">
        <v>5297.22</v>
      </c>
      <c r="S171" s="986">
        <f>+'State Allocation Formulas'!$L$25</f>
        <v>0.77239999999999998</v>
      </c>
      <c r="T171" s="276">
        <f t="shared" ref="T171:T203" si="52">+R171*S171</f>
        <v>4091.5727280000001</v>
      </c>
      <c r="U171" s="277">
        <f t="shared" ref="U171:U203" si="53">SUM(D171:I171)</f>
        <v>0</v>
      </c>
      <c r="V171" s="278">
        <f t="shared" ref="V171:V203" si="54">SUM(J171:O171)</f>
        <v>5297.22</v>
      </c>
      <c r="W171" s="275">
        <f t="shared" ref="W171:W203" si="55">U171+V171</f>
        <v>5297.22</v>
      </c>
      <c r="X171" s="276"/>
      <c r="Y171" s="280" t="s">
        <v>1428</v>
      </c>
      <c r="Z171" s="268"/>
    </row>
    <row r="172" spans="1:26">
      <c r="A172" s="8">
        <v>160</v>
      </c>
      <c r="B172" s="268" t="s">
        <v>1558</v>
      </c>
      <c r="C172" s="268" t="s">
        <v>1560</v>
      </c>
      <c r="D172" s="269">
        <v>2416.65</v>
      </c>
      <c r="E172" s="270">
        <v>1514.64</v>
      </c>
      <c r="F172" s="270">
        <v>4178.3900000000003</v>
      </c>
      <c r="G172" s="270">
        <v>5415.88</v>
      </c>
      <c r="H172" s="270">
        <v>20910.14</v>
      </c>
      <c r="I172" s="271">
        <v>7842</v>
      </c>
      <c r="J172" s="272">
        <v>24341.89</v>
      </c>
      <c r="K172" s="272">
        <v>24341.89</v>
      </c>
      <c r="L172" s="272">
        <v>24341.89</v>
      </c>
      <c r="M172" s="272">
        <v>24341.89</v>
      </c>
      <c r="N172" s="272">
        <v>24341.89</v>
      </c>
      <c r="O172" s="272">
        <v>24341.89</v>
      </c>
      <c r="P172" s="273">
        <v>46022</v>
      </c>
      <c r="Q172" s="274">
        <v>397</v>
      </c>
      <c r="R172" s="275">
        <v>188329.04</v>
      </c>
      <c r="S172" s="986">
        <f>+'State Allocation Formulas'!$L$25</f>
        <v>0.77239999999999998</v>
      </c>
      <c r="T172" s="276">
        <f t="shared" si="52"/>
        <v>145465.350496</v>
      </c>
      <c r="U172" s="277">
        <f t="shared" si="53"/>
        <v>42277.7</v>
      </c>
      <c r="V172" s="278">
        <f t="shared" si="54"/>
        <v>146051.34</v>
      </c>
      <c r="W172" s="275">
        <f t="shared" si="55"/>
        <v>188329.03999999998</v>
      </c>
      <c r="X172" s="276"/>
      <c r="Y172" s="280" t="s">
        <v>1428</v>
      </c>
      <c r="Z172" s="268"/>
    </row>
    <row r="173" spans="1:26">
      <c r="A173" s="8">
        <v>161</v>
      </c>
      <c r="B173" s="268" t="s">
        <v>1558</v>
      </c>
      <c r="C173" s="268" t="s">
        <v>1561</v>
      </c>
      <c r="D173" s="269">
        <v>-1479.5</v>
      </c>
      <c r="E173" s="270">
        <v>-35847.599999999999</v>
      </c>
      <c r="F173" s="270">
        <v>-16293.28</v>
      </c>
      <c r="G173" s="270">
        <v>76220.67</v>
      </c>
      <c r="H173" s="270">
        <v>70334.180000000008</v>
      </c>
      <c r="I173" s="271">
        <v>17524.38</v>
      </c>
      <c r="J173" s="272">
        <v>41495.78</v>
      </c>
      <c r="K173" s="272">
        <v>41495.78</v>
      </c>
      <c r="L173" s="272">
        <v>41495.78</v>
      </c>
      <c r="M173" s="272">
        <v>41495.78</v>
      </c>
      <c r="N173" s="272">
        <v>41495.78</v>
      </c>
      <c r="O173" s="272">
        <v>41495.78</v>
      </c>
      <c r="P173" s="274"/>
      <c r="Q173" s="274"/>
      <c r="R173" s="275">
        <v>359433.53</v>
      </c>
      <c r="S173" s="268"/>
      <c r="T173" s="276"/>
      <c r="U173" s="277">
        <f t="shared" si="53"/>
        <v>110458.85</v>
      </c>
      <c r="V173" s="278">
        <f t="shared" si="54"/>
        <v>248974.68</v>
      </c>
      <c r="W173" s="275">
        <f t="shared" si="55"/>
        <v>359433.53</v>
      </c>
      <c r="X173" s="268"/>
      <c r="Y173" s="280"/>
      <c r="Z173" s="268"/>
    </row>
    <row r="174" spans="1:26">
      <c r="A174" s="8">
        <v>162</v>
      </c>
      <c r="B174" s="268" t="s">
        <v>1558</v>
      </c>
      <c r="C174" s="268" t="s">
        <v>1562</v>
      </c>
      <c r="D174" s="269">
        <v>19901.59</v>
      </c>
      <c r="E174" s="270">
        <v>-600</v>
      </c>
      <c r="F174" s="270">
        <v>0</v>
      </c>
      <c r="G174" s="270">
        <v>0</v>
      </c>
      <c r="H174" s="270">
        <v>-59935.46</v>
      </c>
      <c r="I174" s="271">
        <v>-3426</v>
      </c>
      <c r="J174" s="272">
        <v>47787.65</v>
      </c>
      <c r="K174" s="272">
        <v>47787.65</v>
      </c>
      <c r="L174" s="272">
        <v>47787.65</v>
      </c>
      <c r="M174" s="272">
        <v>47787.65</v>
      </c>
      <c r="N174" s="272">
        <v>47787.65</v>
      </c>
      <c r="O174" s="272">
        <v>47787.65</v>
      </c>
      <c r="P174" s="274"/>
      <c r="Q174" s="274"/>
      <c r="R174" s="275">
        <v>242666.03</v>
      </c>
      <c r="S174" s="268"/>
      <c r="T174" s="276"/>
      <c r="U174" s="277">
        <f t="shared" si="53"/>
        <v>-44059.869999999995</v>
      </c>
      <c r="V174" s="278">
        <f t="shared" si="54"/>
        <v>286725.90000000002</v>
      </c>
      <c r="W174" s="275">
        <f t="shared" si="55"/>
        <v>242666.03000000003</v>
      </c>
      <c r="X174" s="268"/>
      <c r="Y174" s="280"/>
      <c r="Z174" s="268"/>
    </row>
    <row r="175" spans="1:26">
      <c r="A175" s="8">
        <v>163</v>
      </c>
      <c r="B175" s="268" t="s">
        <v>1558</v>
      </c>
      <c r="C175" s="268" t="s">
        <v>1563</v>
      </c>
      <c r="D175" s="269">
        <v>-21843.72</v>
      </c>
      <c r="E175" s="270">
        <v>136006.39999999999</v>
      </c>
      <c r="F175" s="270">
        <v>14779.07</v>
      </c>
      <c r="G175" s="270">
        <v>209749.84</v>
      </c>
      <c r="H175" s="270">
        <v>98505.45</v>
      </c>
      <c r="I175" s="271">
        <v>335275.18</v>
      </c>
      <c r="J175" s="272">
        <v>98096.17</v>
      </c>
      <c r="K175" s="272">
        <v>98096.17</v>
      </c>
      <c r="L175" s="272">
        <v>98096.17</v>
      </c>
      <c r="M175" s="272">
        <v>98096.17</v>
      </c>
      <c r="N175" s="272">
        <v>98096.17</v>
      </c>
      <c r="O175" s="272">
        <v>98096.17</v>
      </c>
      <c r="P175" s="273">
        <v>44926</v>
      </c>
      <c r="Q175" s="274">
        <v>392</v>
      </c>
      <c r="R175" s="275">
        <v>1361049.24</v>
      </c>
      <c r="S175" s="268"/>
      <c r="T175" s="276">
        <f>+R175</f>
        <v>1361049.24</v>
      </c>
      <c r="U175" s="277">
        <f t="shared" si="53"/>
        <v>772472.22</v>
      </c>
      <c r="V175" s="278">
        <f t="shared" si="54"/>
        <v>588577.02</v>
      </c>
      <c r="W175" s="275">
        <f t="shared" si="55"/>
        <v>1361049.24</v>
      </c>
      <c r="X175" s="276"/>
      <c r="Y175" s="280" t="s">
        <v>1428</v>
      </c>
      <c r="Z175" s="268"/>
    </row>
    <row r="176" spans="1:26">
      <c r="A176" s="8">
        <v>164</v>
      </c>
      <c r="B176" s="268" t="s">
        <v>1558</v>
      </c>
      <c r="C176" s="268" t="s">
        <v>1564</v>
      </c>
      <c r="D176" s="269">
        <v>44759.69</v>
      </c>
      <c r="E176" s="270">
        <v>0</v>
      </c>
      <c r="F176" s="270">
        <v>0</v>
      </c>
      <c r="G176" s="270">
        <v>0</v>
      </c>
      <c r="H176" s="270">
        <v>-128283.23</v>
      </c>
      <c r="I176" s="271">
        <v>-4719.57</v>
      </c>
      <c r="J176" s="272">
        <v>131219.44</v>
      </c>
      <c r="K176" s="272">
        <v>131219.44</v>
      </c>
      <c r="L176" s="272">
        <v>131219.44</v>
      </c>
      <c r="M176" s="272">
        <v>131219.44</v>
      </c>
      <c r="N176" s="272">
        <v>131219.44</v>
      </c>
      <c r="O176" s="272">
        <v>131219.44</v>
      </c>
      <c r="P176" s="273">
        <v>44926</v>
      </c>
      <c r="Q176" s="274">
        <v>396</v>
      </c>
      <c r="R176" s="275">
        <v>699073.53</v>
      </c>
      <c r="S176" s="268"/>
      <c r="T176" s="276">
        <f t="shared" ref="T176:T177" si="56">+R176</f>
        <v>699073.53</v>
      </c>
      <c r="U176" s="277">
        <f t="shared" si="53"/>
        <v>-88243.109999999986</v>
      </c>
      <c r="V176" s="278">
        <f t="shared" si="54"/>
        <v>787316.6399999999</v>
      </c>
      <c r="W176" s="275">
        <f t="shared" si="55"/>
        <v>699073.52999999991</v>
      </c>
      <c r="X176" s="276"/>
      <c r="Y176" s="280" t="s">
        <v>1428</v>
      </c>
      <c r="Z176" s="268"/>
    </row>
    <row r="177" spans="1:26">
      <c r="A177" s="8">
        <v>165</v>
      </c>
      <c r="B177" s="268" t="s">
        <v>1558</v>
      </c>
      <c r="C177" s="268" t="s">
        <v>1565</v>
      </c>
      <c r="D177" s="269">
        <v>1059.77</v>
      </c>
      <c r="E177" s="270">
        <v>0</v>
      </c>
      <c r="F177" s="270">
        <v>0</v>
      </c>
      <c r="G177" s="270">
        <v>0</v>
      </c>
      <c r="H177" s="270">
        <v>0</v>
      </c>
      <c r="I177" s="271">
        <v>0</v>
      </c>
      <c r="J177" s="272">
        <v>0</v>
      </c>
      <c r="K177" s="272">
        <v>0</v>
      </c>
      <c r="L177" s="272">
        <v>0</v>
      </c>
      <c r="M177" s="272">
        <v>0</v>
      </c>
      <c r="N177" s="272">
        <v>0</v>
      </c>
      <c r="O177" s="272">
        <v>0</v>
      </c>
      <c r="P177" s="273">
        <v>46022</v>
      </c>
      <c r="Q177" s="274">
        <v>397</v>
      </c>
      <c r="R177" s="275">
        <v>1059.77</v>
      </c>
      <c r="S177" s="268"/>
      <c r="T177" s="276">
        <f t="shared" si="56"/>
        <v>1059.77</v>
      </c>
      <c r="U177" s="277">
        <f t="shared" si="53"/>
        <v>1059.77</v>
      </c>
      <c r="V177" s="278">
        <f t="shared" si="54"/>
        <v>0</v>
      </c>
      <c r="W177" s="275">
        <f t="shared" si="55"/>
        <v>1059.77</v>
      </c>
      <c r="X177" s="276"/>
      <c r="Y177" s="280" t="s">
        <v>1428</v>
      </c>
      <c r="Z177" s="268"/>
    </row>
    <row r="178" spans="1:26">
      <c r="A178" s="8">
        <v>166</v>
      </c>
      <c r="B178" s="268" t="s">
        <v>1558</v>
      </c>
      <c r="C178" s="268" t="s">
        <v>1566</v>
      </c>
      <c r="D178" s="269">
        <v>225.18</v>
      </c>
      <c r="E178" s="270">
        <v>226.54</v>
      </c>
      <c r="F178" s="270">
        <v>-2051.9700000000003</v>
      </c>
      <c r="G178" s="270">
        <v>0</v>
      </c>
      <c r="H178" s="270">
        <v>0</v>
      </c>
      <c r="I178" s="271">
        <v>0</v>
      </c>
      <c r="J178" s="272">
        <v>0</v>
      </c>
      <c r="K178" s="272">
        <v>0</v>
      </c>
      <c r="L178" s="272">
        <v>0</v>
      </c>
      <c r="M178" s="272">
        <v>0</v>
      </c>
      <c r="N178" s="272">
        <v>0</v>
      </c>
      <c r="O178" s="272">
        <v>0</v>
      </c>
      <c r="P178" s="273">
        <v>46022</v>
      </c>
      <c r="Q178" s="274">
        <v>390</v>
      </c>
      <c r="R178" s="275">
        <v>-1600.25</v>
      </c>
      <c r="S178" s="986">
        <f>+'State Allocation Formulas'!$L$25</f>
        <v>0.77239999999999998</v>
      </c>
      <c r="T178" s="276">
        <f t="shared" si="52"/>
        <v>-1236.0330999999999</v>
      </c>
      <c r="U178" s="277">
        <f t="shared" si="53"/>
        <v>-1600.2500000000002</v>
      </c>
      <c r="V178" s="278">
        <f t="shared" si="54"/>
        <v>0</v>
      </c>
      <c r="W178" s="275">
        <f t="shared" si="55"/>
        <v>-1600.2500000000002</v>
      </c>
      <c r="X178" s="276"/>
      <c r="Y178" s="280" t="s">
        <v>1428</v>
      </c>
      <c r="Z178" s="268"/>
    </row>
    <row r="179" spans="1:26">
      <c r="A179" s="8">
        <v>167</v>
      </c>
      <c r="B179" s="268" t="s">
        <v>1558</v>
      </c>
      <c r="C179" s="268" t="s">
        <v>1567</v>
      </c>
      <c r="D179" s="269">
        <v>-21753.350000000002</v>
      </c>
      <c r="E179" s="270">
        <v>2941.76</v>
      </c>
      <c r="F179" s="270">
        <v>-495.14</v>
      </c>
      <c r="G179" s="270">
        <v>-5000</v>
      </c>
      <c r="H179" s="270">
        <v>0</v>
      </c>
      <c r="I179" s="271">
        <v>0</v>
      </c>
      <c r="J179" s="272">
        <v>7350.29</v>
      </c>
      <c r="K179" s="272">
        <v>7350.29</v>
      </c>
      <c r="L179" s="272">
        <v>7350.29</v>
      </c>
      <c r="M179" s="272">
        <v>7350.29</v>
      </c>
      <c r="N179" s="272">
        <v>7350.29</v>
      </c>
      <c r="O179" s="272">
        <v>7350.29</v>
      </c>
      <c r="P179" s="273">
        <v>44926</v>
      </c>
      <c r="Q179" s="274">
        <v>392</v>
      </c>
      <c r="R179" s="275">
        <v>19795.010000000002</v>
      </c>
      <c r="S179" s="986">
        <f>+'State Allocation Formulas'!$L$25</f>
        <v>0.77239999999999998</v>
      </c>
      <c r="T179" s="276">
        <f t="shared" si="52"/>
        <v>15289.665724</v>
      </c>
      <c r="U179" s="277">
        <f t="shared" si="53"/>
        <v>-24306.730000000003</v>
      </c>
      <c r="V179" s="278">
        <f t="shared" si="54"/>
        <v>44101.74</v>
      </c>
      <c r="W179" s="275">
        <f t="shared" si="55"/>
        <v>19795.009999999995</v>
      </c>
      <c r="X179" s="276"/>
      <c r="Y179" s="280" t="s">
        <v>1428</v>
      </c>
      <c r="Z179" s="268"/>
    </row>
    <row r="180" spans="1:26">
      <c r="A180" s="8">
        <v>168</v>
      </c>
      <c r="B180" s="268" t="s">
        <v>1558</v>
      </c>
      <c r="C180" s="268" t="s">
        <v>1568</v>
      </c>
      <c r="D180" s="269">
        <v>24589.55</v>
      </c>
      <c r="E180" s="270">
        <v>83.99</v>
      </c>
      <c r="F180" s="270">
        <v>1389.16</v>
      </c>
      <c r="G180" s="270">
        <v>4571.34</v>
      </c>
      <c r="H180" s="270">
        <v>498.01</v>
      </c>
      <c r="I180" s="271">
        <v>5446.72</v>
      </c>
      <c r="J180" s="272">
        <v>0</v>
      </c>
      <c r="K180" s="272">
        <v>0</v>
      </c>
      <c r="L180" s="272">
        <v>0</v>
      </c>
      <c r="M180" s="272">
        <v>0</v>
      </c>
      <c r="N180" s="272">
        <v>0</v>
      </c>
      <c r="O180" s="272">
        <v>0</v>
      </c>
      <c r="P180" s="273">
        <v>46022</v>
      </c>
      <c r="Q180" s="274">
        <v>394</v>
      </c>
      <c r="R180" s="275">
        <v>36578.770000000004</v>
      </c>
      <c r="S180" s="986">
        <f>+'State Allocation Formulas'!$L$25</f>
        <v>0.77239999999999998</v>
      </c>
      <c r="T180" s="276">
        <f t="shared" si="52"/>
        <v>28253.441948000003</v>
      </c>
      <c r="U180" s="277">
        <f t="shared" si="53"/>
        <v>36578.769999999997</v>
      </c>
      <c r="V180" s="278">
        <f t="shared" si="54"/>
        <v>0</v>
      </c>
      <c r="W180" s="275">
        <f t="shared" si="55"/>
        <v>36578.769999999997</v>
      </c>
      <c r="X180" s="276"/>
      <c r="Y180" s="280" t="s">
        <v>1428</v>
      </c>
      <c r="Z180" s="268"/>
    </row>
    <row r="181" spans="1:26">
      <c r="A181" s="8">
        <v>169</v>
      </c>
      <c r="B181" s="268" t="s">
        <v>1558</v>
      </c>
      <c r="C181" s="268" t="s">
        <v>1569</v>
      </c>
      <c r="D181" s="269">
        <v>0</v>
      </c>
      <c r="E181" s="270">
        <v>0</v>
      </c>
      <c r="F181" s="270">
        <v>5409.36</v>
      </c>
      <c r="G181" s="270">
        <v>12679.99</v>
      </c>
      <c r="H181" s="270">
        <v>8605.64</v>
      </c>
      <c r="I181" s="271">
        <v>8</v>
      </c>
      <c r="J181" s="272">
        <v>0</v>
      </c>
      <c r="K181" s="272">
        <v>0</v>
      </c>
      <c r="L181" s="272">
        <v>0</v>
      </c>
      <c r="M181" s="272">
        <v>0</v>
      </c>
      <c r="N181" s="272">
        <v>0</v>
      </c>
      <c r="O181" s="272">
        <v>0</v>
      </c>
      <c r="P181" s="274"/>
      <c r="Q181" s="274"/>
      <c r="R181" s="275">
        <v>26702.99</v>
      </c>
      <c r="S181" s="268"/>
      <c r="T181" s="276"/>
      <c r="U181" s="277">
        <f t="shared" si="53"/>
        <v>26702.989999999998</v>
      </c>
      <c r="V181" s="278">
        <f t="shared" si="54"/>
        <v>0</v>
      </c>
      <c r="W181" s="275">
        <f t="shared" si="55"/>
        <v>26702.989999999998</v>
      </c>
      <c r="X181" s="268"/>
      <c r="Y181" s="280"/>
      <c r="Z181" s="268"/>
    </row>
    <row r="182" spans="1:26">
      <c r="A182" s="8">
        <v>170</v>
      </c>
      <c r="B182" s="268" t="s">
        <v>1558</v>
      </c>
      <c r="C182" s="268" t="s">
        <v>1570</v>
      </c>
      <c r="D182" s="269">
        <v>6249.31</v>
      </c>
      <c r="E182" s="270">
        <v>0</v>
      </c>
      <c r="F182" s="270">
        <v>2900.9</v>
      </c>
      <c r="G182" s="270">
        <v>0</v>
      </c>
      <c r="H182" s="270">
        <v>0</v>
      </c>
      <c r="I182" s="271">
        <v>0</v>
      </c>
      <c r="J182" s="272">
        <v>1794</v>
      </c>
      <c r="K182" s="272">
        <v>1794</v>
      </c>
      <c r="L182" s="272">
        <v>1794</v>
      </c>
      <c r="M182" s="272">
        <v>1794</v>
      </c>
      <c r="N182" s="272">
        <v>1794</v>
      </c>
      <c r="O182" s="272">
        <v>1794</v>
      </c>
      <c r="P182" s="274"/>
      <c r="Q182" s="274"/>
      <c r="R182" s="275">
        <v>19914.21</v>
      </c>
      <c r="S182" s="268"/>
      <c r="T182" s="276"/>
      <c r="U182" s="277">
        <f t="shared" si="53"/>
        <v>9150.2100000000009</v>
      </c>
      <c r="V182" s="278">
        <f t="shared" si="54"/>
        <v>10764</v>
      </c>
      <c r="W182" s="275">
        <f t="shared" si="55"/>
        <v>19914.21</v>
      </c>
      <c r="X182" s="268"/>
      <c r="Y182" s="280"/>
      <c r="Z182" s="268"/>
    </row>
    <row r="183" spans="1:26">
      <c r="A183" s="8">
        <v>171</v>
      </c>
      <c r="B183" s="268" t="s">
        <v>1558</v>
      </c>
      <c r="C183" s="268" t="s">
        <v>1571</v>
      </c>
      <c r="D183" s="269">
        <v>49.17</v>
      </c>
      <c r="E183" s="270">
        <v>0</v>
      </c>
      <c r="F183" s="270">
        <v>0</v>
      </c>
      <c r="G183" s="270">
        <v>6450.03</v>
      </c>
      <c r="H183" s="270">
        <v>0</v>
      </c>
      <c r="I183" s="271">
        <v>3595.55</v>
      </c>
      <c r="J183" s="272">
        <v>0</v>
      </c>
      <c r="K183" s="272">
        <v>0</v>
      </c>
      <c r="L183" s="272">
        <v>0</v>
      </c>
      <c r="M183" s="272">
        <v>0</v>
      </c>
      <c r="N183" s="272">
        <v>0</v>
      </c>
      <c r="O183" s="272">
        <v>0</v>
      </c>
      <c r="P183" s="273">
        <v>46022</v>
      </c>
      <c r="Q183" s="274">
        <v>394</v>
      </c>
      <c r="R183" s="275">
        <v>10094.75</v>
      </c>
      <c r="S183" s="268"/>
      <c r="T183" s="276">
        <f>+R183</f>
        <v>10094.75</v>
      </c>
      <c r="U183" s="277">
        <f t="shared" si="53"/>
        <v>10094.75</v>
      </c>
      <c r="V183" s="278">
        <f t="shared" si="54"/>
        <v>0</v>
      </c>
      <c r="W183" s="275">
        <f t="shared" si="55"/>
        <v>10094.75</v>
      </c>
      <c r="X183" s="276"/>
      <c r="Y183" s="280" t="s">
        <v>1428</v>
      </c>
      <c r="Z183" s="268"/>
    </row>
    <row r="184" spans="1:26">
      <c r="A184" s="8">
        <v>172</v>
      </c>
      <c r="B184" s="268" t="s">
        <v>1558</v>
      </c>
      <c r="C184" s="268" t="s">
        <v>1572</v>
      </c>
      <c r="D184" s="269">
        <v>0</v>
      </c>
      <c r="E184" s="270">
        <v>0</v>
      </c>
      <c r="F184" s="270">
        <v>0</v>
      </c>
      <c r="G184" s="270">
        <v>0</v>
      </c>
      <c r="H184" s="270">
        <v>0</v>
      </c>
      <c r="I184" s="271">
        <v>1842.79</v>
      </c>
      <c r="J184" s="272">
        <v>0</v>
      </c>
      <c r="K184" s="272">
        <v>0</v>
      </c>
      <c r="L184" s="272">
        <v>0</v>
      </c>
      <c r="M184" s="272">
        <v>0</v>
      </c>
      <c r="N184" s="272">
        <v>0</v>
      </c>
      <c r="O184" s="272">
        <v>0</v>
      </c>
      <c r="P184" s="273">
        <v>46022</v>
      </c>
      <c r="Q184" s="274">
        <v>391</v>
      </c>
      <c r="R184" s="275">
        <v>1842.79</v>
      </c>
      <c r="S184" s="986">
        <f>+'State Allocation Formulas'!$L$25</f>
        <v>0.77239999999999998</v>
      </c>
      <c r="T184" s="276">
        <f t="shared" si="52"/>
        <v>1423.3709959999999</v>
      </c>
      <c r="U184" s="277">
        <f t="shared" si="53"/>
        <v>1842.79</v>
      </c>
      <c r="V184" s="278">
        <f t="shared" si="54"/>
        <v>0</v>
      </c>
      <c r="W184" s="275">
        <f t="shared" si="55"/>
        <v>1842.79</v>
      </c>
      <c r="X184" s="276"/>
      <c r="Y184" s="280" t="s">
        <v>1428</v>
      </c>
      <c r="Z184" s="268"/>
    </row>
    <row r="185" spans="1:26">
      <c r="A185" s="8">
        <v>173</v>
      </c>
      <c r="B185" s="268" t="s">
        <v>1558</v>
      </c>
      <c r="C185" s="268" t="s">
        <v>1573</v>
      </c>
      <c r="D185" s="269">
        <v>7287.07</v>
      </c>
      <c r="E185" s="270">
        <v>20506.060000000001</v>
      </c>
      <c r="F185" s="270">
        <v>2035.5900000000001</v>
      </c>
      <c r="G185" s="270">
        <v>13952</v>
      </c>
      <c r="H185" s="270">
        <v>32177.72</v>
      </c>
      <c r="I185" s="271">
        <v>500.24</v>
      </c>
      <c r="J185" s="272">
        <v>0</v>
      </c>
      <c r="K185" s="272">
        <v>0</v>
      </c>
      <c r="L185" s="272">
        <v>0</v>
      </c>
      <c r="M185" s="272">
        <v>0</v>
      </c>
      <c r="N185" s="272">
        <v>0</v>
      </c>
      <c r="O185" s="272">
        <v>0</v>
      </c>
      <c r="P185" s="273">
        <v>46022</v>
      </c>
      <c r="Q185" s="274">
        <v>390</v>
      </c>
      <c r="R185" s="275">
        <v>76458.680000000008</v>
      </c>
      <c r="S185" s="268"/>
      <c r="T185" s="276">
        <f>+R185</f>
        <v>76458.680000000008</v>
      </c>
      <c r="U185" s="277">
        <f t="shared" si="53"/>
        <v>76458.680000000008</v>
      </c>
      <c r="V185" s="278">
        <f t="shared" si="54"/>
        <v>0</v>
      </c>
      <c r="W185" s="275">
        <f t="shared" si="55"/>
        <v>76458.680000000008</v>
      </c>
      <c r="X185" s="276">
        <f t="shared" ref="X185:X189" si="57">+T185</f>
        <v>76458.680000000008</v>
      </c>
      <c r="Y185" s="280">
        <v>13</v>
      </c>
      <c r="Z185" s="268"/>
    </row>
    <row r="186" spans="1:26">
      <c r="A186" s="8">
        <v>174</v>
      </c>
      <c r="B186" s="268" t="s">
        <v>1558</v>
      </c>
      <c r="C186" s="268" t="s">
        <v>1574</v>
      </c>
      <c r="D186" s="269">
        <v>6250</v>
      </c>
      <c r="E186" s="270">
        <v>0</v>
      </c>
      <c r="F186" s="270">
        <v>3211.78</v>
      </c>
      <c r="G186" s="270">
        <v>0</v>
      </c>
      <c r="H186" s="270">
        <v>0</v>
      </c>
      <c r="I186" s="271">
        <v>0</v>
      </c>
      <c r="J186" s="272">
        <v>0</v>
      </c>
      <c r="K186" s="272">
        <v>0</v>
      </c>
      <c r="L186" s="272">
        <v>0</v>
      </c>
      <c r="M186" s="272">
        <v>0</v>
      </c>
      <c r="N186" s="272">
        <v>0</v>
      </c>
      <c r="O186" s="272">
        <v>0</v>
      </c>
      <c r="P186" s="273">
        <v>46022</v>
      </c>
      <c r="Q186" s="274">
        <v>394</v>
      </c>
      <c r="R186" s="275">
        <v>9461.7800000000007</v>
      </c>
      <c r="S186" s="268"/>
      <c r="T186" s="276">
        <f>+R186</f>
        <v>9461.7800000000007</v>
      </c>
      <c r="U186" s="277">
        <f t="shared" si="53"/>
        <v>9461.7800000000007</v>
      </c>
      <c r="V186" s="278">
        <f t="shared" si="54"/>
        <v>0</v>
      </c>
      <c r="W186" s="275">
        <f t="shared" si="55"/>
        <v>9461.7800000000007</v>
      </c>
      <c r="X186" s="276">
        <f t="shared" si="57"/>
        <v>9461.7800000000007</v>
      </c>
      <c r="Y186" s="280">
        <v>12</v>
      </c>
      <c r="Z186" s="268"/>
    </row>
    <row r="187" spans="1:26">
      <c r="A187" s="8">
        <v>175</v>
      </c>
      <c r="B187" s="268" t="s">
        <v>1558</v>
      </c>
      <c r="C187" s="268" t="s">
        <v>1575</v>
      </c>
      <c r="D187" s="269">
        <v>1181.8900000000001</v>
      </c>
      <c r="E187" s="270">
        <v>0</v>
      </c>
      <c r="F187" s="270">
        <v>0</v>
      </c>
      <c r="G187" s="270">
        <v>0</v>
      </c>
      <c r="H187" s="270">
        <v>0</v>
      </c>
      <c r="I187" s="271">
        <v>9127.9600000000009</v>
      </c>
      <c r="J187" s="272">
        <v>0</v>
      </c>
      <c r="K187" s="272">
        <v>0</v>
      </c>
      <c r="L187" s="272">
        <v>0</v>
      </c>
      <c r="M187" s="272">
        <v>0</v>
      </c>
      <c r="N187" s="272">
        <v>0</v>
      </c>
      <c r="O187" s="272">
        <v>0</v>
      </c>
      <c r="P187" s="273">
        <v>46022</v>
      </c>
      <c r="Q187" s="274">
        <v>394</v>
      </c>
      <c r="R187" s="275">
        <v>10309.85</v>
      </c>
      <c r="S187" s="268"/>
      <c r="T187" s="276">
        <f t="shared" ref="T187:T195" si="58">+R187</f>
        <v>10309.85</v>
      </c>
      <c r="U187" s="277">
        <f t="shared" si="53"/>
        <v>10309.85</v>
      </c>
      <c r="V187" s="278">
        <f t="shared" si="54"/>
        <v>0</v>
      </c>
      <c r="W187" s="275">
        <f t="shared" si="55"/>
        <v>10309.85</v>
      </c>
      <c r="X187" s="276"/>
      <c r="Y187" s="280" t="s">
        <v>1428</v>
      </c>
      <c r="Z187" s="268"/>
    </row>
    <row r="188" spans="1:26">
      <c r="A188" s="8">
        <v>176</v>
      </c>
      <c r="B188" s="268" t="s">
        <v>1558</v>
      </c>
      <c r="C188" s="268" t="s">
        <v>1576</v>
      </c>
      <c r="D188" s="269">
        <v>0</v>
      </c>
      <c r="E188" s="270">
        <v>0</v>
      </c>
      <c r="F188" s="270">
        <v>653.37</v>
      </c>
      <c r="G188" s="270">
        <v>0</v>
      </c>
      <c r="H188" s="270">
        <v>0</v>
      </c>
      <c r="I188" s="271">
        <v>1547.73</v>
      </c>
      <c r="J188" s="272">
        <v>0</v>
      </c>
      <c r="K188" s="272">
        <v>0</v>
      </c>
      <c r="L188" s="272">
        <v>0</v>
      </c>
      <c r="M188" s="272">
        <v>0</v>
      </c>
      <c r="N188" s="272">
        <v>0</v>
      </c>
      <c r="O188" s="272">
        <v>0</v>
      </c>
      <c r="P188" s="273">
        <v>46022</v>
      </c>
      <c r="Q188" s="274">
        <v>392</v>
      </c>
      <c r="R188" s="275">
        <v>2201.1</v>
      </c>
      <c r="S188" s="268"/>
      <c r="T188" s="276">
        <f t="shared" si="58"/>
        <v>2201.1</v>
      </c>
      <c r="U188" s="277">
        <f t="shared" si="53"/>
        <v>2201.1</v>
      </c>
      <c r="V188" s="278">
        <f t="shared" si="54"/>
        <v>0</v>
      </c>
      <c r="W188" s="275">
        <f t="shared" si="55"/>
        <v>2201.1</v>
      </c>
      <c r="X188" s="276">
        <f t="shared" si="57"/>
        <v>2201.1</v>
      </c>
      <c r="Y188" s="280">
        <v>10</v>
      </c>
      <c r="Z188" s="268"/>
    </row>
    <row r="189" spans="1:26">
      <c r="A189" s="8">
        <v>177</v>
      </c>
      <c r="B189" s="268" t="s">
        <v>1558</v>
      </c>
      <c r="C189" s="268" t="s">
        <v>1577</v>
      </c>
      <c r="D189" s="269">
        <v>5780.39</v>
      </c>
      <c r="E189" s="270">
        <v>0</v>
      </c>
      <c r="F189" s="270">
        <v>0</v>
      </c>
      <c r="G189" s="270">
        <v>0</v>
      </c>
      <c r="H189" s="270">
        <v>0</v>
      </c>
      <c r="I189" s="271">
        <v>0</v>
      </c>
      <c r="J189" s="272">
        <v>0</v>
      </c>
      <c r="K189" s="272">
        <v>0</v>
      </c>
      <c r="L189" s="272">
        <v>0</v>
      </c>
      <c r="M189" s="272">
        <v>0</v>
      </c>
      <c r="N189" s="272">
        <v>0</v>
      </c>
      <c r="O189" s="272">
        <v>0</v>
      </c>
      <c r="P189" s="273">
        <v>46022</v>
      </c>
      <c r="Q189" s="274">
        <v>394</v>
      </c>
      <c r="R189" s="275">
        <v>5780.39</v>
      </c>
      <c r="S189" s="268"/>
      <c r="T189" s="276">
        <f t="shared" si="58"/>
        <v>5780.39</v>
      </c>
      <c r="U189" s="277">
        <f t="shared" si="53"/>
        <v>5780.39</v>
      </c>
      <c r="V189" s="278">
        <f t="shared" si="54"/>
        <v>0</v>
      </c>
      <c r="W189" s="275">
        <f t="shared" si="55"/>
        <v>5780.39</v>
      </c>
      <c r="X189" s="276">
        <f t="shared" si="57"/>
        <v>5780.39</v>
      </c>
      <c r="Y189" s="280">
        <v>11</v>
      </c>
      <c r="Z189" s="268"/>
    </row>
    <row r="190" spans="1:26">
      <c r="A190" s="8">
        <v>178</v>
      </c>
      <c r="B190" s="268" t="s">
        <v>1558</v>
      </c>
      <c r="C190" s="268" t="s">
        <v>1578</v>
      </c>
      <c r="D190" s="269">
        <v>0</v>
      </c>
      <c r="E190" s="270">
        <v>0</v>
      </c>
      <c r="F190" s="270">
        <v>0</v>
      </c>
      <c r="G190" s="270">
        <v>0</v>
      </c>
      <c r="H190" s="270">
        <v>224.44</v>
      </c>
      <c r="I190" s="271">
        <v>225.69</v>
      </c>
      <c r="J190" s="272">
        <v>0</v>
      </c>
      <c r="K190" s="272">
        <v>0</v>
      </c>
      <c r="L190" s="272">
        <v>0</v>
      </c>
      <c r="M190" s="272">
        <v>0</v>
      </c>
      <c r="N190" s="272">
        <v>0</v>
      </c>
      <c r="O190" s="272">
        <v>0</v>
      </c>
      <c r="P190" s="273">
        <v>46022</v>
      </c>
      <c r="Q190" s="274">
        <v>392</v>
      </c>
      <c r="R190" s="275">
        <v>450.13</v>
      </c>
      <c r="S190" s="268"/>
      <c r="T190" s="276">
        <f t="shared" si="58"/>
        <v>450.13</v>
      </c>
      <c r="U190" s="277">
        <f t="shared" si="53"/>
        <v>450.13</v>
      </c>
      <c r="V190" s="278">
        <f t="shared" si="54"/>
        <v>0</v>
      </c>
      <c r="W190" s="275">
        <f t="shared" si="55"/>
        <v>450.13</v>
      </c>
      <c r="X190" s="276"/>
      <c r="Y190" s="280" t="s">
        <v>1428</v>
      </c>
      <c r="Z190" s="268"/>
    </row>
    <row r="191" spans="1:26">
      <c r="A191" s="8">
        <v>179</v>
      </c>
      <c r="B191" s="268" t="s">
        <v>1558</v>
      </c>
      <c r="C191" s="268" t="s">
        <v>1579</v>
      </c>
      <c r="D191" s="269">
        <v>3320.35</v>
      </c>
      <c r="E191" s="270">
        <v>0</v>
      </c>
      <c r="F191" s="270">
        <v>-0.01</v>
      </c>
      <c r="G191" s="270">
        <v>0</v>
      </c>
      <c r="H191" s="270">
        <v>0</v>
      </c>
      <c r="I191" s="271">
        <v>0</v>
      </c>
      <c r="J191" s="272">
        <v>0</v>
      </c>
      <c r="K191" s="272">
        <v>0</v>
      </c>
      <c r="L191" s="272">
        <v>0</v>
      </c>
      <c r="M191" s="272">
        <v>0</v>
      </c>
      <c r="N191" s="272">
        <v>0</v>
      </c>
      <c r="O191" s="272">
        <v>0</v>
      </c>
      <c r="P191" s="273">
        <v>46022</v>
      </c>
      <c r="Q191" s="274">
        <v>391</v>
      </c>
      <c r="R191" s="275">
        <v>3320.34</v>
      </c>
      <c r="S191" s="268"/>
      <c r="T191" s="276">
        <f t="shared" si="58"/>
        <v>3320.34</v>
      </c>
      <c r="U191" s="277">
        <f t="shared" si="53"/>
        <v>3320.3399999999997</v>
      </c>
      <c r="V191" s="278">
        <f t="shared" si="54"/>
        <v>0</v>
      </c>
      <c r="W191" s="275">
        <f t="shared" si="55"/>
        <v>3320.3399999999997</v>
      </c>
      <c r="X191" s="276"/>
      <c r="Y191" s="280" t="s">
        <v>1428</v>
      </c>
      <c r="Z191" s="268"/>
    </row>
    <row r="192" spans="1:26">
      <c r="A192" s="8">
        <v>180</v>
      </c>
      <c r="B192" s="268" t="s">
        <v>1558</v>
      </c>
      <c r="C192" s="268" t="s">
        <v>1580</v>
      </c>
      <c r="D192" s="269">
        <v>809.29</v>
      </c>
      <c r="E192" s="270">
        <v>0</v>
      </c>
      <c r="F192" s="270">
        <v>0</v>
      </c>
      <c r="G192" s="270">
        <v>0</v>
      </c>
      <c r="H192" s="270">
        <v>0</v>
      </c>
      <c r="I192" s="271">
        <v>0</v>
      </c>
      <c r="J192" s="272">
        <v>0</v>
      </c>
      <c r="K192" s="272">
        <v>0</v>
      </c>
      <c r="L192" s="272">
        <v>0</v>
      </c>
      <c r="M192" s="272">
        <v>0</v>
      </c>
      <c r="N192" s="272">
        <v>0</v>
      </c>
      <c r="O192" s="272">
        <v>0</v>
      </c>
      <c r="P192" s="273">
        <v>46022</v>
      </c>
      <c r="Q192" s="274">
        <v>394</v>
      </c>
      <c r="R192" s="275">
        <v>809.29</v>
      </c>
      <c r="S192" s="268"/>
      <c r="T192" s="276">
        <f t="shared" si="58"/>
        <v>809.29</v>
      </c>
      <c r="U192" s="277">
        <f t="shared" si="53"/>
        <v>809.29</v>
      </c>
      <c r="V192" s="278">
        <f t="shared" si="54"/>
        <v>0</v>
      </c>
      <c r="W192" s="275">
        <f t="shared" si="55"/>
        <v>809.29</v>
      </c>
      <c r="X192" s="276"/>
      <c r="Y192" s="280" t="s">
        <v>1428</v>
      </c>
      <c r="Z192" s="268"/>
    </row>
    <row r="193" spans="1:26">
      <c r="A193" s="8">
        <v>181</v>
      </c>
      <c r="B193" s="268" t="s">
        <v>1558</v>
      </c>
      <c r="C193" s="268" t="s">
        <v>1581</v>
      </c>
      <c r="D193" s="269">
        <v>0</v>
      </c>
      <c r="E193" s="270">
        <v>6356.6500000000005</v>
      </c>
      <c r="F193" s="270">
        <v>0</v>
      </c>
      <c r="G193" s="270">
        <v>0</v>
      </c>
      <c r="H193" s="270">
        <v>-451.18</v>
      </c>
      <c r="I193" s="271">
        <v>0</v>
      </c>
      <c r="J193" s="272">
        <v>0</v>
      </c>
      <c r="K193" s="272">
        <v>0</v>
      </c>
      <c r="L193" s="272">
        <v>0</v>
      </c>
      <c r="M193" s="272">
        <v>0</v>
      </c>
      <c r="N193" s="272">
        <v>0</v>
      </c>
      <c r="O193" s="272">
        <v>0</v>
      </c>
      <c r="P193" s="273">
        <v>46022</v>
      </c>
      <c r="Q193" s="274">
        <v>392</v>
      </c>
      <c r="R193" s="275">
        <v>5905.47</v>
      </c>
      <c r="S193" s="268"/>
      <c r="T193" s="276">
        <f t="shared" si="58"/>
        <v>5905.47</v>
      </c>
      <c r="U193" s="277">
        <f t="shared" si="53"/>
        <v>5905.47</v>
      </c>
      <c r="V193" s="278">
        <f t="shared" si="54"/>
        <v>0</v>
      </c>
      <c r="W193" s="275">
        <f t="shared" si="55"/>
        <v>5905.47</v>
      </c>
      <c r="X193" s="276"/>
      <c r="Y193" s="280" t="s">
        <v>1428</v>
      </c>
      <c r="Z193" s="268"/>
    </row>
    <row r="194" spans="1:26">
      <c r="A194" s="8">
        <v>182</v>
      </c>
      <c r="B194" s="268" t="s">
        <v>1558</v>
      </c>
      <c r="C194" s="268" t="s">
        <v>1582</v>
      </c>
      <c r="D194" s="269">
        <v>0</v>
      </c>
      <c r="E194" s="270">
        <v>7009.27</v>
      </c>
      <c r="F194" s="270">
        <v>0</v>
      </c>
      <c r="G194" s="270">
        <v>0</v>
      </c>
      <c r="H194" s="270">
        <v>0</v>
      </c>
      <c r="I194" s="271">
        <v>0</v>
      </c>
      <c r="J194" s="272">
        <v>0</v>
      </c>
      <c r="K194" s="272">
        <v>0</v>
      </c>
      <c r="L194" s="272">
        <v>0</v>
      </c>
      <c r="M194" s="272">
        <v>0</v>
      </c>
      <c r="N194" s="272">
        <v>0</v>
      </c>
      <c r="O194" s="272">
        <v>0</v>
      </c>
      <c r="P194" s="273">
        <v>46022</v>
      </c>
      <c r="Q194" s="274">
        <v>392</v>
      </c>
      <c r="R194" s="275">
        <v>7009.27</v>
      </c>
      <c r="S194" s="268"/>
      <c r="T194" s="276">
        <f t="shared" si="58"/>
        <v>7009.27</v>
      </c>
      <c r="U194" s="277">
        <f t="shared" si="53"/>
        <v>7009.27</v>
      </c>
      <c r="V194" s="278">
        <f t="shared" si="54"/>
        <v>0</v>
      </c>
      <c r="W194" s="275">
        <f t="shared" si="55"/>
        <v>7009.27</v>
      </c>
      <c r="X194" s="276"/>
      <c r="Y194" s="280" t="s">
        <v>1428</v>
      </c>
      <c r="Z194" s="268"/>
    </row>
    <row r="195" spans="1:26">
      <c r="A195" s="8">
        <v>183</v>
      </c>
      <c r="B195" s="268" t="s">
        <v>1558</v>
      </c>
      <c r="C195" s="268" t="s">
        <v>1583</v>
      </c>
      <c r="D195" s="269">
        <v>-12817.14</v>
      </c>
      <c r="E195" s="270">
        <v>8205.0400000000009</v>
      </c>
      <c r="F195" s="270">
        <v>0</v>
      </c>
      <c r="G195" s="270">
        <v>0</v>
      </c>
      <c r="H195" s="270">
        <v>0</v>
      </c>
      <c r="I195" s="271">
        <v>6241.9400000000005</v>
      </c>
      <c r="J195" s="272">
        <v>0</v>
      </c>
      <c r="K195" s="272">
        <v>0</v>
      </c>
      <c r="L195" s="272">
        <v>0</v>
      </c>
      <c r="M195" s="272">
        <v>0</v>
      </c>
      <c r="N195" s="272">
        <v>0</v>
      </c>
      <c r="O195" s="272">
        <v>0</v>
      </c>
      <c r="P195" s="273">
        <v>46022</v>
      </c>
      <c r="Q195" s="274">
        <v>394</v>
      </c>
      <c r="R195" s="275">
        <v>1629.8400000000001</v>
      </c>
      <c r="S195" s="268"/>
      <c r="T195" s="276">
        <f t="shared" si="58"/>
        <v>1629.8400000000001</v>
      </c>
      <c r="U195" s="277">
        <f t="shared" si="53"/>
        <v>1629.840000000002</v>
      </c>
      <c r="V195" s="278">
        <f t="shared" si="54"/>
        <v>0</v>
      </c>
      <c r="W195" s="275">
        <f t="shared" si="55"/>
        <v>1629.840000000002</v>
      </c>
      <c r="X195" s="276"/>
      <c r="Y195" s="280" t="s">
        <v>1428</v>
      </c>
      <c r="Z195" s="268"/>
    </row>
    <row r="196" spans="1:26">
      <c r="A196" s="8">
        <v>184</v>
      </c>
      <c r="B196" s="268" t="s">
        <v>1558</v>
      </c>
      <c r="C196" s="268" t="s">
        <v>1584</v>
      </c>
      <c r="D196" s="269">
        <v>148327.62</v>
      </c>
      <c r="E196" s="270">
        <v>165961.39000000001</v>
      </c>
      <c r="F196" s="270">
        <v>-12880.34</v>
      </c>
      <c r="G196" s="270">
        <v>-143306.96</v>
      </c>
      <c r="H196" s="270">
        <v>-148746.73000000001</v>
      </c>
      <c r="I196" s="271">
        <v>-117291.52</v>
      </c>
      <c r="J196" s="272">
        <v>0</v>
      </c>
      <c r="K196" s="272">
        <v>0</v>
      </c>
      <c r="L196" s="272">
        <v>0</v>
      </c>
      <c r="M196" s="272">
        <v>0</v>
      </c>
      <c r="N196" s="272">
        <v>0</v>
      </c>
      <c r="O196" s="272">
        <v>0</v>
      </c>
      <c r="P196" s="274"/>
      <c r="Q196" s="274"/>
      <c r="R196" s="275">
        <v>-107936.54000000001</v>
      </c>
      <c r="S196" s="268"/>
      <c r="T196" s="276"/>
      <c r="U196" s="277">
        <f t="shared" si="53"/>
        <v>-107936.54000000002</v>
      </c>
      <c r="V196" s="278">
        <f t="shared" si="54"/>
        <v>0</v>
      </c>
      <c r="W196" s="275">
        <f t="shared" si="55"/>
        <v>-107936.54000000002</v>
      </c>
      <c r="X196" s="268"/>
      <c r="Y196" s="280"/>
      <c r="Z196" s="268"/>
    </row>
    <row r="197" spans="1:26">
      <c r="A197" s="8">
        <v>185</v>
      </c>
      <c r="B197" s="268" t="s">
        <v>1558</v>
      </c>
      <c r="C197" s="268" t="s">
        <v>1585</v>
      </c>
      <c r="D197" s="269">
        <v>72138.790000000008</v>
      </c>
      <c r="E197" s="270">
        <v>30187.16</v>
      </c>
      <c r="F197" s="270">
        <v>62479.35</v>
      </c>
      <c r="G197" s="270">
        <v>-51075.840000000004</v>
      </c>
      <c r="H197" s="270">
        <v>-57024.21</v>
      </c>
      <c r="I197" s="271">
        <v>-94967.61</v>
      </c>
      <c r="J197" s="272">
        <v>0</v>
      </c>
      <c r="K197" s="272">
        <v>0</v>
      </c>
      <c r="L197" s="272">
        <v>0</v>
      </c>
      <c r="M197" s="272">
        <v>0</v>
      </c>
      <c r="N197" s="272">
        <v>0</v>
      </c>
      <c r="O197" s="272">
        <v>0</v>
      </c>
      <c r="P197" s="274"/>
      <c r="Q197" s="274"/>
      <c r="R197" s="275">
        <v>-38262.36</v>
      </c>
      <c r="S197" s="268"/>
      <c r="T197" s="276"/>
      <c r="U197" s="277">
        <f t="shared" si="53"/>
        <v>-38262.359999999979</v>
      </c>
      <c r="V197" s="278">
        <f t="shared" si="54"/>
        <v>0</v>
      </c>
      <c r="W197" s="275">
        <f t="shared" si="55"/>
        <v>-38262.359999999979</v>
      </c>
      <c r="X197" s="268"/>
      <c r="Y197" s="280"/>
      <c r="Z197" s="268"/>
    </row>
    <row r="198" spans="1:26">
      <c r="A198" s="8">
        <v>186</v>
      </c>
      <c r="B198" s="268" t="s">
        <v>1558</v>
      </c>
      <c r="C198" s="268" t="s">
        <v>1586</v>
      </c>
      <c r="D198" s="269">
        <v>26289.59</v>
      </c>
      <c r="E198" s="270">
        <v>155.85</v>
      </c>
      <c r="F198" s="270">
        <v>156.79</v>
      </c>
      <c r="G198" s="270">
        <v>143.81</v>
      </c>
      <c r="H198" s="270">
        <v>144.61000000000001</v>
      </c>
      <c r="I198" s="271">
        <v>145.4</v>
      </c>
      <c r="J198" s="272">
        <v>5906.02</v>
      </c>
      <c r="K198" s="272">
        <v>5906.02</v>
      </c>
      <c r="L198" s="272">
        <v>5906.02</v>
      </c>
      <c r="M198" s="272">
        <v>5906.02</v>
      </c>
      <c r="N198" s="272">
        <v>5906.02</v>
      </c>
      <c r="O198" s="272">
        <v>5906.02</v>
      </c>
      <c r="P198" s="273">
        <v>44561</v>
      </c>
      <c r="Q198" s="274">
        <v>391</v>
      </c>
      <c r="R198" s="275">
        <v>62472.17</v>
      </c>
      <c r="S198" s="986">
        <f>+'State Allocation Formulas'!$L$25</f>
        <v>0.77239999999999998</v>
      </c>
      <c r="T198" s="276">
        <f t="shared" si="52"/>
        <v>48253.504107999994</v>
      </c>
      <c r="U198" s="277">
        <f t="shared" si="53"/>
        <v>27036.050000000003</v>
      </c>
      <c r="V198" s="278">
        <f t="shared" si="54"/>
        <v>35436.120000000003</v>
      </c>
      <c r="W198" s="275">
        <f t="shared" si="55"/>
        <v>62472.170000000006</v>
      </c>
      <c r="X198" s="279">
        <f t="shared" ref="X198:X201" si="59">+T198</f>
        <v>48253.504107999994</v>
      </c>
      <c r="Y198" s="280">
        <v>47</v>
      </c>
      <c r="Z198" s="268"/>
    </row>
    <row r="199" spans="1:26">
      <c r="A199" s="8">
        <v>187</v>
      </c>
      <c r="B199" s="268" t="s">
        <v>1558</v>
      </c>
      <c r="C199" s="268" t="s">
        <v>1587</v>
      </c>
      <c r="D199" s="269">
        <v>7274.29</v>
      </c>
      <c r="E199" s="270">
        <v>2577.7200000000003</v>
      </c>
      <c r="F199" s="270">
        <v>23481.97</v>
      </c>
      <c r="G199" s="270">
        <v>813.35</v>
      </c>
      <c r="H199" s="270">
        <v>44789.32</v>
      </c>
      <c r="I199" s="271">
        <v>-3115.69</v>
      </c>
      <c r="J199" s="272">
        <v>0</v>
      </c>
      <c r="K199" s="272">
        <v>0</v>
      </c>
      <c r="L199" s="272">
        <v>67275</v>
      </c>
      <c r="M199" s="272">
        <v>0</v>
      </c>
      <c r="N199" s="272">
        <v>0</v>
      </c>
      <c r="O199" s="272">
        <v>0</v>
      </c>
      <c r="P199" s="273">
        <v>44561</v>
      </c>
      <c r="Q199" s="274">
        <v>391</v>
      </c>
      <c r="R199" s="275">
        <v>143095.96</v>
      </c>
      <c r="S199" s="986">
        <f>+'State Allocation Formulas'!$L$25</f>
        <v>0.77239999999999998</v>
      </c>
      <c r="T199" s="276">
        <f t="shared" si="52"/>
        <v>110527.31950399998</v>
      </c>
      <c r="U199" s="277">
        <f t="shared" si="53"/>
        <v>75820.959999999992</v>
      </c>
      <c r="V199" s="278">
        <f t="shared" si="54"/>
        <v>67275</v>
      </c>
      <c r="W199" s="275">
        <f t="shared" si="55"/>
        <v>143095.96</v>
      </c>
      <c r="X199" s="279">
        <f t="shared" si="59"/>
        <v>110527.31950399998</v>
      </c>
      <c r="Y199" s="280">
        <v>48</v>
      </c>
      <c r="Z199" s="268"/>
    </row>
    <row r="200" spans="1:26">
      <c r="A200" s="8">
        <v>188</v>
      </c>
      <c r="B200" s="268" t="s">
        <v>1558</v>
      </c>
      <c r="C200" s="268" t="s">
        <v>1588</v>
      </c>
      <c r="D200" s="269">
        <v>0</v>
      </c>
      <c r="E200" s="270">
        <v>0</v>
      </c>
      <c r="F200" s="270">
        <v>0</v>
      </c>
      <c r="G200" s="270">
        <v>0</v>
      </c>
      <c r="H200" s="270">
        <v>0</v>
      </c>
      <c r="I200" s="271">
        <v>0</v>
      </c>
      <c r="J200" s="272">
        <v>160.91</v>
      </c>
      <c r="K200" s="272">
        <v>161.80000000000001</v>
      </c>
      <c r="L200" s="272">
        <v>162.69</v>
      </c>
      <c r="M200" s="272">
        <v>163.59</v>
      </c>
      <c r="N200" s="272">
        <v>164.49</v>
      </c>
      <c r="O200" s="272">
        <v>165.4</v>
      </c>
      <c r="P200" s="273">
        <v>43160</v>
      </c>
      <c r="Q200" s="274">
        <v>390</v>
      </c>
      <c r="R200" s="275">
        <v>978.88</v>
      </c>
      <c r="S200" s="268"/>
      <c r="T200" s="276">
        <f>+R200</f>
        <v>978.88</v>
      </c>
      <c r="U200" s="277">
        <f t="shared" si="53"/>
        <v>0</v>
      </c>
      <c r="V200" s="278">
        <f t="shared" si="54"/>
        <v>978.88</v>
      </c>
      <c r="W200" s="275">
        <f t="shared" si="55"/>
        <v>978.88</v>
      </c>
      <c r="X200" s="279"/>
      <c r="Y200" s="280" t="s">
        <v>1400</v>
      </c>
      <c r="Z200" s="268"/>
    </row>
    <row r="201" spans="1:26">
      <c r="A201" s="8">
        <v>189</v>
      </c>
      <c r="B201" s="268" t="s">
        <v>1558</v>
      </c>
      <c r="C201" s="268" t="s">
        <v>1589</v>
      </c>
      <c r="D201" s="269">
        <v>0</v>
      </c>
      <c r="E201" s="270">
        <v>0</v>
      </c>
      <c r="F201" s="270">
        <v>73195.199999999997</v>
      </c>
      <c r="G201" s="270">
        <v>46803.01</v>
      </c>
      <c r="H201" s="270">
        <v>0</v>
      </c>
      <c r="I201" s="271">
        <v>0</v>
      </c>
      <c r="J201" s="272">
        <v>0</v>
      </c>
      <c r="K201" s="272">
        <v>0</v>
      </c>
      <c r="L201" s="272">
        <v>645840</v>
      </c>
      <c r="M201" s="272">
        <v>0</v>
      </c>
      <c r="N201" s="272">
        <v>0</v>
      </c>
      <c r="O201" s="272">
        <v>0</v>
      </c>
      <c r="P201" s="273">
        <v>43069</v>
      </c>
      <c r="Q201" s="274">
        <v>394</v>
      </c>
      <c r="R201" s="275">
        <v>765838.21</v>
      </c>
      <c r="S201" s="986">
        <f>+'State Allocation Formulas'!$L$25</f>
        <v>0.77239999999999998</v>
      </c>
      <c r="T201" s="276">
        <f t="shared" si="52"/>
        <v>591533.43340400001</v>
      </c>
      <c r="U201" s="277">
        <f t="shared" si="53"/>
        <v>119998.20999999999</v>
      </c>
      <c r="V201" s="278">
        <f t="shared" si="54"/>
        <v>645840</v>
      </c>
      <c r="W201" s="275">
        <f t="shared" si="55"/>
        <v>765838.21</v>
      </c>
      <c r="X201" s="279">
        <f t="shared" si="59"/>
        <v>591533.43340400001</v>
      </c>
      <c r="Y201" s="280">
        <v>49</v>
      </c>
      <c r="Z201" s="268"/>
    </row>
    <row r="202" spans="1:26">
      <c r="A202" s="8">
        <v>190</v>
      </c>
      <c r="B202" s="268" t="s">
        <v>1558</v>
      </c>
      <c r="C202" s="268" t="s">
        <v>1590</v>
      </c>
      <c r="D202" s="269">
        <v>98485.8</v>
      </c>
      <c r="E202" s="270">
        <v>-24733.73</v>
      </c>
      <c r="F202" s="270">
        <v>156819.43</v>
      </c>
      <c r="G202" s="270">
        <v>4833.71</v>
      </c>
      <c r="H202" s="270">
        <v>-316063.28999999998</v>
      </c>
      <c r="I202" s="271">
        <v>82360.240000000005</v>
      </c>
      <c r="J202" s="272">
        <v>0</v>
      </c>
      <c r="K202" s="272">
        <v>0</v>
      </c>
      <c r="L202" s="272">
        <v>0</v>
      </c>
      <c r="M202" s="272">
        <v>0</v>
      </c>
      <c r="N202" s="272">
        <v>0</v>
      </c>
      <c r="O202" s="272">
        <v>0</v>
      </c>
      <c r="P202" s="274"/>
      <c r="Q202" s="274"/>
      <c r="R202" s="275">
        <v>1702.16</v>
      </c>
      <c r="S202" s="268"/>
      <c r="T202" s="276"/>
      <c r="U202" s="277">
        <f t="shared" si="53"/>
        <v>1702.160000000018</v>
      </c>
      <c r="V202" s="278">
        <f t="shared" si="54"/>
        <v>0</v>
      </c>
      <c r="W202" s="275">
        <f t="shared" si="55"/>
        <v>1702.160000000018</v>
      </c>
      <c r="X202" s="268"/>
      <c r="Y202" s="280"/>
      <c r="Z202" s="268"/>
    </row>
    <row r="203" spans="1:26">
      <c r="A203" s="8">
        <v>191</v>
      </c>
      <c r="B203" s="268" t="s">
        <v>1558</v>
      </c>
      <c r="C203" s="268" t="s">
        <v>1591</v>
      </c>
      <c r="D203" s="269">
        <v>0</v>
      </c>
      <c r="E203" s="270">
        <v>0</v>
      </c>
      <c r="F203" s="270">
        <v>0</v>
      </c>
      <c r="G203" s="270">
        <v>0</v>
      </c>
      <c r="H203" s="270">
        <v>0</v>
      </c>
      <c r="I203" s="271">
        <v>0</v>
      </c>
      <c r="J203" s="272">
        <v>86631.900000000009</v>
      </c>
      <c r="K203" s="272">
        <v>21194.170000000002</v>
      </c>
      <c r="L203" s="272">
        <v>21311.05</v>
      </c>
      <c r="M203" s="272">
        <v>21428.58</v>
      </c>
      <c r="N203" s="272">
        <v>21546.760000000002</v>
      </c>
      <c r="O203" s="272">
        <v>0</v>
      </c>
      <c r="P203" s="273">
        <v>43100</v>
      </c>
      <c r="Q203" s="274">
        <v>303</v>
      </c>
      <c r="R203" s="275">
        <v>172112.46</v>
      </c>
      <c r="S203" s="986">
        <f>+'State Allocation Formulas'!$L$25</f>
        <v>0.77239999999999998</v>
      </c>
      <c r="T203" s="276">
        <f t="shared" si="52"/>
        <v>132939.664104</v>
      </c>
      <c r="U203" s="277">
        <f t="shared" si="53"/>
        <v>0</v>
      </c>
      <c r="V203" s="278">
        <f t="shared" si="54"/>
        <v>172112.46000000002</v>
      </c>
      <c r="W203" s="275">
        <f t="shared" si="55"/>
        <v>172112.46000000002</v>
      </c>
      <c r="X203" s="279">
        <f>+T203</f>
        <v>132939.664104</v>
      </c>
      <c r="Y203" s="280">
        <v>50</v>
      </c>
      <c r="Z203" s="268"/>
    </row>
    <row r="204" spans="1:26">
      <c r="B204" s="288"/>
      <c r="C204" s="289" t="s">
        <v>1557</v>
      </c>
      <c r="D204" s="290">
        <f t="shared" ref="D204:R204" si="60">SUM(D171:D203)</f>
        <v>418502.27999999997</v>
      </c>
      <c r="E204" s="291">
        <f t="shared" si="60"/>
        <v>320551.13999999996</v>
      </c>
      <c r="F204" s="291">
        <f t="shared" si="60"/>
        <v>318969.62</v>
      </c>
      <c r="G204" s="291">
        <f t="shared" si="60"/>
        <v>182250.83000000007</v>
      </c>
      <c r="H204" s="291">
        <f t="shared" si="60"/>
        <v>-434314.58999999997</v>
      </c>
      <c r="I204" s="292">
        <f t="shared" si="60"/>
        <v>248163.42999999993</v>
      </c>
      <c r="J204" s="293">
        <f t="shared" si="60"/>
        <v>445666.92</v>
      </c>
      <c r="K204" s="293">
        <f t="shared" si="60"/>
        <v>380230.07999999996</v>
      </c>
      <c r="L204" s="293">
        <f t="shared" si="60"/>
        <v>1093462.8500000001</v>
      </c>
      <c r="M204" s="293">
        <f t="shared" si="60"/>
        <v>380466.28</v>
      </c>
      <c r="N204" s="293">
        <f t="shared" si="60"/>
        <v>380585.36</v>
      </c>
      <c r="O204" s="293">
        <f t="shared" si="60"/>
        <v>359039.51</v>
      </c>
      <c r="P204" s="294"/>
      <c r="Q204" s="294"/>
      <c r="R204" s="295">
        <f t="shared" si="60"/>
        <v>4093573.71</v>
      </c>
      <c r="S204" s="288"/>
      <c r="T204" s="296">
        <f t="shared" ref="T204:V204" si="61">SUM(T171:T203)</f>
        <v>3272133.5999119994</v>
      </c>
      <c r="U204" s="297">
        <f t="shared" si="61"/>
        <v>1054122.71</v>
      </c>
      <c r="V204" s="298">
        <f t="shared" si="61"/>
        <v>3039451</v>
      </c>
      <c r="W204" s="295">
        <f>SUM(W171:W203)</f>
        <v>4093573.71</v>
      </c>
      <c r="X204" s="296">
        <f t="shared" ref="X204" si="62">SUM(X171:X203)</f>
        <v>977155.87112000003</v>
      </c>
      <c r="Y204" s="299"/>
      <c r="Z204" s="288"/>
    </row>
    <row r="205" spans="1:26">
      <c r="B205" s="288"/>
      <c r="C205" s="288"/>
      <c r="D205" s="269"/>
      <c r="E205" s="270"/>
      <c r="F205" s="270"/>
      <c r="G205" s="270"/>
      <c r="H205" s="270"/>
      <c r="I205" s="271"/>
      <c r="J205" s="272"/>
      <c r="K205" s="272"/>
      <c r="L205" s="272"/>
      <c r="M205" s="272"/>
      <c r="N205" s="272"/>
      <c r="O205" s="300"/>
      <c r="P205" s="284"/>
      <c r="Q205" s="284"/>
      <c r="R205" s="275"/>
      <c r="S205" s="288"/>
      <c r="T205" s="303"/>
      <c r="U205" s="277"/>
      <c r="V205" s="278"/>
      <c r="W205" s="275"/>
      <c r="X205" s="303"/>
      <c r="Y205" s="299"/>
      <c r="Z205" s="288"/>
    </row>
    <row r="206" spans="1:26">
      <c r="B206" s="288"/>
      <c r="C206" s="289"/>
      <c r="D206" s="269"/>
      <c r="E206" s="270"/>
      <c r="F206" s="270"/>
      <c r="G206" s="270"/>
      <c r="H206" s="270"/>
      <c r="I206" s="271">
        <f>SUM(D204:I204)</f>
        <v>1054122.71</v>
      </c>
      <c r="J206" s="272"/>
      <c r="K206" s="272"/>
      <c r="L206" s="272"/>
      <c r="M206" s="272"/>
      <c r="N206" s="272"/>
      <c r="O206" s="300">
        <f>SUM(J204:O204)</f>
        <v>3039451</v>
      </c>
      <c r="P206" s="284"/>
      <c r="Q206" s="284"/>
      <c r="R206" s="275"/>
      <c r="S206" s="288"/>
      <c r="T206" s="303"/>
      <c r="U206" s="277"/>
      <c r="V206" s="278"/>
      <c r="W206" s="275"/>
      <c r="X206" s="303"/>
      <c r="Y206" s="299"/>
      <c r="Z206" s="288"/>
    </row>
    <row r="207" spans="1:26">
      <c r="B207" s="288"/>
      <c r="C207" s="288"/>
      <c r="D207" s="269"/>
      <c r="E207" s="270"/>
      <c r="F207" s="270"/>
      <c r="G207" s="270"/>
      <c r="H207" s="270"/>
      <c r="I207" s="271"/>
      <c r="J207" s="272"/>
      <c r="K207" s="272"/>
      <c r="L207" s="272"/>
      <c r="M207" s="272"/>
      <c r="N207" s="272"/>
      <c r="O207" s="300"/>
      <c r="P207" s="284"/>
      <c r="Q207" s="284"/>
      <c r="R207" s="275"/>
      <c r="S207" s="288"/>
      <c r="T207" s="303"/>
      <c r="U207" s="277"/>
      <c r="V207" s="278"/>
      <c r="W207" s="275"/>
      <c r="X207" s="303"/>
      <c r="Y207" s="288"/>
      <c r="Z207" s="288"/>
    </row>
    <row r="208" spans="1:26" ht="16.5" thickBot="1">
      <c r="A208" s="8">
        <v>192</v>
      </c>
      <c r="B208" s="288"/>
      <c r="C208" s="289" t="s">
        <v>59</v>
      </c>
      <c r="D208" s="290">
        <f t="shared" ref="D208:O208" si="63">D23+D167+D204</f>
        <v>2500520.8399999994</v>
      </c>
      <c r="E208" s="291">
        <f t="shared" si="63"/>
        <v>3040136.560000001</v>
      </c>
      <c r="F208" s="291">
        <f t="shared" si="63"/>
        <v>3755954.24</v>
      </c>
      <c r="G208" s="291">
        <f t="shared" si="63"/>
        <v>4478213.8299999991</v>
      </c>
      <c r="H208" s="291">
        <f t="shared" si="63"/>
        <v>5503859.0600000005</v>
      </c>
      <c r="I208" s="292">
        <f t="shared" si="63"/>
        <v>5161199.4200000009</v>
      </c>
      <c r="J208" s="293">
        <f t="shared" si="63"/>
        <v>7677358.8200000012</v>
      </c>
      <c r="K208" s="293">
        <f t="shared" si="63"/>
        <v>7649517.450000002</v>
      </c>
      <c r="L208" s="293">
        <f t="shared" si="63"/>
        <v>8221829.5900000017</v>
      </c>
      <c r="M208" s="293">
        <f t="shared" si="63"/>
        <v>5794736.4399999995</v>
      </c>
      <c r="N208" s="293">
        <f t="shared" si="63"/>
        <v>4063251.16</v>
      </c>
      <c r="O208" s="293">
        <f t="shared" si="63"/>
        <v>3677846.46</v>
      </c>
      <c r="P208" s="294"/>
      <c r="Q208" s="294"/>
      <c r="R208" s="295">
        <f>R23+R167+R204</f>
        <v>61524423.86999999</v>
      </c>
      <c r="S208" s="288"/>
      <c r="T208" s="304">
        <f>T23+T167+T204</f>
        <v>47578549.533320002</v>
      </c>
      <c r="U208" s="297">
        <f>U23+U167+U204</f>
        <v>24439883.95000001</v>
      </c>
      <c r="V208" s="298">
        <f>V23+V167+V204</f>
        <v>37084539.920000002</v>
      </c>
      <c r="W208" s="295">
        <f>W23+W167+W204</f>
        <v>61524423.86999999</v>
      </c>
      <c r="X208" s="257">
        <f>X23+X167+X204</f>
        <v>18072319.657660004</v>
      </c>
      <c r="Y208" s="288"/>
      <c r="Z208" s="288"/>
    </row>
    <row r="209" spans="1:26" ht="16.5" thickTop="1">
      <c r="B209" s="288"/>
      <c r="C209" s="288"/>
      <c r="D209" s="269"/>
      <c r="E209" s="270"/>
      <c r="F209" s="270"/>
      <c r="G209" s="270"/>
      <c r="H209" s="270"/>
      <c r="I209" s="271"/>
      <c r="J209" s="272"/>
      <c r="K209" s="272"/>
      <c r="L209" s="272"/>
      <c r="M209" s="272"/>
      <c r="N209" s="272"/>
      <c r="O209" s="300"/>
      <c r="P209" s="284"/>
      <c r="Q209" s="284"/>
      <c r="R209" s="275"/>
      <c r="S209" s="288"/>
      <c r="T209" s="303"/>
      <c r="U209" s="277"/>
      <c r="V209" s="278"/>
      <c r="W209" s="275"/>
      <c r="X209" s="288"/>
      <c r="Y209" s="288"/>
      <c r="Z209" s="288"/>
    </row>
    <row r="210" spans="1:26">
      <c r="B210" s="288"/>
      <c r="C210" s="289"/>
      <c r="D210" s="269"/>
      <c r="E210" s="270"/>
      <c r="F210" s="270"/>
      <c r="G210" s="270"/>
      <c r="H210" s="270"/>
      <c r="I210" s="271">
        <f>I25+I169+I206</f>
        <v>24439883.950000003</v>
      </c>
      <c r="J210" s="272"/>
      <c r="K210" s="272"/>
      <c r="L210" s="272"/>
      <c r="M210" s="272"/>
      <c r="N210" s="272"/>
      <c r="O210" s="300">
        <f>O25+O169+O206</f>
        <v>37084539.920000002</v>
      </c>
      <c r="P210" s="284"/>
      <c r="Q210" s="284"/>
      <c r="R210" s="275"/>
      <c r="S210" s="288"/>
      <c r="T210" s="303"/>
      <c r="U210" s="277"/>
      <c r="V210" s="278"/>
      <c r="W210" s="275"/>
      <c r="X210" s="288"/>
      <c r="Y210" s="288"/>
      <c r="Z210" s="288"/>
    </row>
    <row r="211" spans="1:26">
      <c r="B211" s="268"/>
      <c r="C211" s="268"/>
      <c r="D211" s="305"/>
      <c r="E211" s="305"/>
      <c r="F211" s="305"/>
      <c r="G211" s="305"/>
      <c r="H211" s="305"/>
      <c r="I211" s="305"/>
      <c r="J211" s="305"/>
      <c r="K211" s="305"/>
      <c r="L211" s="305"/>
      <c r="M211" s="305"/>
      <c r="N211" s="305"/>
      <c r="O211" s="305"/>
      <c r="P211" s="305"/>
      <c r="Q211" s="305"/>
      <c r="R211" s="305"/>
      <c r="S211" s="268"/>
      <c r="T211" s="268"/>
      <c r="U211" s="305"/>
      <c r="V211" s="305"/>
      <c r="W211" s="305"/>
      <c r="X211" s="276"/>
      <c r="Y211" s="268"/>
      <c r="Z211" s="268"/>
    </row>
    <row r="212" spans="1:26">
      <c r="A212" s="8">
        <v>193</v>
      </c>
      <c r="B212" s="268" t="s">
        <v>1592</v>
      </c>
      <c r="C212" s="268"/>
      <c r="D212" s="305"/>
      <c r="E212" s="305"/>
      <c r="F212" s="305"/>
      <c r="G212" s="305"/>
      <c r="H212" s="305"/>
      <c r="I212" s="305"/>
      <c r="J212" s="305"/>
      <c r="K212" s="305"/>
      <c r="L212" s="305"/>
      <c r="M212" s="305"/>
      <c r="N212" s="305"/>
      <c r="O212" s="305"/>
      <c r="P212" s="306" t="s">
        <v>886</v>
      </c>
      <c r="Q212" s="305"/>
      <c r="R212" s="305"/>
      <c r="S212" s="268"/>
      <c r="T212" s="302"/>
      <c r="U212" s="305"/>
      <c r="V212" s="305"/>
      <c r="W212" s="305"/>
      <c r="X212" s="268"/>
      <c r="Y212" s="268"/>
      <c r="Z212" s="268"/>
    </row>
    <row r="213" spans="1:26">
      <c r="A213" s="8">
        <v>194</v>
      </c>
      <c r="B213" s="307" t="s">
        <v>1428</v>
      </c>
      <c r="C213" s="268" t="s">
        <v>1593</v>
      </c>
      <c r="D213" s="305"/>
      <c r="E213" s="305"/>
      <c r="F213" s="305"/>
      <c r="G213" s="305"/>
      <c r="H213" s="305"/>
      <c r="I213" s="305"/>
      <c r="J213" s="305"/>
      <c r="K213" s="305"/>
      <c r="L213" s="305"/>
      <c r="M213" s="305"/>
      <c r="N213" s="305"/>
      <c r="O213" s="305"/>
      <c r="P213" s="305">
        <f>+T195+T194+T193+T192+T191+T190+T187+T184+T183+T180+T179+T178+T177+T176+T175+T172+T171</f>
        <v>2293998.8487920002</v>
      </c>
      <c r="Q213" s="305"/>
      <c r="R213" s="305"/>
      <c r="S213" s="268"/>
      <c r="T213" s="280" t="s">
        <v>1599</v>
      </c>
      <c r="U213" s="306"/>
      <c r="V213" s="306"/>
      <c r="W213" s="306"/>
      <c r="X213" s="280" t="s">
        <v>1601</v>
      </c>
      <c r="Y213" s="987" t="s">
        <v>2126</v>
      </c>
      <c r="Z213" s="280" t="s">
        <v>1597</v>
      </c>
    </row>
    <row r="214" spans="1:26">
      <c r="A214" s="8">
        <v>195</v>
      </c>
      <c r="B214" s="307" t="s">
        <v>1441</v>
      </c>
      <c r="C214" s="268" t="s">
        <v>1147</v>
      </c>
      <c r="D214" s="305"/>
      <c r="E214" s="305"/>
      <c r="F214" s="305"/>
      <c r="G214" s="305"/>
      <c r="H214" s="305"/>
      <c r="I214" s="305"/>
      <c r="J214" s="305"/>
      <c r="K214" s="305"/>
      <c r="L214" s="305"/>
      <c r="M214" s="305"/>
      <c r="N214" s="305"/>
      <c r="O214" s="305"/>
      <c r="P214" s="305">
        <f>+T51+T55+T56+T59+T60+T61+T70+T76+T79+T80+T82+T88+T91+T134+T146</f>
        <v>10912878.120000001</v>
      </c>
      <c r="Q214" s="305"/>
      <c r="R214" s="305"/>
      <c r="S214" s="268"/>
      <c r="T214" s="280" t="s">
        <v>1600</v>
      </c>
      <c r="U214" s="306"/>
      <c r="V214" s="306"/>
      <c r="W214" s="306"/>
      <c r="X214" s="280" t="s">
        <v>408</v>
      </c>
      <c r="Y214" s="32" t="s">
        <v>2127</v>
      </c>
      <c r="Z214" s="280" t="s">
        <v>1598</v>
      </c>
    </row>
    <row r="215" spans="1:26">
      <c r="A215" s="8">
        <v>196</v>
      </c>
      <c r="B215" s="307" t="s">
        <v>1426</v>
      </c>
      <c r="C215" s="268" t="s">
        <v>1594</v>
      </c>
      <c r="D215" s="305"/>
      <c r="E215" s="305"/>
      <c r="F215" s="305"/>
      <c r="G215" s="305"/>
      <c r="H215" s="305"/>
      <c r="I215" s="305"/>
      <c r="J215" s="305"/>
      <c r="K215" s="305"/>
      <c r="L215" s="305"/>
      <c r="M215" s="305"/>
      <c r="N215" s="305"/>
      <c r="O215" s="305"/>
      <c r="P215" s="305">
        <f>+T163+T162+T161+T159+T158+T157+T156+T154+T153+T152+T151+T150+T148+T147+T136+T135+T133+T130+T128+T119+T117+T111+T73+T49+T48+T46+T44+T43+T41+T38+T126+T116+T140+T89</f>
        <v>14771450.923044002</v>
      </c>
      <c r="Q215" s="305"/>
      <c r="R215" s="305"/>
      <c r="S215" s="268"/>
      <c r="T215" s="268">
        <v>303</v>
      </c>
      <c r="U215" s="305"/>
      <c r="V215" s="305"/>
      <c r="W215" s="305"/>
      <c r="X215" s="276">
        <f>+X8+X9+X10+X11+X13+X15+X17+X18+X19+X20+X21+X203+X16</f>
        <v>1030878.7861559999</v>
      </c>
      <c r="Y215" s="268">
        <v>12.81</v>
      </c>
      <c r="Z215" s="308">
        <f>+X215*Y215/100</f>
        <v>132055.57250658359</v>
      </c>
    </row>
    <row r="216" spans="1:26">
      <c r="A216" s="8">
        <v>197</v>
      </c>
      <c r="B216" s="307" t="s">
        <v>1400</v>
      </c>
      <c r="C216" s="268" t="s">
        <v>1595</v>
      </c>
      <c r="D216" s="305"/>
      <c r="E216" s="305"/>
      <c r="F216" s="305"/>
      <c r="G216" s="305"/>
      <c r="H216" s="305"/>
      <c r="I216" s="305"/>
      <c r="J216" s="305"/>
      <c r="K216" s="305"/>
      <c r="L216" s="305"/>
      <c r="M216" s="305"/>
      <c r="N216" s="305"/>
      <c r="O216" s="305"/>
      <c r="P216" s="305">
        <f>+T18+T166+T165+T83+T14+T12+T11+T9+T200</f>
        <v>1504034.5638239998</v>
      </c>
      <c r="Q216" s="305"/>
      <c r="R216" s="305"/>
      <c r="S216" s="268"/>
      <c r="T216" s="268">
        <v>367</v>
      </c>
      <c r="U216" s="305"/>
      <c r="V216" s="305"/>
      <c r="W216" s="305"/>
      <c r="X216" s="276">
        <f>+X141</f>
        <v>386079.56</v>
      </c>
      <c r="Y216" s="268">
        <v>1.82</v>
      </c>
      <c r="Z216" s="308">
        <f>+X216*Y216/100</f>
        <v>7026.6479920000002</v>
      </c>
    </row>
    <row r="217" spans="1:26">
      <c r="A217" s="8">
        <v>198</v>
      </c>
      <c r="B217" s="307" t="s">
        <v>1444</v>
      </c>
      <c r="C217" s="268" t="s">
        <v>1596</v>
      </c>
      <c r="D217" s="305"/>
      <c r="E217" s="305"/>
      <c r="F217" s="305"/>
      <c r="G217" s="305"/>
      <c r="H217" s="305"/>
      <c r="I217" s="305"/>
      <c r="J217" s="305"/>
      <c r="K217" s="305"/>
      <c r="L217" s="305"/>
      <c r="M217" s="305"/>
      <c r="N217" s="305"/>
      <c r="O217" s="305"/>
      <c r="P217" s="305">
        <f>+T92+T75+T53</f>
        <v>23867.42</v>
      </c>
      <c r="Q217" s="305"/>
      <c r="R217" s="305"/>
      <c r="S217" s="268"/>
      <c r="T217" s="268">
        <v>376</v>
      </c>
      <c r="U217" s="305"/>
      <c r="V217" s="305"/>
      <c r="W217" s="305"/>
      <c r="X217" s="276">
        <f>+X149+X145+X144+X143+X142+X140+X138+X137+X127+X126+X125+X118+X113+X112+X108+X95+X94+X93+X90+X87+X84+X71+X64+X62+X40+X39+X122+X120+X89+X86+X83+X69+X115+X114+X160</f>
        <v>12426705.59</v>
      </c>
      <c r="Y217" s="268">
        <v>1.25</v>
      </c>
      <c r="Z217" s="308">
        <f t="shared" ref="Z217:Z226" si="64">+X217*Y217/100</f>
        <v>155333.81987500002</v>
      </c>
    </row>
    <row r="218" spans="1:26">
      <c r="A218" s="8">
        <v>199</v>
      </c>
      <c r="B218" s="307"/>
      <c r="C218" s="268"/>
      <c r="D218" s="305"/>
      <c r="E218" s="305"/>
      <c r="F218" s="305"/>
      <c r="G218" s="305"/>
      <c r="H218" s="305"/>
      <c r="I218" s="305"/>
      <c r="J218" s="305"/>
      <c r="K218" s="305"/>
      <c r="L218" s="305"/>
      <c r="M218" s="305"/>
      <c r="N218" s="305"/>
      <c r="O218" s="305"/>
      <c r="P218" s="305"/>
      <c r="Q218" s="305"/>
      <c r="R218" s="305"/>
      <c r="S218" s="268"/>
      <c r="T218" s="268">
        <v>378</v>
      </c>
      <c r="U218" s="305"/>
      <c r="V218" s="305"/>
      <c r="W218" s="305"/>
      <c r="X218" s="276">
        <f>+X116+X99+X98+X100+X67+X52+X42</f>
        <v>714721.72</v>
      </c>
      <c r="Y218" s="268">
        <v>1.92</v>
      </c>
      <c r="Z218" s="308">
        <f t="shared" si="64"/>
        <v>13722.657023999998</v>
      </c>
    </row>
    <row r="219" spans="1:26">
      <c r="A219" s="8">
        <v>200</v>
      </c>
      <c r="B219" s="307"/>
      <c r="C219" s="268"/>
      <c r="D219" s="305"/>
      <c r="E219" s="305"/>
      <c r="F219" s="305"/>
      <c r="G219" s="305"/>
      <c r="H219" s="305"/>
      <c r="I219" s="305"/>
      <c r="J219" s="305"/>
      <c r="K219" s="305"/>
      <c r="L219" s="305"/>
      <c r="M219" s="305"/>
      <c r="N219" s="305"/>
      <c r="O219" s="305"/>
      <c r="P219" s="305">
        <f>SUM(P213:P217)+X208</f>
        <v>47578549.53332001</v>
      </c>
      <c r="Q219" s="305"/>
      <c r="R219" s="305"/>
      <c r="S219" s="268"/>
      <c r="T219" s="268">
        <v>380</v>
      </c>
      <c r="U219" s="305"/>
      <c r="V219" s="305"/>
      <c r="W219" s="305"/>
      <c r="X219" s="276">
        <f>+X50</f>
        <v>777866.77</v>
      </c>
      <c r="Y219" s="268">
        <v>3.88</v>
      </c>
      <c r="Z219" s="308">
        <f t="shared" si="64"/>
        <v>30181.230676000003</v>
      </c>
    </row>
    <row r="220" spans="1:26">
      <c r="A220" s="8">
        <v>201</v>
      </c>
      <c r="B220" s="307"/>
      <c r="C220" s="268"/>
      <c r="D220" s="305"/>
      <c r="E220" s="305"/>
      <c r="F220" s="305"/>
      <c r="G220" s="305"/>
      <c r="H220" s="305"/>
      <c r="I220" s="305"/>
      <c r="J220" s="305"/>
      <c r="K220" s="305"/>
      <c r="L220" s="305"/>
      <c r="M220" s="305"/>
      <c r="N220" s="305"/>
      <c r="O220" s="305"/>
      <c r="P220" s="305">
        <f>+P219-T208</f>
        <v>0</v>
      </c>
      <c r="Q220" s="305"/>
      <c r="R220" s="305"/>
      <c r="S220" s="268"/>
      <c r="T220" s="268">
        <v>381</v>
      </c>
      <c r="U220" s="305"/>
      <c r="V220" s="305"/>
      <c r="W220" s="305"/>
      <c r="X220" s="276">
        <f>+X110</f>
        <v>843746.2944880001</v>
      </c>
      <c r="Y220" s="268">
        <v>2.27</v>
      </c>
      <c r="Z220" s="308">
        <f t="shared" si="64"/>
        <v>19153.040884877602</v>
      </c>
    </row>
    <row r="221" spans="1:26">
      <c r="A221" s="8">
        <v>202</v>
      </c>
      <c r="B221" s="307"/>
      <c r="C221" s="268"/>
      <c r="D221" s="305"/>
      <c r="E221" s="305"/>
      <c r="F221" s="305"/>
      <c r="G221" s="305"/>
      <c r="H221" s="305"/>
      <c r="I221" s="305"/>
      <c r="J221" s="305"/>
      <c r="K221" s="305"/>
      <c r="L221" s="305"/>
      <c r="M221" s="305"/>
      <c r="N221" s="305"/>
      <c r="O221" s="305"/>
      <c r="P221" s="305"/>
      <c r="Q221" s="305"/>
      <c r="R221" s="305"/>
      <c r="S221" s="268"/>
      <c r="T221" s="268">
        <v>382</v>
      </c>
      <c r="U221" s="305"/>
      <c r="V221" s="305"/>
      <c r="W221" s="305"/>
      <c r="X221" s="268"/>
      <c r="Y221" s="268"/>
      <c r="Z221" s="308">
        <f t="shared" si="64"/>
        <v>0</v>
      </c>
    </row>
    <row r="222" spans="1:26">
      <c r="A222" s="8">
        <v>203</v>
      </c>
      <c r="B222" s="268"/>
      <c r="C222" s="268"/>
      <c r="D222" s="305"/>
      <c r="E222" s="305"/>
      <c r="F222" s="305"/>
      <c r="G222" s="305"/>
      <c r="H222" s="305"/>
      <c r="I222" s="305"/>
      <c r="J222" s="305"/>
      <c r="K222" s="305"/>
      <c r="L222" s="305"/>
      <c r="M222" s="305"/>
      <c r="N222" s="305"/>
      <c r="O222" s="305"/>
      <c r="P222" s="305"/>
      <c r="Q222" s="305"/>
      <c r="R222" s="305"/>
      <c r="S222" s="268"/>
      <c r="T222" s="268">
        <v>385</v>
      </c>
      <c r="U222" s="305"/>
      <c r="V222" s="305"/>
      <c r="W222" s="305"/>
      <c r="X222" s="276">
        <f>+X47+X45</f>
        <v>1048104.73</v>
      </c>
      <c r="Y222" s="268">
        <v>2.1800000000000002</v>
      </c>
      <c r="Z222" s="308">
        <f t="shared" si="64"/>
        <v>22848.683113999999</v>
      </c>
    </row>
    <row r="223" spans="1:26">
      <c r="A223" s="8">
        <v>204</v>
      </c>
      <c r="B223" s="268"/>
      <c r="C223" s="268"/>
      <c r="D223" s="305"/>
      <c r="E223" s="305"/>
      <c r="F223" s="305"/>
      <c r="G223" s="305"/>
      <c r="H223" s="305"/>
      <c r="I223" s="305"/>
      <c r="J223" s="305"/>
      <c r="K223" s="305"/>
      <c r="L223" s="305"/>
      <c r="M223" s="305"/>
      <c r="N223" s="305"/>
      <c r="O223" s="305"/>
      <c r="P223" s="305"/>
      <c r="Q223" s="305"/>
      <c r="R223" s="305"/>
      <c r="S223" s="268"/>
      <c r="T223" s="268">
        <v>390</v>
      </c>
      <c r="U223" s="305"/>
      <c r="V223" s="305"/>
      <c r="W223" s="305"/>
      <c r="X223" s="276">
        <f>+X178+X185</f>
        <v>76458.680000000008</v>
      </c>
      <c r="Y223" s="268">
        <v>1.24</v>
      </c>
      <c r="Z223" s="308">
        <f t="shared" si="64"/>
        <v>948.08763200000021</v>
      </c>
    </row>
    <row r="224" spans="1:26">
      <c r="A224" s="8">
        <v>205</v>
      </c>
      <c r="B224" s="268"/>
      <c r="C224" s="268"/>
      <c r="D224" s="305"/>
      <c r="E224" s="305"/>
      <c r="F224" s="305"/>
      <c r="G224" s="305"/>
      <c r="H224" s="305"/>
      <c r="I224" s="305"/>
      <c r="J224" s="305"/>
      <c r="K224" s="305"/>
      <c r="L224" s="305"/>
      <c r="M224" s="305"/>
      <c r="N224" s="305"/>
      <c r="O224" s="305"/>
      <c r="P224" s="305"/>
      <c r="Q224" s="305"/>
      <c r="R224" s="305"/>
      <c r="S224" s="268"/>
      <c r="T224" s="268">
        <v>391</v>
      </c>
      <c r="U224" s="305"/>
      <c r="V224" s="305"/>
      <c r="W224" s="305"/>
      <c r="X224" s="276">
        <f>+X199+X198+X191+X184</f>
        <v>158780.82361199998</v>
      </c>
      <c r="Y224" s="268">
        <v>4.9800000000000004</v>
      </c>
      <c r="Z224" s="308">
        <f t="shared" si="64"/>
        <v>7907.2850158775991</v>
      </c>
    </row>
    <row r="225" spans="1:27">
      <c r="A225" s="8">
        <v>206</v>
      </c>
      <c r="B225" s="268"/>
      <c r="C225" s="268"/>
      <c r="D225" s="305"/>
      <c r="E225" s="305"/>
      <c r="F225" s="305"/>
      <c r="G225" s="305"/>
      <c r="H225" s="305"/>
      <c r="I225" s="305"/>
      <c r="J225" s="305"/>
      <c r="K225" s="305"/>
      <c r="L225" s="305"/>
      <c r="M225" s="305"/>
      <c r="N225" s="305"/>
      <c r="O225" s="305"/>
      <c r="P225" s="305"/>
      <c r="Q225" s="305"/>
      <c r="R225" s="305"/>
      <c r="S225" s="268"/>
      <c r="T225" s="268">
        <v>392</v>
      </c>
      <c r="U225" s="305"/>
      <c r="V225" s="305"/>
      <c r="W225" s="305"/>
      <c r="X225" s="276">
        <f>+X194+X193+X190+X188+X179+X175</f>
        <v>2201.1</v>
      </c>
      <c r="Y225" s="268">
        <v>6.16</v>
      </c>
      <c r="Z225" s="308">
        <f t="shared" si="64"/>
        <v>135.58776</v>
      </c>
    </row>
    <row r="226" spans="1:27">
      <c r="A226" s="8">
        <v>207</v>
      </c>
      <c r="B226" s="268"/>
      <c r="C226" s="268"/>
      <c r="D226" s="305"/>
      <c r="E226" s="305"/>
      <c r="F226" s="305"/>
      <c r="G226" s="305"/>
      <c r="H226" s="305"/>
      <c r="I226" s="305"/>
      <c r="J226" s="305"/>
      <c r="K226" s="305"/>
      <c r="L226" s="305"/>
      <c r="M226" s="305"/>
      <c r="N226" s="305"/>
      <c r="O226" s="305"/>
      <c r="P226" s="305"/>
      <c r="Q226" s="305"/>
      <c r="R226" s="305"/>
      <c r="S226" s="268"/>
      <c r="T226" s="268">
        <v>394</v>
      </c>
      <c r="U226" s="305"/>
      <c r="V226" s="305"/>
      <c r="W226" s="305"/>
      <c r="X226" s="276">
        <f>+X201+X195+X192+X189+X187+X186+X183+X180</f>
        <v>606775.60340400005</v>
      </c>
      <c r="Y226" s="268">
        <v>3.55</v>
      </c>
      <c r="Z226" s="308">
        <f t="shared" si="64"/>
        <v>21540.533920842001</v>
      </c>
    </row>
    <row r="227" spans="1:27">
      <c r="A227" s="8">
        <v>208</v>
      </c>
      <c r="B227" s="268"/>
      <c r="C227" s="268"/>
      <c r="D227" s="305"/>
      <c r="E227" s="305"/>
      <c r="F227" s="305"/>
      <c r="G227" s="305"/>
      <c r="H227" s="305"/>
      <c r="I227" s="305"/>
      <c r="J227" s="305"/>
      <c r="K227" s="305"/>
      <c r="L227" s="305"/>
      <c r="M227" s="305"/>
      <c r="N227" s="305"/>
      <c r="O227" s="305"/>
      <c r="P227" s="305"/>
      <c r="Q227" s="305"/>
      <c r="R227" s="305"/>
      <c r="S227" s="268"/>
      <c r="T227" s="268">
        <v>396</v>
      </c>
      <c r="U227" s="305"/>
      <c r="V227" s="305"/>
      <c r="W227" s="305"/>
      <c r="X227" s="276">
        <f>+X176+X171</f>
        <v>0</v>
      </c>
      <c r="Y227" s="268"/>
      <c r="Z227" s="308"/>
    </row>
    <row r="228" spans="1:27">
      <c r="A228" s="8">
        <v>209</v>
      </c>
      <c r="B228" s="268"/>
      <c r="C228" s="268"/>
      <c r="D228" s="305"/>
      <c r="E228" s="305"/>
      <c r="F228" s="305"/>
      <c r="G228" s="305"/>
      <c r="H228" s="305"/>
      <c r="I228" s="305"/>
      <c r="J228" s="305"/>
      <c r="K228" s="305"/>
      <c r="L228" s="305"/>
      <c r="M228" s="305"/>
      <c r="N228" s="305"/>
      <c r="O228" s="305"/>
      <c r="P228" s="305"/>
      <c r="Q228" s="305"/>
      <c r="R228" s="305"/>
      <c r="S228" s="268"/>
      <c r="T228" s="268">
        <v>397</v>
      </c>
      <c r="U228" s="305"/>
      <c r="V228" s="305"/>
      <c r="W228" s="305"/>
      <c r="X228" s="276">
        <f>+X177+X172</f>
        <v>0</v>
      </c>
      <c r="Y228" s="268"/>
      <c r="Z228" s="308"/>
    </row>
    <row r="229" spans="1:27">
      <c r="A229" s="8">
        <v>210</v>
      </c>
      <c r="B229" s="268"/>
      <c r="C229" s="268"/>
      <c r="D229" s="305"/>
      <c r="E229" s="305"/>
      <c r="F229" s="305"/>
      <c r="G229" s="305"/>
      <c r="H229" s="305"/>
      <c r="I229" s="305"/>
      <c r="J229" s="305"/>
      <c r="K229" s="305"/>
      <c r="L229" s="305"/>
      <c r="M229" s="305"/>
      <c r="N229" s="305"/>
      <c r="O229" s="305"/>
      <c r="P229" s="305"/>
      <c r="Q229" s="305"/>
      <c r="R229" s="305"/>
      <c r="S229" s="268"/>
      <c r="T229" s="268"/>
      <c r="U229" s="305"/>
      <c r="V229" s="305"/>
      <c r="W229" s="305"/>
      <c r="X229" s="268"/>
      <c r="Y229" s="268"/>
      <c r="Z229" s="268"/>
    </row>
    <row r="230" spans="1:27">
      <c r="A230" s="8">
        <v>211</v>
      </c>
      <c r="B230" s="268"/>
      <c r="C230" s="268"/>
      <c r="D230" s="305"/>
      <c r="E230" s="305"/>
      <c r="F230" s="305"/>
      <c r="G230" s="305"/>
      <c r="H230" s="305"/>
      <c r="I230" s="305"/>
      <c r="J230" s="305"/>
      <c r="K230" s="305"/>
      <c r="L230" s="305"/>
      <c r="M230" s="305"/>
      <c r="N230" s="305"/>
      <c r="O230" s="305"/>
      <c r="P230" s="305"/>
      <c r="Q230" s="305"/>
      <c r="R230" s="305"/>
      <c r="S230" s="268" t="s">
        <v>886</v>
      </c>
      <c r="T230" s="268"/>
      <c r="U230" s="305"/>
      <c r="V230" s="305"/>
      <c r="W230" s="305"/>
      <c r="X230" s="276">
        <f>SUM(X215:X228)</f>
        <v>18072319.65766</v>
      </c>
      <c r="Y230" s="268"/>
      <c r="Z230" s="276">
        <f>SUM(Z215:Z228)</f>
        <v>410853.14640118089</v>
      </c>
      <c r="AA230" s="6">
        <f>+Z230/X230</f>
        <v>2.2733835732428501E-2</v>
      </c>
    </row>
    <row r="231" spans="1:27">
      <c r="A231" s="8">
        <v>212</v>
      </c>
      <c r="B231" s="268"/>
      <c r="C231" s="268"/>
      <c r="D231" s="305"/>
      <c r="E231" s="305"/>
      <c r="F231" s="305"/>
      <c r="G231" s="305"/>
      <c r="H231" s="305"/>
      <c r="I231" s="305"/>
      <c r="J231" s="305"/>
      <c r="K231" s="305"/>
      <c r="L231" s="305"/>
      <c r="M231" s="305"/>
      <c r="N231" s="305"/>
      <c r="O231" s="305"/>
      <c r="P231" s="305"/>
      <c r="Q231" s="305"/>
      <c r="R231" s="305"/>
      <c r="S231" s="268"/>
      <c r="T231" s="268"/>
      <c r="U231" s="305"/>
      <c r="V231" s="305"/>
      <c r="W231" s="305"/>
      <c r="X231" s="268"/>
      <c r="Y231" s="268"/>
      <c r="Z231" s="268"/>
    </row>
    <row r="232" spans="1:27">
      <c r="A232" s="8">
        <v>213</v>
      </c>
      <c r="B232" s="268"/>
      <c r="C232" s="268"/>
      <c r="D232" s="305"/>
      <c r="E232" s="305"/>
      <c r="F232" s="305"/>
      <c r="G232" s="305"/>
      <c r="H232" s="305"/>
      <c r="I232" s="305"/>
      <c r="J232" s="305"/>
      <c r="K232" s="305"/>
      <c r="L232" s="305"/>
      <c r="M232" s="305"/>
      <c r="N232" s="305"/>
      <c r="O232" s="305"/>
      <c r="P232" s="305"/>
      <c r="Q232" s="305"/>
      <c r="R232" s="305"/>
      <c r="S232" s="268"/>
      <c r="T232" s="268"/>
      <c r="U232" s="305"/>
      <c r="V232" s="305"/>
      <c r="W232" s="305"/>
      <c r="X232" s="276">
        <f>+X208-X230</f>
        <v>0</v>
      </c>
      <c r="Y232" s="268"/>
      <c r="Z232" s="268"/>
    </row>
  </sheetData>
  <mergeCells count="4">
    <mergeCell ref="O1:R1"/>
    <mergeCell ref="O2:R2"/>
    <mergeCell ref="O3:R3"/>
    <mergeCell ref="O4:R4"/>
  </mergeCells>
  <pageMargins left="0.7" right="0.7" top="0.75" bottom="0.75" header="0.3" footer="0.3"/>
  <pageSetup scale="44" fitToHeight="0" orientation="portrait" useFirstPageNumber="1" r:id="rId1"/>
  <headerFooter scaleWithDoc="0" alignWithMargins="0">
    <oddHeader>&amp;RDocket No. UG-17_____
Exhibit _____ (MPP-6)
Page &amp;P of 7</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79"/>
  <sheetViews>
    <sheetView view="pageBreakPreview" zoomScale="90" zoomScaleNormal="100" zoomScaleSheetLayoutView="90" workbookViewId="0">
      <selection sqref="A1:B1"/>
    </sheetView>
  </sheetViews>
  <sheetFormatPr defaultRowHeight="15.75"/>
  <cols>
    <col min="1" max="1" width="9.140625" style="8"/>
    <col min="2" max="2" width="99" style="6" customWidth="1"/>
    <col min="3" max="16384" width="9.140625" style="6"/>
  </cols>
  <sheetData>
    <row r="1" spans="1:7">
      <c r="A1" s="1025" t="s">
        <v>1639</v>
      </c>
      <c r="B1" s="1025"/>
      <c r="C1" s="5"/>
      <c r="D1" s="5"/>
    </row>
    <row r="2" spans="1:7">
      <c r="A2" s="1025" t="s">
        <v>1688</v>
      </c>
      <c r="B2" s="1025"/>
      <c r="C2" s="5"/>
      <c r="D2" s="5"/>
    </row>
    <row r="3" spans="1:7">
      <c r="A3" s="1025" t="s">
        <v>990</v>
      </c>
      <c r="B3" s="1025"/>
      <c r="C3" s="5"/>
      <c r="D3" s="5"/>
    </row>
    <row r="4" spans="1:7">
      <c r="A4" s="17"/>
      <c r="B4" s="7"/>
      <c r="C4" s="7"/>
      <c r="D4" s="7"/>
    </row>
    <row r="5" spans="1:7">
      <c r="A5" s="18"/>
      <c r="B5" s="19"/>
    </row>
    <row r="6" spans="1:7">
      <c r="A6" s="15" t="s">
        <v>1603</v>
      </c>
      <c r="B6" s="15" t="s">
        <v>1604</v>
      </c>
    </row>
    <row r="8" spans="1:7" ht="63">
      <c r="A8" s="16" t="s">
        <v>1428</v>
      </c>
      <c r="B8" s="9" t="s">
        <v>1661</v>
      </c>
    </row>
    <row r="9" spans="1:7" ht="31.5">
      <c r="A9" s="16" t="s">
        <v>1441</v>
      </c>
      <c r="B9" s="10" t="s">
        <v>1605</v>
      </c>
    </row>
    <row r="10" spans="1:7" ht="31.5">
      <c r="A10" s="16" t="s">
        <v>1426</v>
      </c>
      <c r="B10" s="10" t="s">
        <v>1606</v>
      </c>
    </row>
    <row r="11" spans="1:7" ht="31.5">
      <c r="A11" s="16" t="s">
        <v>1400</v>
      </c>
      <c r="B11" s="10" t="s">
        <v>1662</v>
      </c>
      <c r="G11" s="19"/>
    </row>
    <row r="12" spans="1:7" ht="31.5">
      <c r="A12" s="16" t="s">
        <v>1444</v>
      </c>
      <c r="B12" s="10" t="s">
        <v>1663</v>
      </c>
    </row>
    <row r="13" spans="1:7" ht="47.25">
      <c r="A13" s="16">
        <v>1</v>
      </c>
      <c r="B13" s="10" t="s">
        <v>1664</v>
      </c>
    </row>
    <row r="14" spans="1:7" ht="31.5">
      <c r="A14" s="16">
        <v>2</v>
      </c>
      <c r="B14" s="11" t="s">
        <v>1607</v>
      </c>
    </row>
    <row r="15" spans="1:7" ht="31.5">
      <c r="A15" s="16">
        <v>3</v>
      </c>
      <c r="B15" s="10" t="s">
        <v>1665</v>
      </c>
    </row>
    <row r="16" spans="1:7">
      <c r="A16" s="16">
        <v>4</v>
      </c>
      <c r="B16" s="6" t="s">
        <v>1689</v>
      </c>
    </row>
    <row r="17" spans="1:2" ht="31.5">
      <c r="A17" s="16">
        <v>5</v>
      </c>
      <c r="B17" s="10" t="s">
        <v>1608</v>
      </c>
    </row>
    <row r="18" spans="1:2" ht="31.5">
      <c r="A18" s="16">
        <v>6</v>
      </c>
      <c r="B18" s="9" t="s">
        <v>1666</v>
      </c>
    </row>
    <row r="19" spans="1:2" ht="220.5">
      <c r="A19" s="16">
        <v>7</v>
      </c>
      <c r="B19" s="12" t="s">
        <v>1667</v>
      </c>
    </row>
    <row r="20" spans="1:2" ht="63">
      <c r="A20" s="16">
        <v>8</v>
      </c>
      <c r="B20" s="10" t="s">
        <v>1668</v>
      </c>
    </row>
    <row r="21" spans="1:2" ht="31.5">
      <c r="A21" s="16">
        <v>9</v>
      </c>
      <c r="B21" s="10" t="s">
        <v>1634</v>
      </c>
    </row>
    <row r="22" spans="1:2">
      <c r="A22" s="16">
        <v>10</v>
      </c>
      <c r="B22" s="13" t="s">
        <v>1610</v>
      </c>
    </row>
    <row r="23" spans="1:2">
      <c r="A23" s="16">
        <v>11</v>
      </c>
      <c r="B23" s="13" t="s">
        <v>1611</v>
      </c>
    </row>
    <row r="24" spans="1:2" ht="31.5">
      <c r="A24" s="16">
        <v>12</v>
      </c>
      <c r="B24" s="9" t="s">
        <v>1609</v>
      </c>
    </row>
    <row r="25" spans="1:2">
      <c r="A25" s="16">
        <v>13</v>
      </c>
      <c r="B25" s="14" t="s">
        <v>1612</v>
      </c>
    </row>
    <row r="26" spans="1:2" ht="47.25">
      <c r="A26" s="16">
        <v>14</v>
      </c>
      <c r="B26" s="10" t="s">
        <v>1669</v>
      </c>
    </row>
    <row r="27" spans="1:2" ht="47.25">
      <c r="A27" s="16">
        <v>15</v>
      </c>
      <c r="B27" s="10" t="s">
        <v>1613</v>
      </c>
    </row>
    <row r="28" spans="1:2" ht="78.75">
      <c r="A28" s="16">
        <v>16</v>
      </c>
      <c r="B28" s="10" t="s">
        <v>1614</v>
      </c>
    </row>
    <row r="29" spans="1:2" ht="63">
      <c r="A29" s="16">
        <v>17</v>
      </c>
      <c r="B29" s="10" t="s">
        <v>1670</v>
      </c>
    </row>
    <row r="30" spans="1:2" ht="63">
      <c r="A30" s="16">
        <v>18</v>
      </c>
      <c r="B30" s="10" t="s">
        <v>1615</v>
      </c>
    </row>
    <row r="31" spans="1:2" ht="63">
      <c r="A31" s="16">
        <v>19</v>
      </c>
      <c r="B31" s="10" t="s">
        <v>1616</v>
      </c>
    </row>
    <row r="32" spans="1:2" ht="47.25">
      <c r="A32" s="16">
        <v>20</v>
      </c>
      <c r="B32" s="10" t="s">
        <v>1671</v>
      </c>
    </row>
    <row r="33" spans="1:2" ht="47.25">
      <c r="A33" s="16">
        <v>21</v>
      </c>
      <c r="B33" s="10" t="s">
        <v>1680</v>
      </c>
    </row>
    <row r="34" spans="1:2" ht="31.5">
      <c r="A34" s="16">
        <v>22</v>
      </c>
      <c r="B34" s="10" t="s">
        <v>1617</v>
      </c>
    </row>
    <row r="35" spans="1:2" ht="47.25">
      <c r="A35" s="16">
        <v>23</v>
      </c>
      <c r="B35" s="10" t="s">
        <v>1618</v>
      </c>
    </row>
    <row r="36" spans="1:2" ht="47.25">
      <c r="A36" s="16">
        <v>24</v>
      </c>
      <c r="B36" s="10" t="s">
        <v>1619</v>
      </c>
    </row>
    <row r="37" spans="1:2" ht="30.75" customHeight="1">
      <c r="A37" s="16">
        <v>25</v>
      </c>
      <c r="B37" s="10" t="s">
        <v>1620</v>
      </c>
    </row>
    <row r="38" spans="1:2" ht="47.25">
      <c r="A38" s="16">
        <v>26</v>
      </c>
      <c r="B38" s="10" t="s">
        <v>1621</v>
      </c>
    </row>
    <row r="39" spans="1:2" ht="47.25">
      <c r="A39" s="16">
        <v>27</v>
      </c>
      <c r="B39" s="10" t="s">
        <v>1622</v>
      </c>
    </row>
    <row r="40" spans="1:2" ht="47.25">
      <c r="A40" s="16">
        <v>28</v>
      </c>
      <c r="B40" s="10" t="s">
        <v>1623</v>
      </c>
    </row>
    <row r="41" spans="1:2" ht="47.25">
      <c r="A41" s="16">
        <v>29</v>
      </c>
      <c r="B41" s="10" t="s">
        <v>1624</v>
      </c>
    </row>
    <row r="42" spans="1:2" ht="47.25">
      <c r="A42" s="16">
        <v>30</v>
      </c>
      <c r="B42" s="10" t="s">
        <v>1625</v>
      </c>
    </row>
    <row r="43" spans="1:2" ht="47.25">
      <c r="A43" s="16">
        <v>31</v>
      </c>
      <c r="B43" s="10" t="s">
        <v>1625</v>
      </c>
    </row>
    <row r="44" spans="1:2">
      <c r="A44" s="16">
        <v>32</v>
      </c>
      <c r="B44" s="10" t="s">
        <v>1626</v>
      </c>
    </row>
    <row r="45" spans="1:2" ht="31.5">
      <c r="A45" s="16">
        <v>33</v>
      </c>
      <c r="B45" s="10" t="s">
        <v>1627</v>
      </c>
    </row>
    <row r="46" spans="1:2" ht="141.75">
      <c r="A46" s="16">
        <v>34</v>
      </c>
      <c r="B46" s="10" t="s">
        <v>1628</v>
      </c>
    </row>
    <row r="47" spans="1:2" ht="267.75">
      <c r="A47" s="16">
        <v>35</v>
      </c>
      <c r="B47" s="12" t="s">
        <v>1672</v>
      </c>
    </row>
    <row r="48" spans="1:2" ht="63">
      <c r="A48" s="16">
        <v>36</v>
      </c>
      <c r="B48" s="10" t="s">
        <v>1629</v>
      </c>
    </row>
    <row r="49" spans="1:2" ht="94.5">
      <c r="A49" s="16">
        <v>37</v>
      </c>
      <c r="B49" s="10" t="s">
        <v>1630</v>
      </c>
    </row>
    <row r="50" spans="1:2">
      <c r="A50" s="16">
        <v>38</v>
      </c>
      <c r="B50" s="10" t="s">
        <v>1631</v>
      </c>
    </row>
    <row r="51" spans="1:2" ht="47.25">
      <c r="A51" s="16">
        <v>39</v>
      </c>
      <c r="B51" s="10" t="s">
        <v>1632</v>
      </c>
    </row>
    <row r="52" spans="1:2">
      <c r="A52" s="16">
        <v>40</v>
      </c>
      <c r="B52" s="10" t="s">
        <v>1633</v>
      </c>
    </row>
    <row r="53" spans="1:2" ht="93.75" customHeight="1">
      <c r="A53" s="16">
        <v>41</v>
      </c>
      <c r="B53" s="12" t="s">
        <v>1653</v>
      </c>
    </row>
    <row r="54" spans="1:2" ht="47.25">
      <c r="A54" s="16">
        <v>42</v>
      </c>
      <c r="B54" s="12" t="s">
        <v>1635</v>
      </c>
    </row>
    <row r="55" spans="1:2" ht="47.25">
      <c r="A55" s="16">
        <v>43</v>
      </c>
      <c r="B55" s="12" t="s">
        <v>1654</v>
      </c>
    </row>
    <row r="56" spans="1:2" ht="47.25">
      <c r="A56" s="16">
        <v>44</v>
      </c>
      <c r="B56" s="12" t="s">
        <v>1655</v>
      </c>
    </row>
    <row r="57" spans="1:2" ht="31.5">
      <c r="A57" s="16">
        <v>45</v>
      </c>
      <c r="B57" s="10" t="s">
        <v>1636</v>
      </c>
    </row>
    <row r="58" spans="1:2" ht="31.5">
      <c r="A58" s="16">
        <v>46</v>
      </c>
      <c r="B58" s="10" t="s">
        <v>1636</v>
      </c>
    </row>
    <row r="59" spans="1:2" ht="47.25">
      <c r="A59" s="16">
        <v>47</v>
      </c>
      <c r="B59" s="12" t="s">
        <v>1656</v>
      </c>
    </row>
    <row r="60" spans="1:2" ht="31.5">
      <c r="A60" s="16">
        <v>48</v>
      </c>
      <c r="B60" s="12" t="s">
        <v>1637</v>
      </c>
    </row>
    <row r="61" spans="1:2" ht="31.5">
      <c r="A61" s="16">
        <v>49</v>
      </c>
      <c r="B61" s="12" t="s">
        <v>1657</v>
      </c>
    </row>
    <row r="62" spans="1:2" ht="94.5">
      <c r="A62" s="16">
        <v>50</v>
      </c>
      <c r="B62" s="12" t="s">
        <v>1658</v>
      </c>
    </row>
    <row r="63" spans="1:2" ht="47.25">
      <c r="A63" s="16">
        <v>51</v>
      </c>
      <c r="B63" s="10" t="s">
        <v>1640</v>
      </c>
    </row>
    <row r="64" spans="1:2">
      <c r="A64" s="16">
        <v>52</v>
      </c>
      <c r="B64" s="10" t="s">
        <v>1679</v>
      </c>
    </row>
    <row r="65" spans="1:2">
      <c r="A65" s="16">
        <v>53</v>
      </c>
      <c r="B65" s="10" t="s">
        <v>1659</v>
      </c>
    </row>
    <row r="66" spans="1:2">
      <c r="A66" s="16">
        <v>54</v>
      </c>
      <c r="B66" s="10" t="s">
        <v>1660</v>
      </c>
    </row>
    <row r="67" spans="1:2">
      <c r="B67" s="10"/>
    </row>
    <row r="68" spans="1:2">
      <c r="B68" s="10"/>
    </row>
    <row r="69" spans="1:2">
      <c r="B69" s="10"/>
    </row>
    <row r="70" spans="1:2">
      <c r="B70" s="10"/>
    </row>
    <row r="71" spans="1:2">
      <c r="B71" s="10"/>
    </row>
    <row r="72" spans="1:2">
      <c r="B72" s="10"/>
    </row>
    <row r="73" spans="1:2">
      <c r="B73" s="10"/>
    </row>
    <row r="74" spans="1:2">
      <c r="B74" s="10"/>
    </row>
    <row r="75" spans="1:2">
      <c r="B75" s="10"/>
    </row>
    <row r="76" spans="1:2">
      <c r="B76" s="10"/>
    </row>
    <row r="77" spans="1:2">
      <c r="B77" s="10"/>
    </row>
    <row r="78" spans="1:2">
      <c r="B78" s="10"/>
    </row>
    <row r="79" spans="1:2">
      <c r="B79" s="10"/>
    </row>
  </sheetData>
  <mergeCells count="3">
    <mergeCell ref="A1:B1"/>
    <mergeCell ref="A2:B2"/>
    <mergeCell ref="A3:B3"/>
  </mergeCells>
  <pageMargins left="0.7" right="0.7" top="0.75" bottom="0.75" header="0.3" footer="0.3"/>
  <pageSetup scale="70" firstPageNumber="4" fitToHeight="0" orientation="portrait" useFirstPageNumber="1" r:id="rId1"/>
  <headerFooter scaleWithDoc="0" alignWithMargins="0">
    <oddHeader>&amp;RDocket No. UG-17_____
Exhibit _____ (MPP-6)
Page &amp;P of 7</oddHeader>
  </headerFooter>
  <rowBreaks count="3" manualBreakCount="3">
    <brk id="23" max="16383" man="1"/>
    <brk id="39" max="16383" man="1"/>
    <brk id="48" max="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I14"/>
  <sheetViews>
    <sheetView workbookViewId="0">
      <selection activeCell="K11" sqref="K11"/>
    </sheetView>
  </sheetViews>
  <sheetFormatPr defaultRowHeight="15.75"/>
  <cols>
    <col min="1" max="16384" width="9.140625" style="6"/>
  </cols>
  <sheetData>
    <row r="2" spans="1:9">
      <c r="A2" s="1025" t="s">
        <v>61</v>
      </c>
      <c r="B2" s="1025"/>
      <c r="C2" s="1025"/>
      <c r="D2" s="1025"/>
      <c r="E2" s="1025"/>
      <c r="F2" s="1025"/>
      <c r="G2" s="1025"/>
      <c r="H2" s="1025"/>
      <c r="I2" s="1025"/>
    </row>
    <row r="3" spans="1:9">
      <c r="A3" s="1025" t="s">
        <v>1690</v>
      </c>
      <c r="B3" s="1025"/>
      <c r="C3" s="1025"/>
      <c r="D3" s="1025"/>
      <c r="E3" s="1025"/>
      <c r="F3" s="1025"/>
      <c r="G3" s="1025"/>
      <c r="H3" s="1025"/>
      <c r="I3" s="1025"/>
    </row>
    <row r="4" spans="1:9">
      <c r="A4" s="1025" t="s">
        <v>1693</v>
      </c>
      <c r="B4" s="1025"/>
      <c r="C4" s="1025"/>
      <c r="D4" s="1025"/>
      <c r="E4" s="1025"/>
      <c r="F4" s="1025"/>
      <c r="G4" s="1025"/>
      <c r="H4" s="1025"/>
      <c r="I4" s="1025"/>
    </row>
    <row r="5" spans="1:9">
      <c r="A5" s="1025"/>
      <c r="B5" s="1025"/>
      <c r="C5" s="1025"/>
      <c r="D5" s="1025"/>
      <c r="E5" s="1025"/>
      <c r="F5" s="1025"/>
      <c r="G5" s="1025"/>
      <c r="H5" s="1025"/>
      <c r="I5" s="1025"/>
    </row>
    <row r="6" spans="1:9">
      <c r="A6" s="1025"/>
      <c r="B6" s="1025"/>
      <c r="C6" s="1025"/>
      <c r="D6" s="1025"/>
      <c r="E6" s="1025"/>
      <c r="F6" s="1025"/>
      <c r="G6" s="1025"/>
      <c r="H6" s="1025"/>
      <c r="I6" s="1025"/>
    </row>
    <row r="11" spans="1:9">
      <c r="G11" s="19"/>
    </row>
    <row r="14" spans="1:9">
      <c r="A14" s="1032" t="s">
        <v>1713</v>
      </c>
      <c r="B14" s="1032"/>
      <c r="C14" s="1032"/>
      <c r="D14" s="1032"/>
      <c r="E14" s="1032"/>
      <c r="F14" s="1032"/>
      <c r="G14" s="1032"/>
      <c r="H14" s="1032"/>
      <c r="I14" s="1032"/>
    </row>
  </sheetData>
  <mergeCells count="6">
    <mergeCell ref="A14:I14"/>
    <mergeCell ref="A2:I2"/>
    <mergeCell ref="A3:I3"/>
    <mergeCell ref="A4:I4"/>
    <mergeCell ref="A5:I5"/>
    <mergeCell ref="A6:I6"/>
  </mergeCells>
  <pageMargins left="0.7" right="0.7" top="0.75" bottom="0.75" header="0.3" footer="0.3"/>
  <pageSetup orientation="portrait" r:id="rId1"/>
  <headerFooter>
    <oddFooter>&amp;LElectronic Tab Name:&amp;A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42"/>
  <sheetViews>
    <sheetView view="pageBreakPreview" topLeftCell="A9" zoomScaleNormal="100" zoomScaleSheetLayoutView="100" workbookViewId="0">
      <selection activeCell="J20" sqref="J20"/>
    </sheetView>
  </sheetViews>
  <sheetFormatPr defaultRowHeight="15.75"/>
  <cols>
    <col min="1" max="1" width="13" style="6" bestFit="1" customWidth="1"/>
    <col min="2" max="2" width="43.140625" style="6" bestFit="1" customWidth="1"/>
    <col min="3" max="3" width="8.85546875" style="6" customWidth="1"/>
    <col min="4" max="4" width="14.5703125" style="6" bestFit="1" customWidth="1"/>
    <col min="5" max="5" width="4" style="6" customWidth="1"/>
    <col min="6" max="6" width="9.140625" style="561"/>
    <col min="7" max="7" width="9.140625" style="6"/>
    <col min="8" max="8" width="8.140625" style="6" bestFit="1" customWidth="1"/>
    <col min="9" max="16384" width="9.140625" style="6"/>
  </cols>
  <sheetData>
    <row r="1" spans="1:10">
      <c r="A1" s="37"/>
      <c r="B1" s="37"/>
      <c r="C1" s="37"/>
      <c r="D1" s="37"/>
      <c r="E1" s="37"/>
    </row>
    <row r="2" spans="1:10">
      <c r="A2" s="1025" t="s">
        <v>61</v>
      </c>
      <c r="B2" s="1025"/>
      <c r="C2" s="1025"/>
      <c r="D2" s="1025"/>
      <c r="E2" s="1025"/>
      <c r="F2" s="1025"/>
      <c r="G2" s="5"/>
      <c r="H2" s="5"/>
    </row>
    <row r="3" spans="1:10">
      <c r="A3" s="1025" t="s">
        <v>1690</v>
      </c>
      <c r="B3" s="1025"/>
      <c r="C3" s="1025"/>
      <c r="D3" s="1025"/>
      <c r="E3" s="1025"/>
      <c r="F3" s="1025"/>
      <c r="G3" s="5"/>
      <c r="H3" s="5"/>
    </row>
    <row r="4" spans="1:10">
      <c r="A4" s="1025" t="s">
        <v>1691</v>
      </c>
      <c r="B4" s="1025"/>
      <c r="C4" s="1025"/>
      <c r="D4" s="1025"/>
      <c r="E4" s="1025"/>
      <c r="F4" s="1025"/>
      <c r="G4" s="5"/>
      <c r="H4" s="5"/>
    </row>
    <row r="5" spans="1:10">
      <c r="A5" s="1025" t="s">
        <v>1692</v>
      </c>
      <c r="B5" s="1025"/>
      <c r="C5" s="1025"/>
      <c r="D5" s="1025"/>
      <c r="E5" s="1025"/>
      <c r="F5" s="1025"/>
      <c r="G5" s="5"/>
      <c r="H5" s="5"/>
    </row>
    <row r="6" spans="1:10">
      <c r="A6" s="1025" t="s">
        <v>985</v>
      </c>
      <c r="B6" s="1025"/>
      <c r="C6" s="1025"/>
      <c r="D6" s="1025"/>
      <c r="E6" s="1025"/>
      <c r="F6" s="1025"/>
      <c r="G6" s="5"/>
      <c r="H6" s="5"/>
    </row>
    <row r="7" spans="1:10">
      <c r="B7" s="34"/>
      <c r="C7" s="34"/>
      <c r="D7" s="34"/>
      <c r="E7" s="34"/>
      <c r="F7" s="38"/>
      <c r="G7" s="5"/>
      <c r="H7" s="5"/>
    </row>
    <row r="8" spans="1:10">
      <c r="B8" s="8" t="s">
        <v>1728</v>
      </c>
      <c r="C8" s="8"/>
      <c r="D8" s="8" t="s">
        <v>1729</v>
      </c>
      <c r="E8" s="8"/>
      <c r="F8" s="561" t="s">
        <v>1730</v>
      </c>
    </row>
    <row r="9" spans="1:10">
      <c r="B9" s="35"/>
      <c r="C9" s="35"/>
      <c r="D9" s="35"/>
      <c r="E9" s="35"/>
      <c r="F9" s="897"/>
    </row>
    <row r="10" spans="1:10">
      <c r="A10" s="31" t="s">
        <v>1727</v>
      </c>
      <c r="B10" s="27" t="s">
        <v>2062</v>
      </c>
      <c r="D10" s="27" t="s">
        <v>1695</v>
      </c>
      <c r="E10" s="27"/>
      <c r="F10" s="898" t="s">
        <v>1694</v>
      </c>
      <c r="G10" s="27"/>
    </row>
    <row r="11" spans="1:10">
      <c r="A11" s="31"/>
      <c r="B11" s="8" t="s">
        <v>2159</v>
      </c>
      <c r="D11" s="27"/>
      <c r="E11" s="27"/>
      <c r="F11" s="898"/>
      <c r="G11" s="27"/>
    </row>
    <row r="12" spans="1:10">
      <c r="A12" s="8">
        <v>1</v>
      </c>
      <c r="B12" s="6" t="s">
        <v>1692</v>
      </c>
      <c r="D12" s="6" t="s">
        <v>1691</v>
      </c>
      <c r="F12" s="561">
        <v>1</v>
      </c>
    </row>
    <row r="13" spans="1:10">
      <c r="A13" s="8">
        <f>A12+1</f>
        <v>2</v>
      </c>
      <c r="B13" s="6" t="s">
        <v>1367</v>
      </c>
      <c r="D13" s="6" t="s">
        <v>1696</v>
      </c>
      <c r="F13" s="899" t="s">
        <v>2066</v>
      </c>
    </row>
    <row r="14" spans="1:10">
      <c r="A14" s="8">
        <f t="shared" ref="A14:A32" si="0">A13+1</f>
        <v>3</v>
      </c>
      <c r="B14" s="6" t="s">
        <v>42</v>
      </c>
      <c r="D14" s="6" t="s">
        <v>1697</v>
      </c>
      <c r="F14" s="561">
        <v>18</v>
      </c>
    </row>
    <row r="15" spans="1:10">
      <c r="A15" s="8">
        <f t="shared" si="0"/>
        <v>4</v>
      </c>
      <c r="B15" s="6" t="s">
        <v>2041</v>
      </c>
      <c r="D15" s="6" t="s">
        <v>1698</v>
      </c>
      <c r="F15" s="561" t="s">
        <v>2067</v>
      </c>
    </row>
    <row r="16" spans="1:10">
      <c r="A16" s="8">
        <f t="shared" si="0"/>
        <v>5</v>
      </c>
      <c r="B16" s="6" t="s">
        <v>2061</v>
      </c>
      <c r="C16" s="29"/>
      <c r="D16" s="6" t="s">
        <v>1699</v>
      </c>
      <c r="E16" s="29"/>
      <c r="F16" s="900" t="s">
        <v>2068</v>
      </c>
      <c r="G16" s="29"/>
      <c r="H16" s="29"/>
      <c r="I16" s="29"/>
      <c r="J16" s="29"/>
    </row>
    <row r="17" spans="1:6">
      <c r="A17" s="8">
        <f t="shared" si="0"/>
        <v>6</v>
      </c>
      <c r="B17" s="28" t="s">
        <v>1673</v>
      </c>
      <c r="D17" s="6" t="s">
        <v>1700</v>
      </c>
      <c r="F17" s="561">
        <v>44</v>
      </c>
    </row>
    <row r="18" spans="1:6">
      <c r="A18" s="8">
        <f t="shared" si="0"/>
        <v>7</v>
      </c>
      <c r="B18" s="29" t="s">
        <v>979</v>
      </c>
      <c r="D18" s="6" t="s">
        <v>1701</v>
      </c>
      <c r="F18" s="561">
        <v>45</v>
      </c>
    </row>
    <row r="19" spans="1:6">
      <c r="A19" s="8">
        <f t="shared" si="0"/>
        <v>8</v>
      </c>
      <c r="B19" s="29" t="s">
        <v>2123</v>
      </c>
      <c r="D19" s="6" t="s">
        <v>1702</v>
      </c>
      <c r="F19" s="561">
        <v>46</v>
      </c>
    </row>
    <row r="20" spans="1:6">
      <c r="A20" s="8"/>
      <c r="B20" s="8" t="s">
        <v>1714</v>
      </c>
    </row>
    <row r="21" spans="1:6">
      <c r="A21" s="8">
        <v>9</v>
      </c>
      <c r="B21" s="6" t="s">
        <v>1715</v>
      </c>
      <c r="D21" s="6" t="s">
        <v>1703</v>
      </c>
      <c r="F21" s="561">
        <v>48</v>
      </c>
    </row>
    <row r="22" spans="1:6">
      <c r="A22" s="8">
        <f t="shared" si="0"/>
        <v>10</v>
      </c>
      <c r="B22" s="6" t="s">
        <v>1720</v>
      </c>
      <c r="D22" s="6" t="s">
        <v>1704</v>
      </c>
      <c r="F22" s="561" t="s">
        <v>2166</v>
      </c>
    </row>
    <row r="23" spans="1:6">
      <c r="A23" s="8">
        <f t="shared" si="0"/>
        <v>11</v>
      </c>
      <c r="B23" s="6" t="s">
        <v>1716</v>
      </c>
      <c r="D23" s="6" t="s">
        <v>1705</v>
      </c>
      <c r="F23" s="561" t="s">
        <v>2165</v>
      </c>
    </row>
    <row r="24" spans="1:6">
      <c r="A24" s="8">
        <f t="shared" si="0"/>
        <v>12</v>
      </c>
      <c r="B24" s="6" t="s">
        <v>1126</v>
      </c>
      <c r="D24" s="6" t="s">
        <v>1706</v>
      </c>
      <c r="F24" s="561">
        <v>53</v>
      </c>
    </row>
    <row r="25" spans="1:6">
      <c r="A25" s="8">
        <f t="shared" si="0"/>
        <v>13</v>
      </c>
      <c r="B25" s="6" t="s">
        <v>87</v>
      </c>
      <c r="D25" s="6" t="s">
        <v>1707</v>
      </c>
      <c r="F25" s="561">
        <v>54</v>
      </c>
    </row>
    <row r="26" spans="1:6">
      <c r="A26" s="8">
        <f t="shared" si="0"/>
        <v>14</v>
      </c>
      <c r="B26" s="6" t="s">
        <v>980</v>
      </c>
      <c r="D26" s="6" t="s">
        <v>1708</v>
      </c>
      <c r="F26" s="561" t="s">
        <v>2164</v>
      </c>
    </row>
    <row r="27" spans="1:6">
      <c r="A27" s="8">
        <f t="shared" si="0"/>
        <v>15</v>
      </c>
      <c r="B27" s="6" t="s">
        <v>981</v>
      </c>
      <c r="D27" s="6" t="s">
        <v>1709</v>
      </c>
      <c r="F27" s="561">
        <v>58</v>
      </c>
    </row>
    <row r="28" spans="1:6">
      <c r="A28" s="8">
        <f t="shared" si="0"/>
        <v>16</v>
      </c>
      <c r="B28" s="6" t="s">
        <v>982</v>
      </c>
      <c r="D28" s="6" t="s">
        <v>1710</v>
      </c>
      <c r="F28" s="561">
        <v>59</v>
      </c>
    </row>
    <row r="29" spans="1:6">
      <c r="A29" s="8">
        <f t="shared" si="0"/>
        <v>17</v>
      </c>
      <c r="B29" s="6" t="s">
        <v>1717</v>
      </c>
      <c r="D29" s="6" t="s">
        <v>1711</v>
      </c>
      <c r="F29" s="561">
        <v>60</v>
      </c>
    </row>
    <row r="30" spans="1:6">
      <c r="A30" s="8">
        <f t="shared" si="0"/>
        <v>18</v>
      </c>
      <c r="B30" s="6" t="s">
        <v>1025</v>
      </c>
      <c r="D30" s="6" t="s">
        <v>1721</v>
      </c>
      <c r="F30" s="561">
        <v>61</v>
      </c>
    </row>
    <row r="31" spans="1:6">
      <c r="A31" s="8">
        <f t="shared" si="0"/>
        <v>19</v>
      </c>
      <c r="B31" s="6" t="s">
        <v>1026</v>
      </c>
      <c r="D31" s="6" t="s">
        <v>1722</v>
      </c>
      <c r="F31" s="561">
        <v>62</v>
      </c>
    </row>
    <row r="32" spans="1:6">
      <c r="A32" s="8">
        <f t="shared" si="0"/>
        <v>20</v>
      </c>
      <c r="B32" s="6" t="s">
        <v>1718</v>
      </c>
      <c r="D32" s="6" t="s">
        <v>1723</v>
      </c>
      <c r="F32" s="561">
        <v>63</v>
      </c>
    </row>
    <row r="33" spans="1:6">
      <c r="A33" s="8">
        <v>21</v>
      </c>
      <c r="B33" s="6" t="s">
        <v>1719</v>
      </c>
      <c r="D33" s="6" t="s">
        <v>2042</v>
      </c>
      <c r="F33" s="561" t="s">
        <v>2163</v>
      </c>
    </row>
    <row r="34" spans="1:6">
      <c r="A34" s="8">
        <v>22</v>
      </c>
      <c r="B34" s="6" t="s">
        <v>983</v>
      </c>
      <c r="D34" s="6" t="s">
        <v>2043</v>
      </c>
      <c r="F34" s="561">
        <v>70</v>
      </c>
    </row>
    <row r="35" spans="1:6">
      <c r="A35" s="8">
        <v>23</v>
      </c>
      <c r="B35" s="6" t="s">
        <v>1986</v>
      </c>
      <c r="D35" s="6" t="s">
        <v>2161</v>
      </c>
      <c r="F35" s="561" t="s">
        <v>2162</v>
      </c>
    </row>
    <row r="42" spans="1:6">
      <c r="B42" s="6" t="s">
        <v>1724</v>
      </c>
    </row>
  </sheetData>
  <mergeCells count="5">
    <mergeCell ref="A2:F2"/>
    <mergeCell ref="A3:F3"/>
    <mergeCell ref="A4:F4"/>
    <mergeCell ref="A5:F5"/>
    <mergeCell ref="A6:F6"/>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187"/>
  <sheetViews>
    <sheetView view="pageBreakPreview" zoomScaleNormal="100" zoomScaleSheetLayoutView="100" workbookViewId="0">
      <selection activeCell="A3" sqref="A3:H3"/>
    </sheetView>
  </sheetViews>
  <sheetFormatPr defaultRowHeight="15.75"/>
  <cols>
    <col min="1" max="1" width="9.28515625" style="35" bestFit="1" customWidth="1"/>
    <col min="2" max="2" width="9.28515625" style="6" bestFit="1" customWidth="1"/>
    <col min="3" max="3" width="44.28515625" style="6" customWidth="1"/>
    <col min="4" max="4" width="2.7109375" style="6" customWidth="1"/>
    <col min="5" max="5" width="17.140625" style="6" bestFit="1" customWidth="1"/>
    <col min="6" max="6" width="16.42578125" style="6" bestFit="1" customWidth="1"/>
    <col min="7" max="7" width="16.85546875" style="6" bestFit="1" customWidth="1"/>
    <col min="8" max="8" width="14.140625" style="6" customWidth="1"/>
    <col min="9" max="9" width="15.7109375" style="91" bestFit="1" customWidth="1"/>
    <col min="10" max="10" width="12.28515625" style="91" bestFit="1" customWidth="1"/>
    <col min="11" max="11" width="14.5703125" style="311" bestFit="1" customWidth="1"/>
    <col min="12" max="13" width="13.85546875" style="91" bestFit="1" customWidth="1"/>
    <col min="14" max="15" width="13.5703125" style="91" bestFit="1" customWidth="1"/>
    <col min="16" max="16" width="13.85546875" style="91" bestFit="1" customWidth="1"/>
    <col min="17" max="17" width="13.7109375" style="91" customWidth="1"/>
    <col min="18" max="18" width="15.42578125" style="310" bestFit="1" customWidth="1"/>
    <col min="19" max="19" width="13.5703125" style="91" bestFit="1" customWidth="1"/>
    <col min="20" max="20" width="13" style="91" customWidth="1"/>
    <col min="21" max="21" width="14.5703125" style="91" bestFit="1" customWidth="1"/>
    <col min="22" max="23" width="2.140625" style="6" customWidth="1"/>
    <col min="24" max="24" width="15.7109375" style="6" bestFit="1" customWidth="1"/>
    <col min="25" max="25" width="17" style="6" bestFit="1" customWidth="1"/>
    <col min="26" max="16384" width="9.140625" style="6"/>
  </cols>
  <sheetData>
    <row r="1" spans="1:25">
      <c r="C1" s="1025" t="s">
        <v>61</v>
      </c>
      <c r="D1" s="1025"/>
      <c r="E1" s="1025"/>
      <c r="F1" s="1025"/>
      <c r="G1" s="1025"/>
      <c r="K1" s="1025" t="s">
        <v>61</v>
      </c>
      <c r="L1" s="1025"/>
      <c r="M1" s="1025"/>
      <c r="N1" s="1025"/>
      <c r="O1" s="1025"/>
      <c r="S1" s="1025" t="s">
        <v>61</v>
      </c>
      <c r="T1" s="1025"/>
      <c r="U1" s="1025"/>
      <c r="V1" s="1025"/>
      <c r="W1" s="1025"/>
    </row>
    <row r="2" spans="1:25">
      <c r="C2" s="1025" t="s">
        <v>1690</v>
      </c>
      <c r="D2" s="1025"/>
      <c r="E2" s="1025"/>
      <c r="F2" s="1025"/>
      <c r="G2" s="1025"/>
      <c r="K2" s="1025" t="s">
        <v>1690</v>
      </c>
      <c r="L2" s="1025"/>
      <c r="M2" s="1025"/>
      <c r="N2" s="1025"/>
      <c r="O2" s="1025"/>
      <c r="S2" s="1025" t="s">
        <v>1690</v>
      </c>
      <c r="T2" s="1025"/>
      <c r="U2" s="1025"/>
      <c r="V2" s="1025"/>
      <c r="W2" s="1025"/>
    </row>
    <row r="3" spans="1:25">
      <c r="C3" s="1025" t="s">
        <v>1696</v>
      </c>
      <c r="D3" s="1025"/>
      <c r="E3" s="1025"/>
      <c r="F3" s="1025"/>
      <c r="G3" s="1025"/>
      <c r="K3" s="1025" t="s">
        <v>1696</v>
      </c>
      <c r="L3" s="1025"/>
      <c r="M3" s="1025"/>
      <c r="N3" s="1025"/>
      <c r="O3" s="1025"/>
      <c r="S3" s="1025" t="s">
        <v>1696</v>
      </c>
      <c r="T3" s="1025"/>
      <c r="U3" s="1025"/>
      <c r="V3" s="1025"/>
      <c r="W3" s="1025"/>
    </row>
    <row r="4" spans="1:25">
      <c r="C4" s="1025" t="s">
        <v>2128</v>
      </c>
      <c r="D4" s="1025"/>
      <c r="E4" s="1025"/>
      <c r="F4" s="1025"/>
      <c r="G4" s="1025"/>
      <c r="K4" s="1025" t="s">
        <v>1367</v>
      </c>
      <c r="L4" s="1025"/>
      <c r="M4" s="1025"/>
      <c r="N4" s="1025"/>
      <c r="O4" s="1025"/>
      <c r="S4" s="1025" t="s">
        <v>1367</v>
      </c>
      <c r="T4" s="1025"/>
      <c r="U4" s="1025"/>
      <c r="V4" s="1025"/>
      <c r="W4" s="1025"/>
    </row>
    <row r="5" spans="1:25">
      <c r="C5" s="1025" t="s">
        <v>985</v>
      </c>
      <c r="D5" s="1025"/>
      <c r="E5" s="1025"/>
      <c r="F5" s="1025"/>
      <c r="G5" s="1025"/>
      <c r="K5" s="1025" t="s">
        <v>985</v>
      </c>
      <c r="L5" s="1025"/>
      <c r="M5" s="1025"/>
      <c r="N5" s="1025"/>
      <c r="O5" s="1025"/>
      <c r="S5" s="1025" t="s">
        <v>985</v>
      </c>
      <c r="T5" s="1025"/>
      <c r="U5" s="1025"/>
      <c r="V5" s="1025"/>
      <c r="W5" s="1025"/>
    </row>
    <row r="7" spans="1:25" s="35" customFormat="1">
      <c r="A7" s="35" t="s">
        <v>2025</v>
      </c>
      <c r="B7" s="35" t="s">
        <v>1731</v>
      </c>
      <c r="C7" s="35" t="s">
        <v>1729</v>
      </c>
      <c r="E7" s="35" t="s">
        <v>1730</v>
      </c>
      <c r="F7" s="35" t="s">
        <v>1733</v>
      </c>
      <c r="G7" s="35" t="s">
        <v>1734</v>
      </c>
      <c r="H7" s="35" t="s">
        <v>1743</v>
      </c>
      <c r="I7" s="312" t="s">
        <v>1744</v>
      </c>
      <c r="J7" s="312" t="s">
        <v>1745</v>
      </c>
      <c r="K7" s="313" t="s">
        <v>1746</v>
      </c>
      <c r="L7" s="312" t="s">
        <v>1747</v>
      </c>
      <c r="M7" s="312" t="s">
        <v>1748</v>
      </c>
      <c r="N7" s="312" t="s">
        <v>1749</v>
      </c>
      <c r="O7" s="312" t="s">
        <v>1750</v>
      </c>
      <c r="P7" s="312" t="s">
        <v>1751</v>
      </c>
      <c r="Q7" s="312" t="s">
        <v>1752</v>
      </c>
      <c r="R7" s="314" t="s">
        <v>2026</v>
      </c>
      <c r="S7" s="312" t="s">
        <v>2027</v>
      </c>
      <c r="T7" s="312" t="s">
        <v>2028</v>
      </c>
      <c r="U7" s="312" t="s">
        <v>2029</v>
      </c>
      <c r="X7" s="312" t="s">
        <v>2030</v>
      </c>
      <c r="Y7" s="312" t="s">
        <v>2031</v>
      </c>
    </row>
    <row r="8" spans="1:25" ht="31.5">
      <c r="A8" s="35">
        <v>1</v>
      </c>
      <c r="B8" s="309" t="s">
        <v>1367</v>
      </c>
      <c r="C8" s="315"/>
      <c r="D8" s="316"/>
      <c r="E8" s="317"/>
      <c r="F8" s="318" t="s">
        <v>121</v>
      </c>
      <c r="G8" s="318" t="s">
        <v>122</v>
      </c>
      <c r="H8" s="318" t="s">
        <v>123</v>
      </c>
    </row>
    <row r="9" spans="1:25">
      <c r="A9" s="35">
        <v>2</v>
      </c>
      <c r="B9" s="143" t="s">
        <v>986</v>
      </c>
      <c r="C9" s="141"/>
      <c r="D9" s="316"/>
      <c r="E9" s="319" t="s">
        <v>124</v>
      </c>
      <c r="F9" s="320">
        <f>+'State Allocation Formulas'!C21</f>
        <v>0.75280000000000002</v>
      </c>
      <c r="G9" s="321">
        <f>+'State Allocation Formulas'!C16</f>
        <v>0.74880000000000002</v>
      </c>
      <c r="H9" s="321">
        <f>+'State Allocation Formulas'!T21</f>
        <v>0.76549999999999996</v>
      </c>
    </row>
    <row r="10" spans="1:25">
      <c r="A10" s="35">
        <v>3</v>
      </c>
      <c r="B10" s="143"/>
      <c r="C10" s="141"/>
      <c r="D10" s="316"/>
      <c r="E10" s="319" t="s">
        <v>125</v>
      </c>
      <c r="F10" s="320">
        <f>+'State Allocation Formulas'!D21</f>
        <v>0.2472</v>
      </c>
      <c r="G10" s="321">
        <f>+'State Allocation Formulas'!D16</f>
        <v>0.25119999999999998</v>
      </c>
      <c r="H10" s="321">
        <f>+'State Allocation Formulas'!T22</f>
        <v>0.23450000000000004</v>
      </c>
      <c r="I10" s="322" t="s">
        <v>889</v>
      </c>
      <c r="J10" s="322" t="s">
        <v>62</v>
      </c>
      <c r="K10" s="323" t="s">
        <v>973</v>
      </c>
      <c r="L10" s="322" t="s">
        <v>1123</v>
      </c>
      <c r="M10" s="322" t="s">
        <v>64</v>
      </c>
      <c r="N10" s="322" t="s">
        <v>930</v>
      </c>
      <c r="O10" s="324" t="s">
        <v>974</v>
      </c>
      <c r="P10" s="324" t="s">
        <v>67</v>
      </c>
      <c r="Q10" s="164" t="s">
        <v>930</v>
      </c>
      <c r="R10" s="325" t="s">
        <v>1022</v>
      </c>
      <c r="S10" s="324" t="s">
        <v>1143</v>
      </c>
      <c r="T10" s="164" t="s">
        <v>1147</v>
      </c>
      <c r="U10" s="324" t="s">
        <v>930</v>
      </c>
      <c r="V10" s="164"/>
      <c r="X10" s="326" t="s">
        <v>59</v>
      </c>
      <c r="Y10" s="326" t="s">
        <v>930</v>
      </c>
    </row>
    <row r="11" spans="1:25">
      <c r="A11" s="327">
        <v>4</v>
      </c>
      <c r="B11" s="1037" t="s">
        <v>126</v>
      </c>
      <c r="C11" s="1038"/>
      <c r="D11" s="316"/>
      <c r="E11" s="1041" t="s">
        <v>127</v>
      </c>
      <c r="F11" s="1042"/>
      <c r="G11" s="1042"/>
      <c r="I11" s="328" t="s">
        <v>890</v>
      </c>
      <c r="J11" s="328" t="s">
        <v>58</v>
      </c>
      <c r="K11" s="329" t="s">
        <v>83</v>
      </c>
      <c r="L11" s="328" t="s">
        <v>1124</v>
      </c>
      <c r="M11" s="328" t="s">
        <v>65</v>
      </c>
      <c r="N11" s="328" t="s">
        <v>934</v>
      </c>
      <c r="O11" s="330" t="s">
        <v>66</v>
      </c>
      <c r="P11" s="330" t="s">
        <v>68</v>
      </c>
      <c r="Q11" s="172" t="s">
        <v>1145</v>
      </c>
      <c r="R11" s="331" t="s">
        <v>1023</v>
      </c>
      <c r="S11" s="330" t="s">
        <v>1119</v>
      </c>
      <c r="T11" s="172" t="s">
        <v>63</v>
      </c>
      <c r="U11" s="330" t="s">
        <v>969</v>
      </c>
      <c r="V11" s="172"/>
      <c r="X11" s="326" t="s">
        <v>1</v>
      </c>
      <c r="Y11" s="326" t="s">
        <v>931</v>
      </c>
    </row>
    <row r="12" spans="1:25">
      <c r="A12" s="35">
        <v>5</v>
      </c>
      <c r="B12" s="1039"/>
      <c r="C12" s="1040"/>
      <c r="D12" s="332"/>
      <c r="E12" s="1043" t="s">
        <v>128</v>
      </c>
      <c r="F12" s="1044"/>
      <c r="G12" s="1045"/>
      <c r="I12" s="328" t="s">
        <v>63</v>
      </c>
      <c r="J12" s="328" t="s">
        <v>63</v>
      </c>
      <c r="K12" s="329"/>
      <c r="L12" s="328" t="s">
        <v>1125</v>
      </c>
      <c r="M12" s="328" t="s">
        <v>63</v>
      </c>
      <c r="N12" s="328" t="s">
        <v>63</v>
      </c>
      <c r="O12" s="330"/>
      <c r="P12" s="330"/>
      <c r="Q12" s="172" t="s">
        <v>1146</v>
      </c>
      <c r="R12" s="331" t="s">
        <v>1024</v>
      </c>
      <c r="S12" s="330" t="s">
        <v>1120</v>
      </c>
      <c r="T12" s="172"/>
      <c r="U12" s="330"/>
      <c r="V12" s="172"/>
      <c r="Y12" s="8" t="s">
        <v>932</v>
      </c>
    </row>
    <row r="13" spans="1:25">
      <c r="A13" s="35">
        <v>6</v>
      </c>
      <c r="B13" s="1033" t="s">
        <v>129</v>
      </c>
      <c r="C13" s="1034"/>
      <c r="D13" s="333"/>
      <c r="E13" s="334" t="s">
        <v>130</v>
      </c>
      <c r="F13" s="335" t="s">
        <v>131</v>
      </c>
      <c r="G13" s="336" t="s">
        <v>132</v>
      </c>
      <c r="I13" s="337" t="s">
        <v>922</v>
      </c>
      <c r="J13" s="337" t="s">
        <v>923</v>
      </c>
      <c r="K13" s="338" t="s">
        <v>972</v>
      </c>
      <c r="L13" s="337" t="s">
        <v>1144</v>
      </c>
      <c r="M13" s="337" t="s">
        <v>924</v>
      </c>
      <c r="N13" s="337" t="s">
        <v>925</v>
      </c>
      <c r="O13" s="337" t="s">
        <v>1148</v>
      </c>
      <c r="P13" s="337" t="s">
        <v>926</v>
      </c>
      <c r="Q13" s="337" t="s">
        <v>927</v>
      </c>
      <c r="R13" s="339" t="s">
        <v>928</v>
      </c>
      <c r="S13" s="337" t="s">
        <v>929</v>
      </c>
      <c r="T13" s="337" t="s">
        <v>1149</v>
      </c>
      <c r="U13" s="337" t="s">
        <v>1150</v>
      </c>
      <c r="V13" s="340"/>
      <c r="W13" s="340"/>
    </row>
    <row r="14" spans="1:25">
      <c r="A14" s="327">
        <v>7</v>
      </c>
      <c r="B14" s="341" t="s">
        <v>133</v>
      </c>
      <c r="C14" s="342"/>
      <c r="D14" s="343"/>
      <c r="E14" s="143"/>
      <c r="F14" s="141"/>
      <c r="G14" s="344"/>
    </row>
    <row r="15" spans="1:25">
      <c r="A15" s="35">
        <v>8</v>
      </c>
      <c r="B15" s="345" t="s">
        <v>134</v>
      </c>
      <c r="C15" s="346" t="s">
        <v>135</v>
      </c>
      <c r="D15" s="347"/>
      <c r="E15" s="348">
        <v>100892687.81</v>
      </c>
      <c r="F15" s="349">
        <v>0</v>
      </c>
      <c r="G15" s="350">
        <f>SUM(E15:F15)</f>
        <v>100892687.81</v>
      </c>
      <c r="I15" s="91">
        <f>+'Weather Normalization'!F12+'Weather Normalization'!F18+'Weather Normalization'!F19</f>
        <v>11337843.88446</v>
      </c>
      <c r="K15" s="904">
        <f>+'Restate Revenues'!M28</f>
        <v>-8383168.3755000383</v>
      </c>
      <c r="U15" s="91">
        <f>'Revenue Adjustment'!G21</f>
        <v>2520322</v>
      </c>
      <c r="X15" s="351">
        <f>SUM(I15:W15)</f>
        <v>5474997.5089599621</v>
      </c>
      <c r="Y15" s="351">
        <f>+G15+X15</f>
        <v>106367685.31895997</v>
      </c>
    </row>
    <row r="16" spans="1:25">
      <c r="A16" s="35">
        <v>9</v>
      </c>
      <c r="B16" s="345" t="s">
        <v>136</v>
      </c>
      <c r="C16" s="346" t="s">
        <v>137</v>
      </c>
      <c r="D16" s="347"/>
      <c r="E16" s="348">
        <v>82010145.060000002</v>
      </c>
      <c r="F16" s="349">
        <v>0</v>
      </c>
      <c r="G16" s="350">
        <f>SUM(E16:F16)</f>
        <v>82010145.060000002</v>
      </c>
      <c r="I16" s="91">
        <f>+'Weather Normalization'!F15</f>
        <v>4134187.9</v>
      </c>
      <c r="K16" s="904">
        <f>+'Restate Revenues'!M29</f>
        <v>-346008.79999999795</v>
      </c>
      <c r="U16" s="901">
        <f>'Revenue Adjustment'!G22</f>
        <v>766252</v>
      </c>
      <c r="X16" s="351">
        <f>SUM(I16:W16)</f>
        <v>4554431.1000000015</v>
      </c>
      <c r="Y16" s="351">
        <f>+G16+X16</f>
        <v>86564576.159999996</v>
      </c>
    </row>
    <row r="17" spans="1:25">
      <c r="A17" s="327">
        <v>10</v>
      </c>
      <c r="B17" s="341" t="s">
        <v>138</v>
      </c>
      <c r="C17" s="342"/>
      <c r="D17" s="352"/>
      <c r="E17" s="353">
        <f t="shared" ref="E17:T17" si="0">SUM(E15:E16)</f>
        <v>182902832.87</v>
      </c>
      <c r="F17" s="354">
        <f t="shared" si="0"/>
        <v>0</v>
      </c>
      <c r="G17" s="355">
        <f t="shared" si="0"/>
        <v>182902832.87</v>
      </c>
      <c r="I17" s="355">
        <f t="shared" si="0"/>
        <v>15472031.784460001</v>
      </c>
      <c r="J17" s="355">
        <f t="shared" si="0"/>
        <v>0</v>
      </c>
      <c r="K17" s="905">
        <f>SUM(K15:K16)</f>
        <v>-8729177.1755000353</v>
      </c>
      <c r="L17" s="355">
        <f t="shared" si="0"/>
        <v>0</v>
      </c>
      <c r="M17" s="355">
        <f t="shared" si="0"/>
        <v>0</v>
      </c>
      <c r="N17" s="355">
        <f t="shared" si="0"/>
        <v>0</v>
      </c>
      <c r="O17" s="355">
        <f t="shared" si="0"/>
        <v>0</v>
      </c>
      <c r="P17" s="355">
        <f t="shared" si="0"/>
        <v>0</v>
      </c>
      <c r="Q17" s="355">
        <f t="shared" ref="Q17" si="1">SUM(Q15:Q16)</f>
        <v>0</v>
      </c>
      <c r="R17" s="357">
        <f t="shared" si="0"/>
        <v>0</v>
      </c>
      <c r="S17" s="355">
        <f t="shared" si="0"/>
        <v>0</v>
      </c>
      <c r="T17" s="355">
        <f t="shared" si="0"/>
        <v>0</v>
      </c>
      <c r="U17" s="355">
        <f>SUM(U15:U16)</f>
        <v>3286574</v>
      </c>
      <c r="V17" s="355">
        <f>SUM(V15:V16)</f>
        <v>0</v>
      </c>
      <c r="W17" s="355">
        <f>SUM(W15:W16)</f>
        <v>0</v>
      </c>
      <c r="X17" s="355">
        <f>SUM(X15:X16)</f>
        <v>10029428.608959964</v>
      </c>
      <c r="Y17" s="355">
        <f>SUM(Y15:Y16)</f>
        <v>192932261.47895998</v>
      </c>
    </row>
    <row r="18" spans="1:25">
      <c r="A18" s="35">
        <v>11</v>
      </c>
      <c r="B18" s="358"/>
      <c r="C18" s="342"/>
      <c r="D18" s="347"/>
      <c r="E18" s="348"/>
      <c r="F18" s="359"/>
      <c r="G18" s="350"/>
      <c r="K18" s="904"/>
    </row>
    <row r="19" spans="1:25">
      <c r="A19" s="327">
        <v>12</v>
      </c>
      <c r="B19" s="341" t="s">
        <v>139</v>
      </c>
      <c r="C19" s="342"/>
      <c r="D19" s="347"/>
      <c r="E19" s="348"/>
      <c r="F19" s="359"/>
      <c r="G19" s="350"/>
    </row>
    <row r="20" spans="1:25">
      <c r="A20" s="35">
        <v>13</v>
      </c>
      <c r="B20" s="345" t="s">
        <v>140</v>
      </c>
      <c r="C20" s="346" t="s">
        <v>141</v>
      </c>
      <c r="D20" s="347"/>
      <c r="E20" s="348">
        <v>810183.02</v>
      </c>
      <c r="F20" s="359">
        <v>0.01</v>
      </c>
      <c r="G20" s="350">
        <f t="shared" ref="G20:G25" si="2">SUM(E20:F20)</f>
        <v>810183.03</v>
      </c>
      <c r="X20" s="351">
        <f t="shared" ref="X20:X25" si="3">SUM(I20:W20)</f>
        <v>0</v>
      </c>
      <c r="Y20" s="351">
        <f t="shared" ref="Y20:Y25" si="4">+G20+X20</f>
        <v>810183.03</v>
      </c>
    </row>
    <row r="21" spans="1:25">
      <c r="A21" s="327">
        <v>14</v>
      </c>
      <c r="B21" s="360" t="s">
        <v>142</v>
      </c>
      <c r="C21" s="346" t="s">
        <v>143</v>
      </c>
      <c r="D21" s="347"/>
      <c r="E21" s="361">
        <v>21216454.399999999</v>
      </c>
      <c r="F21" s="349">
        <v>0</v>
      </c>
      <c r="G21" s="362">
        <f t="shared" si="2"/>
        <v>21216454.399999999</v>
      </c>
      <c r="O21" s="91">
        <f>+'Pro Forma Plant Additions'!E14</f>
        <v>199943.9</v>
      </c>
      <c r="U21" s="901">
        <f>+'Revenue Adjustment'!G23</f>
        <v>1933517</v>
      </c>
      <c r="X21" s="351">
        <f t="shared" si="3"/>
        <v>2133460.9</v>
      </c>
      <c r="Y21" s="351">
        <f t="shared" si="4"/>
        <v>23349915.299999997</v>
      </c>
    </row>
    <row r="22" spans="1:25">
      <c r="A22" s="35">
        <v>15</v>
      </c>
      <c r="B22" s="360" t="s">
        <v>144</v>
      </c>
      <c r="C22" s="346" t="s">
        <v>145</v>
      </c>
      <c r="D22" s="347"/>
      <c r="E22" s="363">
        <v>100</v>
      </c>
      <c r="F22" s="359">
        <v>0</v>
      </c>
      <c r="G22" s="350">
        <f t="shared" si="2"/>
        <v>100</v>
      </c>
      <c r="X22" s="351">
        <f t="shared" si="3"/>
        <v>0</v>
      </c>
      <c r="Y22" s="351">
        <f t="shared" si="4"/>
        <v>100</v>
      </c>
    </row>
    <row r="23" spans="1:25">
      <c r="A23" s="327">
        <v>16</v>
      </c>
      <c r="B23" s="360" t="s">
        <v>146</v>
      </c>
      <c r="C23" s="346" t="s">
        <v>147</v>
      </c>
      <c r="D23" s="347"/>
      <c r="E23" s="363">
        <v>0</v>
      </c>
      <c r="F23" s="359">
        <v>91471.08</v>
      </c>
      <c r="G23" s="350">
        <f t="shared" si="2"/>
        <v>91471.08</v>
      </c>
      <c r="X23" s="351">
        <f t="shared" si="3"/>
        <v>0</v>
      </c>
      <c r="Y23" s="351">
        <f t="shared" si="4"/>
        <v>91471.08</v>
      </c>
    </row>
    <row r="24" spans="1:25">
      <c r="A24" s="35">
        <v>17</v>
      </c>
      <c r="B24" s="360" t="s">
        <v>148</v>
      </c>
      <c r="C24" s="346" t="s">
        <v>149</v>
      </c>
      <c r="D24" s="347"/>
      <c r="E24" s="348">
        <v>109620.85</v>
      </c>
      <c r="F24" s="359">
        <v>0</v>
      </c>
      <c r="G24" s="350">
        <f t="shared" si="2"/>
        <v>109620.85</v>
      </c>
      <c r="S24" s="91">
        <f>'Miscellaneous Charges'!M16</f>
        <v>-101645</v>
      </c>
      <c r="X24" s="351">
        <f t="shared" si="3"/>
        <v>-101645</v>
      </c>
      <c r="Y24" s="351">
        <f t="shared" si="4"/>
        <v>7975.8500000000058</v>
      </c>
    </row>
    <row r="25" spans="1:25">
      <c r="A25" s="327">
        <v>18</v>
      </c>
      <c r="B25" s="345" t="s">
        <v>150</v>
      </c>
      <c r="C25" s="346" t="s">
        <v>151</v>
      </c>
      <c r="D25" s="364"/>
      <c r="E25" s="363">
        <v>0</v>
      </c>
      <c r="F25" s="349">
        <v>0</v>
      </c>
      <c r="G25" s="365">
        <f t="shared" si="2"/>
        <v>0</v>
      </c>
      <c r="X25" s="351">
        <f t="shared" si="3"/>
        <v>0</v>
      </c>
      <c r="Y25" s="351">
        <f t="shared" si="4"/>
        <v>0</v>
      </c>
    </row>
    <row r="26" spans="1:25">
      <c r="A26" s="35">
        <v>19</v>
      </c>
      <c r="B26" s="341" t="s">
        <v>152</v>
      </c>
      <c r="C26" s="342"/>
      <c r="D26" s="352"/>
      <c r="E26" s="353">
        <f t="shared" ref="E26:G26" si="5">SUM(E20:E25)</f>
        <v>22136358.27</v>
      </c>
      <c r="F26" s="366">
        <f t="shared" si="5"/>
        <v>91471.09</v>
      </c>
      <c r="G26" s="355">
        <f t="shared" si="5"/>
        <v>22227829.359999999</v>
      </c>
      <c r="I26" s="355">
        <f t="shared" ref="I26:S26" si="6">SUM(I20:I25)</f>
        <v>0</v>
      </c>
      <c r="J26" s="355">
        <f t="shared" si="6"/>
        <v>0</v>
      </c>
      <c r="K26" s="356">
        <f>SUM(K20:K25)</f>
        <v>0</v>
      </c>
      <c r="L26" s="355">
        <f>SUM(L20:L25)</f>
        <v>0</v>
      </c>
      <c r="M26" s="355">
        <f t="shared" si="6"/>
        <v>0</v>
      </c>
      <c r="N26" s="355">
        <f t="shared" si="6"/>
        <v>0</v>
      </c>
      <c r="O26" s="355">
        <f t="shared" si="6"/>
        <v>199943.9</v>
      </c>
      <c r="P26" s="355">
        <f t="shared" si="6"/>
        <v>0</v>
      </c>
      <c r="Q26" s="355">
        <f t="shared" ref="Q26" si="7">SUM(Q20:Q25)</f>
        <v>0</v>
      </c>
      <c r="R26" s="357">
        <f>SUM(R20:R25)</f>
        <v>0</v>
      </c>
      <c r="S26" s="355">
        <f t="shared" si="6"/>
        <v>-101645</v>
      </c>
      <c r="T26" s="355">
        <f t="shared" ref="T26" si="8">SUM(T20:T25)</f>
        <v>0</v>
      </c>
      <c r="U26" s="355">
        <f>SUM(U20:U25)</f>
        <v>1933517</v>
      </c>
      <c r="V26" s="355">
        <f>SUM(V20:V25)</f>
        <v>0</v>
      </c>
      <c r="W26" s="355">
        <f>SUM(W20:W25)</f>
        <v>0</v>
      </c>
      <c r="X26" s="355">
        <f>SUM(X20:X25)</f>
        <v>2031815.9</v>
      </c>
      <c r="Y26" s="355">
        <f>SUM(Y20:Y25)</f>
        <v>24259645.259999998</v>
      </c>
    </row>
    <row r="27" spans="1:25" ht="16.5" thickBot="1">
      <c r="A27" s="327">
        <v>20</v>
      </c>
      <c r="B27" s="341" t="s">
        <v>153</v>
      </c>
      <c r="C27" s="342"/>
      <c r="D27" s="367"/>
      <c r="E27" s="368">
        <f t="shared" ref="E27:G27" si="9">E17+E26</f>
        <v>205039191.14000002</v>
      </c>
      <c r="F27" s="369">
        <f t="shared" si="9"/>
        <v>91471.09</v>
      </c>
      <c r="G27" s="370">
        <f t="shared" si="9"/>
        <v>205130662.23000002</v>
      </c>
      <c r="I27" s="370">
        <f t="shared" ref="I27:S27" si="10">I17+I26</f>
        <v>15472031.784460001</v>
      </c>
      <c r="J27" s="370">
        <f t="shared" si="10"/>
        <v>0</v>
      </c>
      <c r="K27" s="371">
        <f>K17+K26</f>
        <v>-8729177.1755000353</v>
      </c>
      <c r="L27" s="370">
        <f>L17+L26</f>
        <v>0</v>
      </c>
      <c r="M27" s="370">
        <f t="shared" si="10"/>
        <v>0</v>
      </c>
      <c r="N27" s="370">
        <f t="shared" si="10"/>
        <v>0</v>
      </c>
      <c r="O27" s="370">
        <f t="shared" si="10"/>
        <v>199943.9</v>
      </c>
      <c r="P27" s="370">
        <f t="shared" si="10"/>
        <v>0</v>
      </c>
      <c r="Q27" s="370">
        <f t="shared" ref="Q27" si="11">Q17+Q26</f>
        <v>0</v>
      </c>
      <c r="R27" s="372">
        <f>R17+R26</f>
        <v>0</v>
      </c>
      <c r="S27" s="370">
        <f t="shared" si="10"/>
        <v>-101645</v>
      </c>
      <c r="T27" s="370">
        <f t="shared" ref="T27" si="12">T17+T26</f>
        <v>0</v>
      </c>
      <c r="U27" s="370">
        <f>U17+U26</f>
        <v>5220091</v>
      </c>
      <c r="V27" s="370">
        <f>V17+V26</f>
        <v>0</v>
      </c>
      <c r="W27" s="370">
        <f>W17+W26</f>
        <v>0</v>
      </c>
      <c r="X27" s="370">
        <f>X17+X26</f>
        <v>12061244.508959964</v>
      </c>
      <c r="Y27" s="370">
        <f>Y17+Y26</f>
        <v>217191906.73895997</v>
      </c>
    </row>
    <row r="28" spans="1:25" ht="16.5" thickTop="1">
      <c r="A28" s="35">
        <v>21</v>
      </c>
      <c r="B28" s="373" t="s">
        <v>57</v>
      </c>
      <c r="C28" s="342" t="s">
        <v>57</v>
      </c>
      <c r="D28" s="347"/>
      <c r="E28" s="348"/>
      <c r="F28" s="359"/>
      <c r="G28" s="350"/>
    </row>
    <row r="29" spans="1:25">
      <c r="A29" s="327">
        <v>22</v>
      </c>
      <c r="B29" s="341" t="s">
        <v>154</v>
      </c>
      <c r="C29" s="342"/>
      <c r="D29" s="347"/>
      <c r="E29" s="348"/>
      <c r="F29" s="359"/>
      <c r="G29" s="350"/>
    </row>
    <row r="30" spans="1:25">
      <c r="A30" s="35">
        <v>23</v>
      </c>
      <c r="B30" s="345" t="s">
        <v>155</v>
      </c>
      <c r="C30" s="346" t="s">
        <v>156</v>
      </c>
      <c r="D30" s="347"/>
      <c r="E30" s="348">
        <v>109308158.06</v>
      </c>
      <c r="F30" s="349">
        <v>0</v>
      </c>
      <c r="G30" s="350">
        <f t="shared" ref="G30:G35" si="13">SUM(E30:F30)</f>
        <v>109308158.06</v>
      </c>
      <c r="I30" s="91">
        <f>+'Weather Normalization'!F37</f>
        <v>10051636.126770001</v>
      </c>
      <c r="K30" s="311">
        <f>'Restate Revenues'!M48</f>
        <v>-6033097.8530900329</v>
      </c>
      <c r="X30" s="351">
        <f t="shared" ref="X30:X35" si="14">SUM(I30:W30)</f>
        <v>4018538.273679968</v>
      </c>
      <c r="Y30" s="351">
        <f t="shared" ref="Y30:Y35" si="15">+G30+X30</f>
        <v>113326696.33367997</v>
      </c>
    </row>
    <row r="31" spans="1:25">
      <c r="A31" s="327">
        <v>24</v>
      </c>
      <c r="B31" s="345" t="s">
        <v>157</v>
      </c>
      <c r="C31" s="346" t="s">
        <v>158</v>
      </c>
      <c r="D31" s="364"/>
      <c r="E31" s="363">
        <v>0</v>
      </c>
      <c r="F31" s="349">
        <v>0</v>
      </c>
      <c r="G31" s="365">
        <f t="shared" si="13"/>
        <v>0</v>
      </c>
      <c r="X31" s="351">
        <f t="shared" si="14"/>
        <v>0</v>
      </c>
      <c r="Y31" s="351">
        <f t="shared" si="15"/>
        <v>0</v>
      </c>
    </row>
    <row r="32" spans="1:25">
      <c r="A32" s="35">
        <v>25</v>
      </c>
      <c r="B32" s="345" t="s">
        <v>159</v>
      </c>
      <c r="C32" s="346" t="s">
        <v>160</v>
      </c>
      <c r="D32" s="347"/>
      <c r="E32" s="348">
        <v>-5591759.0499999998</v>
      </c>
      <c r="F32" s="349">
        <v>0</v>
      </c>
      <c r="G32" s="350">
        <f t="shared" si="13"/>
        <v>-5591759.0499999998</v>
      </c>
      <c r="X32" s="351">
        <f t="shared" si="14"/>
        <v>0</v>
      </c>
      <c r="Y32" s="351">
        <f t="shared" si="15"/>
        <v>-5591759.0499999998</v>
      </c>
    </row>
    <row r="33" spans="1:25">
      <c r="A33" s="327">
        <v>26</v>
      </c>
      <c r="B33" s="345" t="s">
        <v>161</v>
      </c>
      <c r="C33" s="346" t="s">
        <v>162</v>
      </c>
      <c r="D33" s="347"/>
      <c r="E33" s="348">
        <v>4086793.55</v>
      </c>
      <c r="F33" s="349">
        <v>0</v>
      </c>
      <c r="G33" s="350">
        <f t="shared" si="13"/>
        <v>4086793.55</v>
      </c>
      <c r="X33" s="351">
        <f t="shared" si="14"/>
        <v>0</v>
      </c>
      <c r="Y33" s="351">
        <f t="shared" si="15"/>
        <v>4086793.55</v>
      </c>
    </row>
    <row r="34" spans="1:25">
      <c r="A34" s="35">
        <v>27</v>
      </c>
      <c r="B34" s="345" t="s">
        <v>163</v>
      </c>
      <c r="C34" s="346" t="s">
        <v>164</v>
      </c>
      <c r="D34" s="347"/>
      <c r="E34" s="348">
        <v>-4183654.74</v>
      </c>
      <c r="F34" s="349">
        <v>0</v>
      </c>
      <c r="G34" s="350">
        <f t="shared" si="13"/>
        <v>-4183654.74</v>
      </c>
      <c r="X34" s="351">
        <f t="shared" si="14"/>
        <v>0</v>
      </c>
      <c r="Y34" s="351">
        <f t="shared" si="15"/>
        <v>-4183654.74</v>
      </c>
    </row>
    <row r="35" spans="1:25">
      <c r="A35" s="327">
        <v>28</v>
      </c>
      <c r="B35" s="345" t="s">
        <v>165</v>
      </c>
      <c r="C35" s="346" t="s">
        <v>166</v>
      </c>
      <c r="D35" s="347"/>
      <c r="E35" s="348">
        <v>-25673.3</v>
      </c>
      <c r="F35" s="349">
        <v>0</v>
      </c>
      <c r="G35" s="350">
        <f t="shared" si="13"/>
        <v>-25673.3</v>
      </c>
      <c r="X35" s="351">
        <f t="shared" si="14"/>
        <v>0</v>
      </c>
      <c r="Y35" s="351">
        <f t="shared" si="15"/>
        <v>-25673.3</v>
      </c>
    </row>
    <row r="36" spans="1:25">
      <c r="A36" s="35">
        <v>29</v>
      </c>
      <c r="B36" s="341" t="s">
        <v>167</v>
      </c>
      <c r="C36" s="342"/>
      <c r="D36" s="352"/>
      <c r="E36" s="353">
        <f t="shared" ref="E36:T36" si="16">SUM(E30:E35)</f>
        <v>103593864.52000001</v>
      </c>
      <c r="F36" s="354">
        <f t="shared" si="16"/>
        <v>0</v>
      </c>
      <c r="G36" s="355">
        <f t="shared" si="16"/>
        <v>103593864.52000001</v>
      </c>
      <c r="I36" s="355">
        <f t="shared" si="16"/>
        <v>10051636.126770001</v>
      </c>
      <c r="J36" s="355">
        <f t="shared" si="16"/>
        <v>0</v>
      </c>
      <c r="K36" s="356">
        <f>SUM(K30:K35)</f>
        <v>-6033097.8530900329</v>
      </c>
      <c r="L36" s="355">
        <f t="shared" si="16"/>
        <v>0</v>
      </c>
      <c r="M36" s="355">
        <f t="shared" si="16"/>
        <v>0</v>
      </c>
      <c r="N36" s="355">
        <f t="shared" si="16"/>
        <v>0</v>
      </c>
      <c r="O36" s="355">
        <f t="shared" si="16"/>
        <v>0</v>
      </c>
      <c r="P36" s="355">
        <f t="shared" si="16"/>
        <v>0</v>
      </c>
      <c r="Q36" s="355">
        <f t="shared" ref="Q36" si="17">SUM(Q30:Q35)</f>
        <v>0</v>
      </c>
      <c r="R36" s="357">
        <f t="shared" si="16"/>
        <v>0</v>
      </c>
      <c r="S36" s="355">
        <f t="shared" si="16"/>
        <v>0</v>
      </c>
      <c r="T36" s="355">
        <f t="shared" si="16"/>
        <v>0</v>
      </c>
      <c r="U36" s="355">
        <f>SUM(U30:U35)</f>
        <v>0</v>
      </c>
      <c r="V36" s="355">
        <f>SUM(V30:V35)</f>
        <v>0</v>
      </c>
      <c r="W36" s="355">
        <f>SUM(W30:W35)</f>
        <v>0</v>
      </c>
      <c r="X36" s="355">
        <f>SUM(X30:X35)</f>
        <v>4018538.273679968</v>
      </c>
      <c r="Y36" s="355">
        <f>SUM(Y30:Y35)</f>
        <v>107612402.79367998</v>
      </c>
    </row>
    <row r="37" spans="1:25">
      <c r="A37" s="327">
        <v>30</v>
      </c>
      <c r="B37" s="373"/>
      <c r="C37" s="342"/>
      <c r="D37" s="347"/>
      <c r="E37" s="348"/>
      <c r="F37" s="359"/>
      <c r="G37" s="350"/>
    </row>
    <row r="38" spans="1:25">
      <c r="A38" s="35">
        <v>31</v>
      </c>
      <c r="B38" s="341" t="s">
        <v>168</v>
      </c>
      <c r="C38" s="342"/>
      <c r="D38" s="347"/>
      <c r="E38" s="348"/>
      <c r="F38" s="359"/>
      <c r="G38" s="350"/>
    </row>
    <row r="39" spans="1:25">
      <c r="A39" s="327">
        <v>32</v>
      </c>
      <c r="B39" s="345" t="s">
        <v>169</v>
      </c>
      <c r="C39" s="346" t="s">
        <v>170</v>
      </c>
      <c r="D39" s="364"/>
      <c r="E39" s="363">
        <v>0</v>
      </c>
      <c r="F39" s="349">
        <v>0</v>
      </c>
      <c r="G39" s="365">
        <v>0</v>
      </c>
      <c r="X39" s="351">
        <f t="shared" ref="X39:X49" si="18">SUM(I39:W39)</f>
        <v>0</v>
      </c>
      <c r="Y39" s="351">
        <f t="shared" ref="Y39:Y49" si="19">+G39+X39</f>
        <v>0</v>
      </c>
    </row>
    <row r="40" spans="1:25">
      <c r="A40" s="35">
        <v>33</v>
      </c>
      <c r="B40" s="345" t="s">
        <v>171</v>
      </c>
      <c r="C40" s="346" t="s">
        <v>172</v>
      </c>
      <c r="D40" s="364"/>
      <c r="E40" s="363">
        <v>0</v>
      </c>
      <c r="F40" s="349">
        <v>0</v>
      </c>
      <c r="G40" s="365">
        <v>0</v>
      </c>
      <c r="X40" s="351">
        <f t="shared" si="18"/>
        <v>0</v>
      </c>
      <c r="Y40" s="351">
        <f t="shared" si="19"/>
        <v>0</v>
      </c>
    </row>
    <row r="41" spans="1:25">
      <c r="A41" s="327">
        <v>34</v>
      </c>
      <c r="B41" s="345" t="s">
        <v>173</v>
      </c>
      <c r="C41" s="346" t="s">
        <v>174</v>
      </c>
      <c r="D41" s="364"/>
      <c r="E41" s="363">
        <v>0</v>
      </c>
      <c r="F41" s="349">
        <v>0</v>
      </c>
      <c r="G41" s="365">
        <v>0</v>
      </c>
      <c r="X41" s="351">
        <f t="shared" si="18"/>
        <v>0</v>
      </c>
      <c r="Y41" s="351">
        <f t="shared" si="19"/>
        <v>0</v>
      </c>
    </row>
    <row r="42" spans="1:25">
      <c r="A42" s="35">
        <v>35</v>
      </c>
      <c r="B42" s="345" t="s">
        <v>175</v>
      </c>
      <c r="C42" s="346" t="s">
        <v>176</v>
      </c>
      <c r="D42" s="364"/>
      <c r="E42" s="363">
        <v>0</v>
      </c>
      <c r="F42" s="349">
        <v>0</v>
      </c>
      <c r="G42" s="365">
        <v>0</v>
      </c>
      <c r="X42" s="351">
        <f t="shared" si="18"/>
        <v>0</v>
      </c>
      <c r="Y42" s="351">
        <f t="shared" si="19"/>
        <v>0</v>
      </c>
    </row>
    <row r="43" spans="1:25">
      <c r="A43" s="327">
        <v>36</v>
      </c>
      <c r="B43" s="345" t="s">
        <v>177</v>
      </c>
      <c r="C43" s="346" t="s">
        <v>178</v>
      </c>
      <c r="D43" s="364"/>
      <c r="E43" s="363">
        <v>0</v>
      </c>
      <c r="F43" s="349">
        <v>0</v>
      </c>
      <c r="G43" s="365">
        <v>0</v>
      </c>
      <c r="X43" s="351">
        <f t="shared" si="18"/>
        <v>0</v>
      </c>
      <c r="Y43" s="351">
        <f t="shared" si="19"/>
        <v>0</v>
      </c>
    </row>
    <row r="44" spans="1:25">
      <c r="A44" s="35">
        <v>37</v>
      </c>
      <c r="B44" s="345" t="s">
        <v>179</v>
      </c>
      <c r="C44" s="346" t="s">
        <v>180</v>
      </c>
      <c r="D44" s="364"/>
      <c r="E44" s="363">
        <v>0</v>
      </c>
      <c r="F44" s="349">
        <v>0</v>
      </c>
      <c r="G44" s="365">
        <v>0</v>
      </c>
      <c r="X44" s="351">
        <f t="shared" si="18"/>
        <v>0</v>
      </c>
      <c r="Y44" s="351">
        <f t="shared" si="19"/>
        <v>0</v>
      </c>
    </row>
    <row r="45" spans="1:25">
      <c r="A45" s="327">
        <v>38</v>
      </c>
      <c r="B45" s="345" t="s">
        <v>181</v>
      </c>
      <c r="C45" s="346" t="s">
        <v>182</v>
      </c>
      <c r="D45" s="364"/>
      <c r="E45" s="374">
        <v>0</v>
      </c>
      <c r="F45" s="349">
        <v>0</v>
      </c>
      <c r="G45" s="365">
        <v>0</v>
      </c>
      <c r="X45" s="351">
        <f t="shared" si="18"/>
        <v>0</v>
      </c>
      <c r="Y45" s="351">
        <f t="shared" si="19"/>
        <v>0</v>
      </c>
    </row>
    <row r="46" spans="1:25">
      <c r="A46" s="35">
        <v>39</v>
      </c>
      <c r="B46" s="345" t="s">
        <v>183</v>
      </c>
      <c r="C46" s="346" t="s">
        <v>184</v>
      </c>
      <c r="D46" s="364"/>
      <c r="E46" s="363">
        <v>0</v>
      </c>
      <c r="F46" s="349">
        <v>0</v>
      </c>
      <c r="G46" s="365">
        <v>0</v>
      </c>
      <c r="X46" s="351">
        <f t="shared" si="18"/>
        <v>0</v>
      </c>
      <c r="Y46" s="351">
        <f t="shared" si="19"/>
        <v>0</v>
      </c>
    </row>
    <row r="47" spans="1:25">
      <c r="A47" s="327">
        <v>40</v>
      </c>
      <c r="B47" s="345" t="s">
        <v>185</v>
      </c>
      <c r="C47" s="346" t="s">
        <v>186</v>
      </c>
      <c r="D47" s="364"/>
      <c r="E47" s="363">
        <v>0</v>
      </c>
      <c r="F47" s="349">
        <v>0</v>
      </c>
      <c r="G47" s="365">
        <v>0</v>
      </c>
      <c r="X47" s="351">
        <f t="shared" si="18"/>
        <v>0</v>
      </c>
      <c r="Y47" s="351">
        <f t="shared" si="19"/>
        <v>0</v>
      </c>
    </row>
    <row r="48" spans="1:25">
      <c r="A48" s="35">
        <v>41</v>
      </c>
      <c r="B48" s="345" t="s">
        <v>187</v>
      </c>
      <c r="C48" s="346" t="s">
        <v>188</v>
      </c>
      <c r="D48" s="364"/>
      <c r="E48" s="363">
        <v>0</v>
      </c>
      <c r="F48" s="349">
        <v>0</v>
      </c>
      <c r="G48" s="365">
        <v>0</v>
      </c>
      <c r="X48" s="351">
        <f t="shared" si="18"/>
        <v>0</v>
      </c>
      <c r="Y48" s="351">
        <f t="shared" si="19"/>
        <v>0</v>
      </c>
    </row>
    <row r="49" spans="1:25">
      <c r="A49" s="327">
        <v>42</v>
      </c>
      <c r="B49" s="345" t="s">
        <v>189</v>
      </c>
      <c r="C49" s="346" t="s">
        <v>190</v>
      </c>
      <c r="D49" s="364"/>
      <c r="E49" s="363">
        <v>0</v>
      </c>
      <c r="F49" s="349">
        <v>0</v>
      </c>
      <c r="G49" s="365">
        <v>0</v>
      </c>
      <c r="X49" s="351">
        <f t="shared" si="18"/>
        <v>0</v>
      </c>
      <c r="Y49" s="351">
        <f t="shared" si="19"/>
        <v>0</v>
      </c>
    </row>
    <row r="50" spans="1:25">
      <c r="A50" s="35">
        <v>43</v>
      </c>
      <c r="B50" s="341" t="s">
        <v>191</v>
      </c>
      <c r="C50" s="375"/>
      <c r="D50" s="376"/>
      <c r="E50" s="377">
        <f t="shared" ref="E50:G50" si="20">SUM(E39:E49)</f>
        <v>0</v>
      </c>
      <c r="F50" s="354">
        <f t="shared" si="20"/>
        <v>0</v>
      </c>
      <c r="G50" s="356">
        <f t="shared" si="20"/>
        <v>0</v>
      </c>
      <c r="I50" s="355">
        <f t="shared" ref="I50:S50" si="21">SUM(I39:I49)</f>
        <v>0</v>
      </c>
      <c r="J50" s="355">
        <f t="shared" si="21"/>
        <v>0</v>
      </c>
      <c r="K50" s="356">
        <f>SUM(K39:K49)</f>
        <v>0</v>
      </c>
      <c r="L50" s="355">
        <f t="shared" si="21"/>
        <v>0</v>
      </c>
      <c r="M50" s="355">
        <f t="shared" si="21"/>
        <v>0</v>
      </c>
      <c r="N50" s="355">
        <f t="shared" si="21"/>
        <v>0</v>
      </c>
      <c r="O50" s="355">
        <f t="shared" si="21"/>
        <v>0</v>
      </c>
      <c r="P50" s="355">
        <f t="shared" si="21"/>
        <v>0</v>
      </c>
      <c r="Q50" s="355">
        <f t="shared" ref="Q50" si="22">SUM(Q39:Q49)</f>
        <v>0</v>
      </c>
      <c r="R50" s="357">
        <f t="shared" si="21"/>
        <v>0</v>
      </c>
      <c r="S50" s="355">
        <f t="shared" si="21"/>
        <v>0</v>
      </c>
      <c r="T50" s="355">
        <f t="shared" ref="T50" si="23">SUM(T39:T49)</f>
        <v>0</v>
      </c>
      <c r="U50" s="355">
        <f>SUM(U39:U49)</f>
        <v>0</v>
      </c>
      <c r="V50" s="356">
        <f>SUM(V39:V49)</f>
        <v>0</v>
      </c>
      <c r="W50" s="356">
        <f>SUM(W39:W49)</f>
        <v>0</v>
      </c>
      <c r="X50" s="356">
        <f>SUM(X39:X49)</f>
        <v>0</v>
      </c>
      <c r="Y50" s="356">
        <f>SUM(Y39:Y49)</f>
        <v>0</v>
      </c>
    </row>
    <row r="51" spans="1:25">
      <c r="A51" s="327">
        <v>44</v>
      </c>
      <c r="B51" s="373"/>
      <c r="C51" s="342"/>
      <c r="D51" s="347"/>
      <c r="E51" s="348"/>
      <c r="F51" s="359"/>
      <c r="G51" s="350"/>
      <c r="I51" s="350"/>
      <c r="J51" s="350"/>
      <c r="K51" s="365"/>
      <c r="L51" s="350"/>
      <c r="M51" s="350"/>
      <c r="N51" s="350"/>
      <c r="O51" s="350"/>
      <c r="P51" s="350"/>
      <c r="Q51" s="350"/>
      <c r="R51" s="378"/>
      <c r="S51" s="350"/>
      <c r="T51" s="350"/>
      <c r="U51" s="350"/>
      <c r="V51" s="350"/>
      <c r="W51" s="350"/>
      <c r="X51" s="350"/>
      <c r="Y51" s="350"/>
    </row>
    <row r="52" spans="1:25">
      <c r="A52" s="35">
        <v>45</v>
      </c>
      <c r="B52" s="345" t="s">
        <v>192</v>
      </c>
      <c r="C52" s="346" t="s">
        <v>34</v>
      </c>
      <c r="D52" s="379"/>
      <c r="E52" s="380">
        <v>16946340.530000001</v>
      </c>
      <c r="F52" s="381">
        <v>0</v>
      </c>
      <c r="G52" s="382">
        <f>SUM(E52:F52)</f>
        <v>16946340.530000001</v>
      </c>
      <c r="I52" s="382">
        <f>+'Exh MPP-5 - Summary of Adj'!G23</f>
        <v>626926.7279063192</v>
      </c>
      <c r="J52" s="382"/>
      <c r="K52" s="383">
        <f>+'Exh MPP-5 - Summary of Adj'!I23</f>
        <v>-353706.25915126142</v>
      </c>
      <c r="L52" s="382">
        <f>+'Exh MPP-5 - Summary of Adj'!J23</f>
        <v>0</v>
      </c>
      <c r="M52" s="382">
        <f>+'Exh MPP-5 - Summary of Adj'!K23</f>
        <v>0</v>
      </c>
      <c r="N52" s="382">
        <f>+'Exh MPP-5 - Summary of Adj'!L23</f>
        <v>0</v>
      </c>
      <c r="O52" s="382">
        <f>+'Exh MPP-5 - Summary of Adj'!N23</f>
        <v>8101.7268279999998</v>
      </c>
      <c r="P52" s="382">
        <v>0</v>
      </c>
      <c r="Q52" s="382">
        <f>+'Exh MPP-5 - Summary of Adj'!O23</f>
        <v>0</v>
      </c>
      <c r="R52" s="384">
        <f>+'Exh MPP-5 - Summary of Adj'!O23</f>
        <v>0</v>
      </c>
      <c r="S52" s="382">
        <f>+'Exh MPP-5 - Summary of Adj'!R23</f>
        <v>-4118.6553999999996</v>
      </c>
      <c r="T52" s="382">
        <f>+'Exh MPP-5 - Summary of Adj'!S23</f>
        <v>0</v>
      </c>
      <c r="U52" s="382">
        <f>+'Exh MPP-5 - Summary of Adj'!T23</f>
        <v>211518.08731999999</v>
      </c>
      <c r="V52" s="382"/>
      <c r="W52" s="382"/>
      <c r="X52" s="351">
        <f>SUM(I52:W52)</f>
        <v>488721.62750305777</v>
      </c>
      <c r="Y52" s="351">
        <f>+G52+X52</f>
        <v>17435062.157503057</v>
      </c>
    </row>
    <row r="53" spans="1:25" ht="16.5" thickBot="1">
      <c r="A53" s="327">
        <v>46</v>
      </c>
      <c r="B53" s="341" t="s">
        <v>193</v>
      </c>
      <c r="C53" s="342"/>
      <c r="D53" s="367"/>
      <c r="E53" s="368">
        <f t="shared" ref="E53:G53" si="24">E27-E36-E52</f>
        <v>84498986.090000004</v>
      </c>
      <c r="F53" s="385">
        <f t="shared" si="24"/>
        <v>91471.09</v>
      </c>
      <c r="G53" s="370">
        <f t="shared" si="24"/>
        <v>84590457.180000007</v>
      </c>
      <c r="I53" s="370">
        <f t="shared" ref="I53:S53" si="25">I27-I36-I52</f>
        <v>4793468.9297836805</v>
      </c>
      <c r="J53" s="370">
        <f t="shared" si="25"/>
        <v>0</v>
      </c>
      <c r="K53" s="371">
        <f>K27-K36-K52</f>
        <v>-2342373.0632587411</v>
      </c>
      <c r="L53" s="370">
        <f>L27-L36-L52</f>
        <v>0</v>
      </c>
      <c r="M53" s="370">
        <f t="shared" si="25"/>
        <v>0</v>
      </c>
      <c r="N53" s="370">
        <f t="shared" si="25"/>
        <v>0</v>
      </c>
      <c r="O53" s="370">
        <f t="shared" si="25"/>
        <v>191842.17317199998</v>
      </c>
      <c r="P53" s="370">
        <f t="shared" si="25"/>
        <v>0</v>
      </c>
      <c r="Q53" s="370">
        <f t="shared" ref="Q53" si="26">Q27-Q36-Q52</f>
        <v>0</v>
      </c>
      <c r="R53" s="372">
        <f t="shared" si="25"/>
        <v>0</v>
      </c>
      <c r="S53" s="370">
        <f t="shared" si="25"/>
        <v>-97526.344599999997</v>
      </c>
      <c r="T53" s="370">
        <f t="shared" ref="T53" si="27">T27-T36-T52</f>
        <v>0</v>
      </c>
      <c r="U53" s="370">
        <f>U27-U36-U52</f>
        <v>5008572.9126800001</v>
      </c>
      <c r="V53" s="370">
        <f>V27-V36-V52</f>
        <v>0</v>
      </c>
      <c r="W53" s="370">
        <f>W27-W36-W52</f>
        <v>0</v>
      </c>
      <c r="X53" s="370">
        <f>X27-X36-X52</f>
        <v>7553984.607776938</v>
      </c>
      <c r="Y53" s="370">
        <f>Y27-Y36-Y52</f>
        <v>92144441.787776932</v>
      </c>
    </row>
    <row r="54" spans="1:25" ht="16.5" thickTop="1">
      <c r="A54" s="35">
        <v>47</v>
      </c>
      <c r="B54" s="373"/>
      <c r="C54" s="342"/>
      <c r="D54" s="347"/>
      <c r="E54" s="348"/>
      <c r="F54" s="359"/>
      <c r="G54" s="350"/>
    </row>
    <row r="55" spans="1:25">
      <c r="A55" s="327">
        <v>48</v>
      </c>
      <c r="B55" s="341" t="s">
        <v>194</v>
      </c>
      <c r="C55" s="342"/>
      <c r="D55" s="347"/>
      <c r="E55" s="348"/>
      <c r="F55" s="359"/>
      <c r="G55" s="350"/>
    </row>
    <row r="56" spans="1:25">
      <c r="A56" s="35">
        <v>49</v>
      </c>
      <c r="B56" s="386">
        <v>813</v>
      </c>
      <c r="C56" s="346" t="s">
        <v>195</v>
      </c>
      <c r="D56" s="347"/>
      <c r="E56" s="363">
        <v>698.22</v>
      </c>
      <c r="F56" s="349">
        <v>518290.52</v>
      </c>
      <c r="G56" s="350">
        <f>SUM(E56:F56)</f>
        <v>518988.74</v>
      </c>
      <c r="N56" s="91">
        <f>+'Pro Forma Wage Adjustment'!P20</f>
        <v>16165.959663484771</v>
      </c>
      <c r="X56" s="351">
        <f>SUM(I56:W56)</f>
        <v>16165.959663484771</v>
      </c>
      <c r="Y56" s="351">
        <f>+G56+X56</f>
        <v>535154.69966348482</v>
      </c>
    </row>
    <row r="57" spans="1:25">
      <c r="A57" s="327">
        <v>50</v>
      </c>
      <c r="B57" s="386"/>
      <c r="C57" s="346"/>
      <c r="D57" s="347"/>
      <c r="E57" s="363"/>
      <c r="F57" s="349"/>
      <c r="G57" s="350"/>
    </row>
    <row r="58" spans="1:25">
      <c r="A58" s="35">
        <v>51</v>
      </c>
      <c r="B58" s="341" t="s">
        <v>196</v>
      </c>
      <c r="C58" s="342"/>
      <c r="D58" s="347"/>
      <c r="E58" s="348"/>
      <c r="F58" s="359"/>
      <c r="G58" s="350"/>
    </row>
    <row r="59" spans="1:25">
      <c r="A59" s="327">
        <v>52</v>
      </c>
      <c r="B59" s="341" t="s">
        <v>197</v>
      </c>
      <c r="C59" s="342"/>
      <c r="D59" s="347"/>
      <c r="E59" s="348"/>
      <c r="F59" s="359"/>
      <c r="G59" s="350"/>
    </row>
    <row r="60" spans="1:25">
      <c r="A60" s="35">
        <v>53</v>
      </c>
      <c r="B60" s="345" t="s">
        <v>198</v>
      </c>
      <c r="C60" s="346" t="s">
        <v>199</v>
      </c>
      <c r="D60" s="347"/>
      <c r="E60" s="363">
        <v>1265905.44</v>
      </c>
      <c r="F60" s="349">
        <v>182305.89</v>
      </c>
      <c r="G60" s="350">
        <f t="shared" ref="G60:G70" si="28">SUM(E60:F60)</f>
        <v>1448211.33</v>
      </c>
      <c r="N60" s="91">
        <f>+'Pro Forma Wage Adjustment'!P21</f>
        <v>101267.6759241525</v>
      </c>
      <c r="Q60" s="91">
        <f>+'Pro Forma Compliance Department'!L15</f>
        <v>183761.99296</v>
      </c>
      <c r="R60" s="310">
        <f>'MAOP UG-160787 Deferral'!D13</f>
        <v>959086.83400000003</v>
      </c>
      <c r="X60" s="351">
        <f t="shared" ref="X60:X70" si="29">SUM(I60:W60)</f>
        <v>1244116.5028841526</v>
      </c>
      <c r="Y60" s="351">
        <f t="shared" ref="Y60:Y70" si="30">+G60+X60</f>
        <v>2692327.8328841524</v>
      </c>
    </row>
    <row r="61" spans="1:25">
      <c r="A61" s="327">
        <v>54</v>
      </c>
      <c r="B61" s="345" t="s">
        <v>200</v>
      </c>
      <c r="C61" s="346" t="s">
        <v>201</v>
      </c>
      <c r="D61" s="347"/>
      <c r="E61" s="363">
        <v>90246.86</v>
      </c>
      <c r="F61" s="349">
        <v>395274.34</v>
      </c>
      <c r="G61" s="350">
        <f t="shared" si="28"/>
        <v>485521.2</v>
      </c>
      <c r="N61" s="91">
        <f>+'Pro Forma Wage Adjustment'!P22+'Pro Forma Wage Adjustment'!P39</f>
        <v>33387.590368974023</v>
      </c>
      <c r="X61" s="351">
        <f t="shared" si="29"/>
        <v>33387.590368974023</v>
      </c>
      <c r="Y61" s="351">
        <f t="shared" si="30"/>
        <v>518908.79036897403</v>
      </c>
    </row>
    <row r="62" spans="1:25">
      <c r="A62" s="35">
        <v>55</v>
      </c>
      <c r="B62" s="360" t="s">
        <v>202</v>
      </c>
      <c r="C62" s="346" t="s">
        <v>203</v>
      </c>
      <c r="D62" s="364"/>
      <c r="E62" s="363">
        <v>111564.47</v>
      </c>
      <c r="F62" s="349">
        <v>0</v>
      </c>
      <c r="G62" s="350">
        <f t="shared" si="28"/>
        <v>111564.47</v>
      </c>
      <c r="N62" s="91">
        <f>+'Pro Forma Wage Adjustment'!P40</f>
        <v>5603.6840876295882</v>
      </c>
      <c r="X62" s="351">
        <f t="shared" si="29"/>
        <v>5603.6840876295882</v>
      </c>
      <c r="Y62" s="351">
        <f t="shared" si="30"/>
        <v>117168.15408762959</v>
      </c>
    </row>
    <row r="63" spans="1:25">
      <c r="A63" s="327">
        <v>56</v>
      </c>
      <c r="B63" s="360" t="s">
        <v>204</v>
      </c>
      <c r="C63" s="346" t="s">
        <v>205</v>
      </c>
      <c r="D63" s="347"/>
      <c r="E63" s="363">
        <v>2941525.26</v>
      </c>
      <c r="F63" s="349">
        <v>570246.49</v>
      </c>
      <c r="G63" s="350">
        <f t="shared" si="28"/>
        <v>3511771.75</v>
      </c>
      <c r="N63" s="91">
        <f>+'Pro Forma Wage Adjustment'!P23+'Pro Forma Wage Adjustment'!P41</f>
        <v>176019.52035305998</v>
      </c>
      <c r="V63" s="387"/>
      <c r="X63" s="351">
        <f t="shared" si="29"/>
        <v>176019.52035305998</v>
      </c>
      <c r="Y63" s="351">
        <f t="shared" si="30"/>
        <v>3687791.2703530602</v>
      </c>
    </row>
    <row r="64" spans="1:25">
      <c r="A64" s="35">
        <v>57</v>
      </c>
      <c r="B64" s="345" t="s">
        <v>206</v>
      </c>
      <c r="C64" s="346" t="s">
        <v>207</v>
      </c>
      <c r="D64" s="347"/>
      <c r="E64" s="363">
        <v>492860.69</v>
      </c>
      <c r="F64" s="349">
        <v>97091.34</v>
      </c>
      <c r="G64" s="350">
        <f t="shared" si="28"/>
        <v>589952.03</v>
      </c>
      <c r="N64" s="91">
        <f>+'Pro Forma Wage Adjustment'!P42</f>
        <v>21608.346320120472</v>
      </c>
      <c r="X64" s="351">
        <f t="shared" si="29"/>
        <v>21608.346320120472</v>
      </c>
      <c r="Y64" s="351">
        <f t="shared" si="30"/>
        <v>611560.37632012053</v>
      </c>
    </row>
    <row r="65" spans="1:25">
      <c r="A65" s="327">
        <v>58</v>
      </c>
      <c r="B65" s="345" t="s">
        <v>208</v>
      </c>
      <c r="C65" s="346" t="s">
        <v>209</v>
      </c>
      <c r="D65" s="347"/>
      <c r="E65" s="363">
        <v>111243.52</v>
      </c>
      <c r="F65" s="349">
        <v>40900.660000000003</v>
      </c>
      <c r="G65" s="350">
        <f t="shared" si="28"/>
        <v>152144.18</v>
      </c>
      <c r="N65" s="91">
        <f>+'Pro Forma Wage Adjustment'!P43</f>
        <v>5047.1929699232796</v>
      </c>
      <c r="X65" s="351">
        <f t="shared" si="29"/>
        <v>5047.1929699232796</v>
      </c>
      <c r="Y65" s="351">
        <f t="shared" si="30"/>
        <v>157191.37296992328</v>
      </c>
    </row>
    <row r="66" spans="1:25">
      <c r="A66" s="35">
        <v>59</v>
      </c>
      <c r="B66" s="345" t="s">
        <v>210</v>
      </c>
      <c r="C66" s="346" t="s">
        <v>211</v>
      </c>
      <c r="D66" s="347"/>
      <c r="E66" s="363">
        <v>1321461.1100000001</v>
      </c>
      <c r="F66" s="349">
        <v>0</v>
      </c>
      <c r="G66" s="350">
        <f t="shared" si="28"/>
        <v>1321461.1100000001</v>
      </c>
      <c r="N66" s="91">
        <f>+'Pro Forma Wage Adjustment'!P24+'Pro Forma Wage Adjustment'!P44</f>
        <v>82190.81516810185</v>
      </c>
      <c r="X66" s="351">
        <f t="shared" si="29"/>
        <v>82190.81516810185</v>
      </c>
      <c r="Y66" s="351">
        <f t="shared" si="30"/>
        <v>1403651.9251681019</v>
      </c>
    </row>
    <row r="67" spans="1:25">
      <c r="A67" s="327">
        <v>60</v>
      </c>
      <c r="B67" s="345" t="s">
        <v>212</v>
      </c>
      <c r="C67" s="346" t="s">
        <v>213</v>
      </c>
      <c r="D67" s="347"/>
      <c r="E67" s="363">
        <v>1049257.67</v>
      </c>
      <c r="F67" s="349">
        <v>0</v>
      </c>
      <c r="G67" s="350">
        <f t="shared" si="28"/>
        <v>1049257.67</v>
      </c>
      <c r="N67" s="91">
        <f>+'Pro Forma Wage Adjustment'!P45</f>
        <v>67991.528019673511</v>
      </c>
      <c r="X67" s="351">
        <f t="shared" si="29"/>
        <v>67991.528019673511</v>
      </c>
      <c r="Y67" s="351">
        <f t="shared" si="30"/>
        <v>1117249.1980196733</v>
      </c>
    </row>
    <row r="68" spans="1:25">
      <c r="A68" s="35">
        <v>61</v>
      </c>
      <c r="B68" s="345" t="s">
        <v>214</v>
      </c>
      <c r="C68" s="346" t="s">
        <v>215</v>
      </c>
      <c r="D68" s="347"/>
      <c r="E68" s="363">
        <v>2478406.37</v>
      </c>
      <c r="F68" s="349">
        <v>809791.83</v>
      </c>
      <c r="G68" s="350">
        <f t="shared" si="28"/>
        <v>3288198.2</v>
      </c>
      <c r="N68" s="91">
        <f>+'Pro Forma Wage Adjustment'!P25+'Pro Forma Wage Adjustment'!P46</f>
        <v>108190.8393745224</v>
      </c>
      <c r="X68" s="351">
        <f t="shared" si="29"/>
        <v>108190.8393745224</v>
      </c>
      <c r="Y68" s="351">
        <f t="shared" si="30"/>
        <v>3396389.0393745224</v>
      </c>
    </row>
    <row r="69" spans="1:25">
      <c r="A69" s="327">
        <v>62</v>
      </c>
      <c r="B69" s="345" t="s">
        <v>216</v>
      </c>
      <c r="C69" s="346" t="s">
        <v>217</v>
      </c>
      <c r="D69" s="347"/>
      <c r="E69" s="363">
        <v>148018.69</v>
      </c>
      <c r="F69" s="349">
        <v>1881.99</v>
      </c>
      <c r="G69" s="350">
        <f t="shared" si="28"/>
        <v>149900.68</v>
      </c>
      <c r="X69" s="351">
        <f t="shared" si="29"/>
        <v>0</v>
      </c>
      <c r="Y69" s="351">
        <f t="shared" si="30"/>
        <v>149900.68</v>
      </c>
    </row>
    <row r="70" spans="1:25">
      <c r="A70" s="35">
        <v>63</v>
      </c>
      <c r="B70" s="345" t="s">
        <v>218</v>
      </c>
      <c r="C70" s="346" t="s">
        <v>219</v>
      </c>
      <c r="D70" s="364"/>
      <c r="E70" s="363">
        <v>0</v>
      </c>
      <c r="F70" s="349">
        <v>0</v>
      </c>
      <c r="G70" s="350">
        <f t="shared" si="28"/>
        <v>0</v>
      </c>
      <c r="X70" s="351">
        <f t="shared" si="29"/>
        <v>0</v>
      </c>
      <c r="Y70" s="351">
        <f t="shared" si="30"/>
        <v>0</v>
      </c>
    </row>
    <row r="71" spans="1:25">
      <c r="A71" s="327">
        <v>64</v>
      </c>
      <c r="B71" s="373"/>
      <c r="C71" s="388" t="s">
        <v>220</v>
      </c>
      <c r="D71" s="352"/>
      <c r="E71" s="353">
        <f t="shared" ref="E71:S71" si="31">SUM(E60:E70)</f>
        <v>10010490.08</v>
      </c>
      <c r="F71" s="366">
        <f t="shared" si="31"/>
        <v>2097492.54</v>
      </c>
      <c r="G71" s="355">
        <f t="shared" si="31"/>
        <v>12107982.620000001</v>
      </c>
      <c r="I71" s="355">
        <f t="shared" si="31"/>
        <v>0</v>
      </c>
      <c r="J71" s="355">
        <f t="shared" si="31"/>
        <v>0</v>
      </c>
      <c r="K71" s="356">
        <f>SUM(K60:K70)</f>
        <v>0</v>
      </c>
      <c r="L71" s="355">
        <f t="shared" si="31"/>
        <v>0</v>
      </c>
      <c r="M71" s="355">
        <f t="shared" si="31"/>
        <v>0</v>
      </c>
      <c r="N71" s="355">
        <f t="shared" si="31"/>
        <v>601307.19258615759</v>
      </c>
      <c r="O71" s="355">
        <f t="shared" si="31"/>
        <v>0</v>
      </c>
      <c r="P71" s="355">
        <f t="shared" si="31"/>
        <v>0</v>
      </c>
      <c r="Q71" s="355">
        <f t="shared" ref="Q71" si="32">SUM(Q60:Q70)</f>
        <v>183761.99296</v>
      </c>
      <c r="R71" s="357">
        <f t="shared" si="31"/>
        <v>959086.83400000003</v>
      </c>
      <c r="S71" s="355">
        <f t="shared" si="31"/>
        <v>0</v>
      </c>
      <c r="T71" s="355">
        <f t="shared" ref="T71" si="33">SUM(T60:T70)</f>
        <v>0</v>
      </c>
      <c r="U71" s="355">
        <f>SUM(U60:U70)</f>
        <v>0</v>
      </c>
      <c r="V71" s="355">
        <f>SUM(V60:V70)</f>
        <v>0</v>
      </c>
      <c r="W71" s="355">
        <f>SUM(W60:W70)</f>
        <v>0</v>
      </c>
      <c r="X71" s="355">
        <f>SUM(X60:X70)</f>
        <v>1744156.0195461577</v>
      </c>
      <c r="Y71" s="355">
        <f>SUM(Y60:Y70)</f>
        <v>13852138.63954616</v>
      </c>
    </row>
    <row r="72" spans="1:25">
      <c r="A72" s="35">
        <v>65</v>
      </c>
      <c r="B72" s="373"/>
      <c r="C72" s="342"/>
      <c r="D72" s="347"/>
      <c r="E72" s="348"/>
      <c r="F72" s="359"/>
      <c r="G72" s="350"/>
    </row>
    <row r="73" spans="1:25">
      <c r="A73" s="327">
        <v>66</v>
      </c>
      <c r="B73" s="341" t="s">
        <v>221</v>
      </c>
      <c r="C73" s="342"/>
      <c r="D73" s="347"/>
      <c r="E73" s="348"/>
      <c r="F73" s="359"/>
      <c r="G73" s="350"/>
    </row>
    <row r="74" spans="1:25">
      <c r="A74" s="35">
        <v>67</v>
      </c>
      <c r="B74" s="345" t="s">
        <v>222</v>
      </c>
      <c r="C74" s="346" t="s">
        <v>223</v>
      </c>
      <c r="D74" s="364"/>
      <c r="E74" s="363">
        <v>113684.28</v>
      </c>
      <c r="F74" s="349">
        <v>20136.150000000001</v>
      </c>
      <c r="G74" s="365">
        <f t="shared" ref="G74:G82" si="34">SUM(E74:F74)</f>
        <v>133820.43</v>
      </c>
      <c r="N74" s="91">
        <f>+'Pro Forma Wage Adjustment'!P26</f>
        <v>9843.9646467216407</v>
      </c>
      <c r="X74" s="351">
        <f t="shared" ref="X74:X82" si="35">SUM(I74:W74)</f>
        <v>9843.9646467216407</v>
      </c>
      <c r="Y74" s="351">
        <f t="shared" ref="Y74:Y82" si="36">+G74+X74</f>
        <v>143664.39464672163</v>
      </c>
    </row>
    <row r="75" spans="1:25">
      <c r="A75" s="327">
        <v>68</v>
      </c>
      <c r="B75" s="345" t="s">
        <v>224</v>
      </c>
      <c r="C75" s="346" t="s">
        <v>225</v>
      </c>
      <c r="D75" s="347"/>
      <c r="E75" s="363">
        <v>15119.07</v>
      </c>
      <c r="F75" s="349">
        <v>715.76</v>
      </c>
      <c r="G75" s="362">
        <f t="shared" si="34"/>
        <v>15834.83</v>
      </c>
      <c r="N75" s="91">
        <f>+'Pro Forma Wage Adjustment'!P47</f>
        <v>4.6540771200000002</v>
      </c>
      <c r="X75" s="351">
        <f t="shared" si="35"/>
        <v>4.6540771200000002</v>
      </c>
      <c r="Y75" s="351">
        <f t="shared" si="36"/>
        <v>15839.48407712</v>
      </c>
    </row>
    <row r="76" spans="1:25">
      <c r="A76" s="35">
        <v>69</v>
      </c>
      <c r="B76" s="345" t="s">
        <v>226</v>
      </c>
      <c r="C76" s="346" t="s">
        <v>227</v>
      </c>
      <c r="D76" s="347"/>
      <c r="E76" s="363">
        <v>1231030.56</v>
      </c>
      <c r="F76" s="349">
        <v>23066.04</v>
      </c>
      <c r="G76" s="362">
        <f t="shared" si="34"/>
        <v>1254096.6000000001</v>
      </c>
      <c r="N76" s="91">
        <f>+'Pro Forma Wage Adjustment'!P27+'Pro Forma Wage Adjustment'!P48</f>
        <v>42988.415787117483</v>
      </c>
      <c r="X76" s="351">
        <f t="shared" si="35"/>
        <v>42988.415787117483</v>
      </c>
      <c r="Y76" s="351">
        <f t="shared" si="36"/>
        <v>1297085.0157871176</v>
      </c>
    </row>
    <row r="77" spans="1:25">
      <c r="A77" s="327">
        <v>70</v>
      </c>
      <c r="B77" s="360" t="s">
        <v>228</v>
      </c>
      <c r="C77" s="346" t="s">
        <v>203</v>
      </c>
      <c r="D77" s="364"/>
      <c r="E77" s="363">
        <v>39409.83</v>
      </c>
      <c r="F77" s="349">
        <v>3825.97</v>
      </c>
      <c r="G77" s="365">
        <f t="shared" si="34"/>
        <v>43235.8</v>
      </c>
      <c r="N77" s="91">
        <f>+'Pro Forma Wage Adjustment'!P49</f>
        <v>1280.0387279048994</v>
      </c>
      <c r="X77" s="351">
        <f t="shared" si="35"/>
        <v>1280.0387279048994</v>
      </c>
      <c r="Y77" s="351">
        <f t="shared" si="36"/>
        <v>44515.838727904906</v>
      </c>
    </row>
    <row r="78" spans="1:25">
      <c r="A78" s="35">
        <v>71</v>
      </c>
      <c r="B78" s="345" t="s">
        <v>229</v>
      </c>
      <c r="C78" s="346" t="s">
        <v>230</v>
      </c>
      <c r="D78" s="347"/>
      <c r="E78" s="363">
        <v>330076.05</v>
      </c>
      <c r="F78" s="389">
        <v>3175.64</v>
      </c>
      <c r="G78" s="362">
        <f t="shared" si="34"/>
        <v>333251.69</v>
      </c>
      <c r="N78" s="91">
        <f>+'Pro Forma Wage Adjustment'!P50</f>
        <v>15556.733922439462</v>
      </c>
      <c r="X78" s="351">
        <f t="shared" si="35"/>
        <v>15556.733922439462</v>
      </c>
      <c r="Y78" s="351">
        <f t="shared" si="36"/>
        <v>348808.42392243946</v>
      </c>
    </row>
    <row r="79" spans="1:25">
      <c r="A79" s="327">
        <v>72</v>
      </c>
      <c r="B79" s="345" t="s">
        <v>231</v>
      </c>
      <c r="C79" s="346" t="s">
        <v>232</v>
      </c>
      <c r="D79" s="347"/>
      <c r="E79" s="363">
        <v>21279.35</v>
      </c>
      <c r="F79" s="389" t="s">
        <v>987</v>
      </c>
      <c r="G79" s="362">
        <f t="shared" si="34"/>
        <v>21279.35</v>
      </c>
      <c r="N79" s="91">
        <f>+'Pro Forma Wage Adjustment'!P51</f>
        <v>738.35822737941965</v>
      </c>
      <c r="X79" s="351">
        <f t="shared" si="35"/>
        <v>738.35822737941965</v>
      </c>
      <c r="Y79" s="351">
        <f t="shared" si="36"/>
        <v>22017.708227379419</v>
      </c>
    </row>
    <row r="80" spans="1:25">
      <c r="A80" s="35">
        <v>73</v>
      </c>
      <c r="B80" s="345" t="s">
        <v>233</v>
      </c>
      <c r="C80" s="346" t="s">
        <v>113</v>
      </c>
      <c r="D80" s="347"/>
      <c r="E80" s="363">
        <v>1172841.0900000001</v>
      </c>
      <c r="F80" s="389">
        <v>4184.87</v>
      </c>
      <c r="G80" s="362">
        <f t="shared" si="34"/>
        <v>1177025.9600000002</v>
      </c>
      <c r="N80" s="91">
        <f>+'Pro Forma Wage Adjustment'!P28+'Pro Forma Wage Adjustment'!P52</f>
        <v>59966.527919198685</v>
      </c>
      <c r="X80" s="351">
        <f t="shared" si="35"/>
        <v>59966.527919198685</v>
      </c>
      <c r="Y80" s="351">
        <f t="shared" si="36"/>
        <v>1236992.4879191988</v>
      </c>
    </row>
    <row r="81" spans="1:25">
      <c r="A81" s="327">
        <v>74</v>
      </c>
      <c r="B81" s="345" t="s">
        <v>234</v>
      </c>
      <c r="C81" s="346" t="s">
        <v>235</v>
      </c>
      <c r="D81" s="347"/>
      <c r="E81" s="363">
        <v>888408.89</v>
      </c>
      <c r="F81" s="389">
        <v>204765.56</v>
      </c>
      <c r="G81" s="362">
        <f t="shared" si="34"/>
        <v>1093174.45</v>
      </c>
      <c r="N81" s="91">
        <f>+'Pro Forma Wage Adjustment'!P29+'Pro Forma Wage Adjustment'!P53</f>
        <v>64841.504368524307</v>
      </c>
      <c r="X81" s="351">
        <f t="shared" si="35"/>
        <v>64841.504368524307</v>
      </c>
      <c r="Y81" s="351">
        <f t="shared" si="36"/>
        <v>1158015.9543685243</v>
      </c>
    </row>
    <row r="82" spans="1:25">
      <c r="A82" s="35">
        <v>75</v>
      </c>
      <c r="B82" s="345" t="s">
        <v>236</v>
      </c>
      <c r="C82" s="346" t="s">
        <v>237</v>
      </c>
      <c r="D82" s="347"/>
      <c r="E82" s="363">
        <v>144620.75</v>
      </c>
      <c r="F82" s="389">
        <v>1954.91</v>
      </c>
      <c r="G82" s="362">
        <f t="shared" si="34"/>
        <v>146575.66</v>
      </c>
      <c r="N82" s="91">
        <f>+'Pro Forma Wage Adjustment'!P54</f>
        <v>4497.1481727372602</v>
      </c>
      <c r="X82" s="351">
        <f t="shared" si="35"/>
        <v>4497.1481727372602</v>
      </c>
      <c r="Y82" s="351">
        <f t="shared" si="36"/>
        <v>151072.80817273728</v>
      </c>
    </row>
    <row r="83" spans="1:25">
      <c r="A83" s="327">
        <v>76</v>
      </c>
      <c r="B83" s="373"/>
      <c r="C83" s="388" t="s">
        <v>238</v>
      </c>
      <c r="D83" s="352"/>
      <c r="E83" s="353">
        <f t="shared" ref="E83:G83" si="37">SUM(E74:E82)</f>
        <v>3956469.8700000006</v>
      </c>
      <c r="F83" s="366">
        <f t="shared" si="37"/>
        <v>261824.9</v>
      </c>
      <c r="G83" s="355">
        <f t="shared" si="37"/>
        <v>4218294.7700000005</v>
      </c>
      <c r="I83" s="355">
        <f t="shared" ref="I83:S83" si="38">SUM(I74:I82)</f>
        <v>0</v>
      </c>
      <c r="J83" s="355">
        <f t="shared" si="38"/>
        <v>0</v>
      </c>
      <c r="K83" s="356">
        <f>SUM(K74:K82)</f>
        <v>0</v>
      </c>
      <c r="L83" s="355">
        <f>SUM(L74:L82)</f>
        <v>0</v>
      </c>
      <c r="M83" s="355">
        <f t="shared" si="38"/>
        <v>0</v>
      </c>
      <c r="N83" s="355">
        <f t="shared" si="38"/>
        <v>199717.34584914317</v>
      </c>
      <c r="O83" s="355">
        <f t="shared" si="38"/>
        <v>0</v>
      </c>
      <c r="P83" s="355">
        <f t="shared" si="38"/>
        <v>0</v>
      </c>
      <c r="Q83" s="355">
        <f t="shared" ref="Q83" si="39">SUM(Q74:Q82)</f>
        <v>0</v>
      </c>
      <c r="R83" s="357">
        <f>SUM(R74:R82)</f>
        <v>0</v>
      </c>
      <c r="S83" s="355">
        <f t="shared" si="38"/>
        <v>0</v>
      </c>
      <c r="T83" s="355">
        <f t="shared" ref="T83" si="40">SUM(T74:T82)</f>
        <v>0</v>
      </c>
      <c r="U83" s="355">
        <f>SUM(U74:U82)</f>
        <v>0</v>
      </c>
      <c r="V83" s="355">
        <f>SUM(V74:V82)</f>
        <v>0</v>
      </c>
      <c r="W83" s="355">
        <f>SUM(W74:W82)</f>
        <v>0</v>
      </c>
      <c r="X83" s="355">
        <f>SUM(X74:X82)</f>
        <v>199717.34584914317</v>
      </c>
      <c r="Y83" s="355">
        <f>SUM(Y74:Y82)</f>
        <v>4418012.1158491438</v>
      </c>
    </row>
    <row r="84" spans="1:25">
      <c r="A84" s="35">
        <v>77</v>
      </c>
      <c r="B84" s="341" t="s">
        <v>239</v>
      </c>
      <c r="C84" s="342"/>
      <c r="D84" s="379"/>
      <c r="E84" s="380">
        <f t="shared" ref="E84:G84" si="41">E71+E83</f>
        <v>13966959.950000001</v>
      </c>
      <c r="F84" s="390">
        <f t="shared" si="41"/>
        <v>2359317.44</v>
      </c>
      <c r="G84" s="382">
        <f t="shared" si="41"/>
        <v>16326277.390000001</v>
      </c>
      <c r="I84" s="382">
        <f t="shared" ref="I84:S84" si="42">I71+I83</f>
        <v>0</v>
      </c>
      <c r="J84" s="382">
        <f t="shared" si="42"/>
        <v>0</v>
      </c>
      <c r="K84" s="383">
        <f>K71+K83</f>
        <v>0</v>
      </c>
      <c r="L84" s="382">
        <f>L71+L83</f>
        <v>0</v>
      </c>
      <c r="M84" s="382">
        <f t="shared" si="42"/>
        <v>0</v>
      </c>
      <c r="N84" s="382">
        <f t="shared" si="42"/>
        <v>801024.53843530081</v>
      </c>
      <c r="O84" s="382">
        <f t="shared" si="42"/>
        <v>0</v>
      </c>
      <c r="P84" s="382">
        <f t="shared" si="42"/>
        <v>0</v>
      </c>
      <c r="Q84" s="382">
        <f t="shared" ref="Q84" si="43">Q71+Q83</f>
        <v>183761.99296</v>
      </c>
      <c r="R84" s="384">
        <f>R71+R83</f>
        <v>959086.83400000003</v>
      </c>
      <c r="S84" s="382">
        <f t="shared" si="42"/>
        <v>0</v>
      </c>
      <c r="T84" s="382">
        <f t="shared" ref="T84" si="44">T71+T83</f>
        <v>0</v>
      </c>
      <c r="U84" s="382">
        <f>U71+U83</f>
        <v>0</v>
      </c>
      <c r="V84" s="382">
        <f>V71+V83</f>
        <v>0</v>
      </c>
      <c r="W84" s="382">
        <f>W71+W83</f>
        <v>0</v>
      </c>
      <c r="X84" s="382">
        <f>X71+X83</f>
        <v>1943873.3653953008</v>
      </c>
      <c r="Y84" s="382">
        <f>Y71+Y83</f>
        <v>18270150.755395304</v>
      </c>
    </row>
    <row r="85" spans="1:25">
      <c r="A85" s="327">
        <v>78</v>
      </c>
      <c r="B85" s="373"/>
      <c r="C85" s="342"/>
      <c r="D85" s="347"/>
      <c r="E85" s="348"/>
      <c r="F85" s="359"/>
      <c r="G85" s="350"/>
    </row>
    <row r="86" spans="1:25">
      <c r="A86" s="35">
        <v>79</v>
      </c>
      <c r="B86" s="341" t="s">
        <v>240</v>
      </c>
      <c r="C86" s="342"/>
      <c r="D86" s="347"/>
      <c r="E86" s="348"/>
      <c r="F86" s="359"/>
      <c r="G86" s="350"/>
    </row>
    <row r="87" spans="1:25">
      <c r="A87" s="327">
        <v>80</v>
      </c>
      <c r="B87" s="345" t="s">
        <v>241</v>
      </c>
      <c r="C87" s="346" t="s">
        <v>242</v>
      </c>
      <c r="D87" s="347"/>
      <c r="E87" s="363">
        <v>-2718</v>
      </c>
      <c r="F87" s="389">
        <v>-9.7899999999999991</v>
      </c>
      <c r="G87" s="362">
        <f>SUM(E87:F87)</f>
        <v>-2727.79</v>
      </c>
      <c r="X87" s="351">
        <f>SUM(I87:W87)</f>
        <v>0</v>
      </c>
      <c r="Y87" s="351">
        <f>+G87+X87</f>
        <v>-2727.79</v>
      </c>
    </row>
    <row r="88" spans="1:25">
      <c r="A88" s="35">
        <v>81</v>
      </c>
      <c r="B88" s="345" t="s">
        <v>243</v>
      </c>
      <c r="C88" s="346" t="s">
        <v>244</v>
      </c>
      <c r="D88" s="347"/>
      <c r="E88" s="363">
        <v>424648.59</v>
      </c>
      <c r="F88" s="389">
        <v>98249.5</v>
      </c>
      <c r="G88" s="362">
        <f>SUM(E88:F88)</f>
        <v>522898.09</v>
      </c>
      <c r="N88" s="91">
        <f>+'Pro Forma Wage Adjustment'!P55</f>
        <v>26016.440478029759</v>
      </c>
      <c r="X88" s="351">
        <f>SUM(I88:W88)</f>
        <v>26016.440478029759</v>
      </c>
      <c r="Y88" s="351">
        <f>+G88+X88</f>
        <v>548914.53047802974</v>
      </c>
    </row>
    <row r="89" spans="1:25">
      <c r="A89" s="327">
        <v>82</v>
      </c>
      <c r="B89" s="345" t="s">
        <v>245</v>
      </c>
      <c r="C89" s="346" t="s">
        <v>246</v>
      </c>
      <c r="D89" s="347"/>
      <c r="E89" s="363">
        <v>523112.58</v>
      </c>
      <c r="F89" s="389">
        <v>4560961.6900000004</v>
      </c>
      <c r="G89" s="362">
        <f>SUM(E89:F89)</f>
        <v>5084074.2700000005</v>
      </c>
      <c r="N89" s="91">
        <f>+'Pro Forma Wage Adjustment'!P30+'Pro Forma Wage Adjustment'!P56+'Pro Forma Wage Adjustment'!P31</f>
        <v>61048.327435994201</v>
      </c>
      <c r="X89" s="351">
        <f>SUM(I89:W89)</f>
        <v>61048.327435994201</v>
      </c>
      <c r="Y89" s="351">
        <f>+G89+X89</f>
        <v>5145122.597435995</v>
      </c>
    </row>
    <row r="90" spans="1:25">
      <c r="A90" s="35">
        <v>83</v>
      </c>
      <c r="B90" s="345" t="s">
        <v>247</v>
      </c>
      <c r="C90" s="346" t="s">
        <v>23</v>
      </c>
      <c r="D90" s="347"/>
      <c r="E90" s="363">
        <v>765092.15</v>
      </c>
      <c r="F90" s="389">
        <v>12975.59</v>
      </c>
      <c r="G90" s="362">
        <f>SUM(E90:F90)</f>
        <v>778067.74</v>
      </c>
      <c r="I90" s="91">
        <f>+'Exh MPP-5 - Summary of Adj'!G26</f>
        <v>58685.9549560913</v>
      </c>
      <c r="K90" s="311">
        <f>+'Exh MPP-5 - Summary of Adj'!I26</f>
        <v>-33110.072785635421</v>
      </c>
      <c r="O90" s="116">
        <f>+'Exh MPP-5 - Summary of Adj'!N26</f>
        <v>758.39417037203009</v>
      </c>
      <c r="S90" s="91">
        <f>'Exh MPP-5 - Summary of Adj'!R26</f>
        <v>-385.54302205501142</v>
      </c>
      <c r="U90" s="91">
        <f>+'Exh MPP-5 - Summary of Adj'!T26</f>
        <v>19799.986812358373</v>
      </c>
      <c r="X90" s="351">
        <f>SUM(I90:W90)</f>
        <v>45748.720131131267</v>
      </c>
      <c r="Y90" s="351">
        <f>+G90+X90</f>
        <v>823816.46013113123</v>
      </c>
    </row>
    <row r="91" spans="1:25">
      <c r="A91" s="327">
        <v>84</v>
      </c>
      <c r="B91" s="345" t="s">
        <v>248</v>
      </c>
      <c r="C91" s="346" t="s">
        <v>249</v>
      </c>
      <c r="D91" s="347"/>
      <c r="E91" s="363">
        <v>0</v>
      </c>
      <c r="F91" s="389">
        <v>795.98</v>
      </c>
      <c r="G91" s="362">
        <f>SUM(E91:F91)</f>
        <v>795.98</v>
      </c>
      <c r="X91" s="351">
        <f>SUM(I91:W91)</f>
        <v>0</v>
      </c>
      <c r="Y91" s="351">
        <f>+G91+X91</f>
        <v>795.98</v>
      </c>
    </row>
    <row r="92" spans="1:25">
      <c r="A92" s="35">
        <v>85</v>
      </c>
      <c r="B92" s="341" t="s">
        <v>250</v>
      </c>
      <c r="C92" s="342"/>
      <c r="D92" s="352"/>
      <c r="E92" s="353">
        <f t="shared" ref="E92:S92" si="45">SUM(E87:E91)</f>
        <v>1710135.32</v>
      </c>
      <c r="F92" s="366">
        <f t="shared" si="45"/>
        <v>4672972.9700000007</v>
      </c>
      <c r="G92" s="355">
        <f t="shared" si="45"/>
        <v>6383108.290000001</v>
      </c>
      <c r="I92" s="355">
        <f t="shared" si="45"/>
        <v>58685.9549560913</v>
      </c>
      <c r="J92" s="355">
        <f t="shared" si="45"/>
        <v>0</v>
      </c>
      <c r="K92" s="356">
        <f>SUM(K87:K91)</f>
        <v>-33110.072785635421</v>
      </c>
      <c r="L92" s="355">
        <f t="shared" si="45"/>
        <v>0</v>
      </c>
      <c r="M92" s="355">
        <f t="shared" si="45"/>
        <v>0</v>
      </c>
      <c r="N92" s="355">
        <f t="shared" si="45"/>
        <v>87064.767914023963</v>
      </c>
      <c r="O92" s="355">
        <f t="shared" si="45"/>
        <v>758.39417037203009</v>
      </c>
      <c r="P92" s="355">
        <f t="shared" si="45"/>
        <v>0</v>
      </c>
      <c r="Q92" s="355">
        <f t="shared" ref="Q92" si="46">SUM(Q87:Q91)</f>
        <v>0</v>
      </c>
      <c r="R92" s="357">
        <f t="shared" si="45"/>
        <v>0</v>
      </c>
      <c r="S92" s="355">
        <f t="shared" si="45"/>
        <v>-385.54302205501142</v>
      </c>
      <c r="T92" s="355">
        <f t="shared" ref="T92" si="47">SUM(T87:T91)</f>
        <v>0</v>
      </c>
      <c r="U92" s="355">
        <f>SUM(U87:U91)</f>
        <v>19799.986812358373</v>
      </c>
      <c r="V92" s="355">
        <f>SUM(V87:V91)</f>
        <v>0</v>
      </c>
      <c r="W92" s="355">
        <f>SUM(W87:W91)</f>
        <v>0</v>
      </c>
      <c r="X92" s="355">
        <f>SUM(X87:X91)</f>
        <v>132813.48804515525</v>
      </c>
      <c r="Y92" s="355">
        <f>SUM(Y87:Y91)</f>
        <v>6515921.778045156</v>
      </c>
    </row>
    <row r="93" spans="1:25">
      <c r="A93" s="327">
        <v>86</v>
      </c>
      <c r="B93" s="373"/>
      <c r="C93" s="342"/>
      <c r="D93" s="347"/>
      <c r="E93" s="348"/>
      <c r="F93" s="359"/>
      <c r="G93" s="350"/>
    </row>
    <row r="94" spans="1:25">
      <c r="A94" s="35">
        <v>87</v>
      </c>
      <c r="B94" s="341" t="s">
        <v>251</v>
      </c>
      <c r="C94" s="342"/>
      <c r="D94" s="347"/>
      <c r="E94" s="348"/>
      <c r="F94" s="359"/>
      <c r="G94" s="350"/>
    </row>
    <row r="95" spans="1:25">
      <c r="A95" s="327">
        <v>88</v>
      </c>
      <c r="B95" s="345" t="s">
        <v>252</v>
      </c>
      <c r="C95" s="346" t="s">
        <v>242</v>
      </c>
      <c r="D95" s="347"/>
      <c r="E95" s="363">
        <v>0</v>
      </c>
      <c r="F95" s="389" t="s">
        <v>987</v>
      </c>
      <c r="G95" s="362">
        <f>SUM(E95:F95)</f>
        <v>0</v>
      </c>
      <c r="X95" s="351">
        <f>SUM(I95:W95)</f>
        <v>0</v>
      </c>
      <c r="Y95" s="351">
        <f>+G95+X95</f>
        <v>0</v>
      </c>
    </row>
    <row r="96" spans="1:25">
      <c r="A96" s="35">
        <v>89</v>
      </c>
      <c r="B96" s="345" t="s">
        <v>253</v>
      </c>
      <c r="C96" s="346" t="s">
        <v>254</v>
      </c>
      <c r="D96" s="347"/>
      <c r="E96" s="363">
        <v>533408.34</v>
      </c>
      <c r="F96" s="389">
        <v>250785.94</v>
      </c>
      <c r="G96" s="362">
        <f>SUM(E96:F96)</f>
        <v>784194.28</v>
      </c>
      <c r="L96" s="391">
        <f>-'Low-Income Bill Assistance'!F20</f>
        <v>-533333.36</v>
      </c>
      <c r="X96" s="351">
        <f>SUM(I96:W96)</f>
        <v>-533333.36</v>
      </c>
      <c r="Y96" s="351">
        <f>+G96+X96</f>
        <v>250860.92000000004</v>
      </c>
    </row>
    <row r="97" spans="1:25">
      <c r="A97" s="327">
        <v>90</v>
      </c>
      <c r="B97" s="345" t="s">
        <v>255</v>
      </c>
      <c r="C97" s="346" t="s">
        <v>256</v>
      </c>
      <c r="D97" s="347"/>
      <c r="E97" s="363">
        <v>9245.2199999999993</v>
      </c>
      <c r="F97" s="389">
        <v>30656.14</v>
      </c>
      <c r="G97" s="362">
        <f>SUM(E97:F97)</f>
        <v>39901.360000000001</v>
      </c>
      <c r="Y97" s="351">
        <f>+G97+X97</f>
        <v>39901.360000000001</v>
      </c>
    </row>
    <row r="98" spans="1:25">
      <c r="A98" s="35">
        <v>91</v>
      </c>
      <c r="B98" s="392" t="s">
        <v>257</v>
      </c>
      <c r="C98" s="346" t="s">
        <v>258</v>
      </c>
      <c r="D98" s="364"/>
      <c r="E98" s="363">
        <v>0</v>
      </c>
      <c r="F98" s="389" t="s">
        <v>987</v>
      </c>
      <c r="G98" s="365">
        <f>SUM(E98:F98)</f>
        <v>0</v>
      </c>
      <c r="Y98" s="351">
        <f>+G98+X98</f>
        <v>0</v>
      </c>
    </row>
    <row r="99" spans="1:25">
      <c r="A99" s="327">
        <v>92</v>
      </c>
      <c r="B99" s="358" t="s">
        <v>259</v>
      </c>
      <c r="C99" s="342"/>
      <c r="D99" s="352"/>
      <c r="E99" s="353">
        <f t="shared" ref="E99:S99" si="48">SUM(E95:E98)</f>
        <v>542653.55999999994</v>
      </c>
      <c r="F99" s="366">
        <f t="shared" si="48"/>
        <v>281442.08</v>
      </c>
      <c r="G99" s="355">
        <f t="shared" si="48"/>
        <v>824095.64</v>
      </c>
      <c r="I99" s="355">
        <f t="shared" si="48"/>
        <v>0</v>
      </c>
      <c r="J99" s="355">
        <f t="shared" si="48"/>
        <v>0</v>
      </c>
      <c r="K99" s="356">
        <f>SUM(K95:K98)</f>
        <v>0</v>
      </c>
      <c r="L99" s="355">
        <f t="shared" si="48"/>
        <v>-533333.36</v>
      </c>
      <c r="M99" s="355">
        <f t="shared" si="48"/>
        <v>0</v>
      </c>
      <c r="N99" s="355">
        <f t="shared" si="48"/>
        <v>0</v>
      </c>
      <c r="O99" s="355">
        <f t="shared" si="48"/>
        <v>0</v>
      </c>
      <c r="P99" s="355">
        <f t="shared" si="48"/>
        <v>0</v>
      </c>
      <c r="Q99" s="355">
        <f t="shared" ref="Q99" si="49">SUM(Q95:Q98)</f>
        <v>0</v>
      </c>
      <c r="R99" s="357">
        <f t="shared" si="48"/>
        <v>0</v>
      </c>
      <c r="S99" s="355">
        <f t="shared" si="48"/>
        <v>0</v>
      </c>
      <c r="T99" s="355">
        <f t="shared" ref="T99" si="50">SUM(T95:T98)</f>
        <v>0</v>
      </c>
      <c r="U99" s="355">
        <f>SUM(U95:U98)</f>
        <v>0</v>
      </c>
      <c r="V99" s="355">
        <f>SUM(V95:V98)</f>
        <v>0</v>
      </c>
      <c r="W99" s="355">
        <f>SUM(W95:W98)</f>
        <v>0</v>
      </c>
      <c r="X99" s="355">
        <f>SUM(X95:X98)</f>
        <v>-533333.36</v>
      </c>
      <c r="Y99" s="355">
        <f>SUM(Y95:Y98)</f>
        <v>290762.28000000003</v>
      </c>
    </row>
    <row r="100" spans="1:25">
      <c r="A100" s="35">
        <v>93</v>
      </c>
      <c r="B100" s="373"/>
      <c r="C100" s="342"/>
      <c r="D100" s="347"/>
      <c r="E100" s="348"/>
      <c r="F100" s="359"/>
      <c r="G100" s="350"/>
    </row>
    <row r="101" spans="1:25">
      <c r="A101" s="327">
        <v>94</v>
      </c>
      <c r="B101" s="341" t="s">
        <v>260</v>
      </c>
      <c r="C101" s="342"/>
      <c r="D101" s="347"/>
      <c r="E101" s="348"/>
      <c r="F101" s="359"/>
      <c r="G101" s="350"/>
    </row>
    <row r="102" spans="1:25">
      <c r="A102" s="35">
        <v>95</v>
      </c>
      <c r="B102" s="345" t="s">
        <v>261</v>
      </c>
      <c r="C102" s="346" t="s">
        <v>242</v>
      </c>
      <c r="D102" s="364"/>
      <c r="E102" s="363">
        <v>0</v>
      </c>
      <c r="F102" s="349">
        <v>0</v>
      </c>
      <c r="G102" s="365">
        <f>SUM(E102:F102)</f>
        <v>0</v>
      </c>
      <c r="X102" s="351">
        <f>SUM(I102:W102)</f>
        <v>0</v>
      </c>
      <c r="Y102" s="351">
        <f>+G102+X102</f>
        <v>0</v>
      </c>
    </row>
    <row r="103" spans="1:25">
      <c r="A103" s="327">
        <v>96</v>
      </c>
      <c r="B103" s="345" t="s">
        <v>262</v>
      </c>
      <c r="C103" s="346" t="s">
        <v>263</v>
      </c>
      <c r="D103" s="364"/>
      <c r="E103" s="363">
        <v>0</v>
      </c>
      <c r="F103" s="349">
        <v>0</v>
      </c>
      <c r="G103" s="365">
        <f>SUM(E103:F103)</f>
        <v>0</v>
      </c>
      <c r="X103" s="351">
        <f>SUM(I103:W103)</f>
        <v>0</v>
      </c>
      <c r="Y103" s="351">
        <f>+G103+X103</f>
        <v>0</v>
      </c>
    </row>
    <row r="104" spans="1:25">
      <c r="A104" s="35">
        <v>97</v>
      </c>
      <c r="B104" s="345" t="s">
        <v>264</v>
      </c>
      <c r="C104" s="346" t="s">
        <v>58</v>
      </c>
      <c r="D104" s="364"/>
      <c r="E104" s="363">
        <v>20.25</v>
      </c>
      <c r="F104" s="349">
        <v>4896.34</v>
      </c>
      <c r="G104" s="365">
        <f>SUM(E104:F104)</f>
        <v>4916.59</v>
      </c>
      <c r="J104" s="91">
        <f>-'Advertising Adj'!F29</f>
        <v>-4916.5899999999992</v>
      </c>
      <c r="X104" s="351">
        <f>SUM(I104:W104)</f>
        <v>-4916.5899999999992</v>
      </c>
      <c r="Y104" s="351">
        <f>+G104+X104</f>
        <v>0</v>
      </c>
    </row>
    <row r="105" spans="1:25">
      <c r="A105" s="327">
        <v>98</v>
      </c>
      <c r="B105" s="345" t="s">
        <v>265</v>
      </c>
      <c r="C105" s="346" t="s">
        <v>266</v>
      </c>
      <c r="D105" s="364"/>
      <c r="E105" s="363">
        <v>0</v>
      </c>
      <c r="F105" s="349">
        <v>0</v>
      </c>
      <c r="G105" s="365">
        <f>SUM(E105:F105)</f>
        <v>0</v>
      </c>
      <c r="X105" s="351">
        <f>SUM(I105:W105)</f>
        <v>0</v>
      </c>
      <c r="Y105" s="351">
        <f>+G105+X105</f>
        <v>0</v>
      </c>
    </row>
    <row r="106" spans="1:25">
      <c r="A106" s="35">
        <v>99</v>
      </c>
      <c r="B106" s="341" t="s">
        <v>267</v>
      </c>
      <c r="C106" s="342"/>
      <c r="D106" s="376"/>
      <c r="E106" s="377">
        <f t="shared" ref="E106:S106" si="51">SUM(E102:E105)</f>
        <v>20.25</v>
      </c>
      <c r="F106" s="354">
        <f t="shared" si="51"/>
        <v>4896.34</v>
      </c>
      <c r="G106" s="356">
        <f t="shared" si="51"/>
        <v>4916.59</v>
      </c>
      <c r="I106" s="355">
        <f t="shared" si="51"/>
        <v>0</v>
      </c>
      <c r="J106" s="355">
        <f t="shared" si="51"/>
        <v>-4916.5899999999992</v>
      </c>
      <c r="K106" s="356">
        <f>SUM(K102:K105)</f>
        <v>0</v>
      </c>
      <c r="L106" s="355">
        <f t="shared" si="51"/>
        <v>0</v>
      </c>
      <c r="M106" s="355">
        <f t="shared" si="51"/>
        <v>0</v>
      </c>
      <c r="N106" s="355">
        <f t="shared" si="51"/>
        <v>0</v>
      </c>
      <c r="O106" s="355">
        <f t="shared" si="51"/>
        <v>0</v>
      </c>
      <c r="P106" s="355">
        <f t="shared" si="51"/>
        <v>0</v>
      </c>
      <c r="Q106" s="355">
        <f t="shared" ref="Q106" si="52">SUM(Q102:Q105)</f>
        <v>0</v>
      </c>
      <c r="R106" s="357">
        <f t="shared" si="51"/>
        <v>0</v>
      </c>
      <c r="S106" s="355">
        <f t="shared" si="51"/>
        <v>0</v>
      </c>
      <c r="T106" s="355">
        <f t="shared" ref="T106" si="53">SUM(T102:T105)</f>
        <v>0</v>
      </c>
      <c r="U106" s="355">
        <f>SUM(U102:U105)</f>
        <v>0</v>
      </c>
      <c r="V106" s="356">
        <f>SUM(V102:V105)</f>
        <v>0</v>
      </c>
      <c r="W106" s="356">
        <f>SUM(W102:W105)</f>
        <v>0</v>
      </c>
      <c r="X106" s="356">
        <f>SUM(X102:X105)</f>
        <v>-4916.5899999999992</v>
      </c>
      <c r="Y106" s="356">
        <f>SUM(Y102:Y105)</f>
        <v>0</v>
      </c>
    </row>
    <row r="107" spans="1:25">
      <c r="A107" s="327">
        <v>100</v>
      </c>
      <c r="B107" s="373"/>
      <c r="C107" s="342"/>
      <c r="D107" s="347"/>
      <c r="E107" s="348"/>
      <c r="F107" s="359"/>
      <c r="G107" s="350"/>
    </row>
    <row r="108" spans="1:25">
      <c r="A108" s="35">
        <v>101</v>
      </c>
      <c r="B108" s="341" t="s">
        <v>268</v>
      </c>
      <c r="C108" s="342"/>
      <c r="D108" s="347"/>
      <c r="E108" s="348"/>
      <c r="F108" s="359"/>
      <c r="G108" s="350"/>
    </row>
    <row r="109" spans="1:25">
      <c r="A109" s="327">
        <v>102</v>
      </c>
      <c r="B109" s="345" t="s">
        <v>269</v>
      </c>
      <c r="C109" s="346" t="s">
        <v>270</v>
      </c>
      <c r="D109" s="347"/>
      <c r="E109" s="361" t="s">
        <v>988</v>
      </c>
      <c r="F109" s="389">
        <v>5584155.7800000003</v>
      </c>
      <c r="G109" s="362">
        <f t="shared" ref="G109:G119" si="54">SUM(E109:F109)</f>
        <v>5584155.7800000003</v>
      </c>
      <c r="N109" s="387">
        <f>+'Pro Forma Wage Adjustment'!P32+'Pro Forma Wage Adjustment'!P57+'Pro Forma Wage Adjustment'!P33+'Pro Forma Wage Adjustment'!P85</f>
        <v>447508.06402518111</v>
      </c>
      <c r="X109" s="351">
        <f t="shared" ref="X109:X119" si="55">SUM(I109:W109)</f>
        <v>447508.06402518111</v>
      </c>
      <c r="Y109" s="351">
        <f t="shared" ref="Y109:Y119" si="56">+G109+X109</f>
        <v>6031663.8440251816</v>
      </c>
    </row>
    <row r="110" spans="1:25">
      <c r="A110" s="35">
        <v>103</v>
      </c>
      <c r="B110" s="345" t="s">
        <v>271</v>
      </c>
      <c r="C110" s="346" t="s">
        <v>272</v>
      </c>
      <c r="D110" s="347"/>
      <c r="E110" s="361">
        <v>24131.68</v>
      </c>
      <c r="F110" s="389">
        <v>2433731.15</v>
      </c>
      <c r="G110" s="362">
        <f t="shared" si="54"/>
        <v>2457862.83</v>
      </c>
      <c r="N110" s="91">
        <f>+'Pro Forma Wage Adjustment'!P58</f>
        <v>24.404337890712004</v>
      </c>
      <c r="X110" s="351">
        <f t="shared" si="55"/>
        <v>24.404337890712004</v>
      </c>
      <c r="Y110" s="351">
        <f t="shared" si="56"/>
        <v>2457887.234337891</v>
      </c>
    </row>
    <row r="111" spans="1:25">
      <c r="A111" s="327">
        <v>104</v>
      </c>
      <c r="B111" s="345" t="s">
        <v>273</v>
      </c>
      <c r="C111" s="346" t="s">
        <v>274</v>
      </c>
      <c r="D111" s="347"/>
      <c r="E111" s="361">
        <v>162799.32999999999</v>
      </c>
      <c r="F111" s="389">
        <v>834905.63</v>
      </c>
      <c r="G111" s="362">
        <f t="shared" si="54"/>
        <v>997704.96</v>
      </c>
      <c r="P111" s="91">
        <f>+'Rate Case Costs'!G15</f>
        <v>298511.64</v>
      </c>
      <c r="X111" s="351">
        <f t="shared" si="55"/>
        <v>298511.64</v>
      </c>
      <c r="Y111" s="351">
        <f t="shared" si="56"/>
        <v>1296216.6000000001</v>
      </c>
    </row>
    <row r="112" spans="1:25">
      <c r="A112" s="35">
        <v>105</v>
      </c>
      <c r="B112" s="345" t="s">
        <v>275</v>
      </c>
      <c r="C112" s="346" t="s">
        <v>276</v>
      </c>
      <c r="D112" s="347"/>
      <c r="E112" s="363">
        <v>0</v>
      </c>
      <c r="F112" s="389">
        <v>60387.9</v>
      </c>
      <c r="G112" s="362">
        <f t="shared" si="54"/>
        <v>60387.9</v>
      </c>
      <c r="X112" s="351">
        <f t="shared" si="55"/>
        <v>0</v>
      </c>
      <c r="Y112" s="351">
        <f t="shared" si="56"/>
        <v>60387.9</v>
      </c>
    </row>
    <row r="113" spans="1:25">
      <c r="A113" s="327">
        <v>106</v>
      </c>
      <c r="B113" s="345" t="s">
        <v>277</v>
      </c>
      <c r="C113" s="346" t="s">
        <v>278</v>
      </c>
      <c r="D113" s="347"/>
      <c r="E113" s="361">
        <v>59991.79</v>
      </c>
      <c r="F113" s="389">
        <v>1013781.81</v>
      </c>
      <c r="G113" s="362">
        <f t="shared" si="54"/>
        <v>1073773.6000000001</v>
      </c>
      <c r="X113" s="351">
        <f t="shared" si="55"/>
        <v>0</v>
      </c>
      <c r="Y113" s="351">
        <f t="shared" si="56"/>
        <v>1073773.6000000001</v>
      </c>
    </row>
    <row r="114" spans="1:25">
      <c r="A114" s="35">
        <v>107</v>
      </c>
      <c r="B114" s="345" t="s">
        <v>279</v>
      </c>
      <c r="C114" s="346" t="s">
        <v>280</v>
      </c>
      <c r="D114" s="347"/>
      <c r="E114" s="361">
        <v>2462662.3199999998</v>
      </c>
      <c r="F114" s="389">
        <v>2012160.5</v>
      </c>
      <c r="G114" s="362">
        <f t="shared" si="54"/>
        <v>4474822.82</v>
      </c>
      <c r="N114" s="91">
        <f>+'Pro Forma Wage Adjustment'!P59+'Pro Forma Wage Adjustment'!P34</f>
        <v>2878.8452481600621</v>
      </c>
      <c r="Q114" s="91">
        <f>+'Pro Forma Compliance Department'!L16</f>
        <v>82692.896831999999</v>
      </c>
      <c r="X114" s="351">
        <f t="shared" si="55"/>
        <v>85571.742080160067</v>
      </c>
      <c r="Y114" s="351">
        <f t="shared" si="56"/>
        <v>4560394.5620801607</v>
      </c>
    </row>
    <row r="115" spans="1:25">
      <c r="A115" s="327">
        <v>108</v>
      </c>
      <c r="B115" s="345" t="s">
        <v>281</v>
      </c>
      <c r="C115" s="346" t="s">
        <v>282</v>
      </c>
      <c r="D115" s="364"/>
      <c r="E115" s="363">
        <v>0</v>
      </c>
      <c r="F115" s="389">
        <v>0</v>
      </c>
      <c r="G115" s="365">
        <f t="shared" si="54"/>
        <v>0</v>
      </c>
      <c r="X115" s="351">
        <f t="shared" si="55"/>
        <v>0</v>
      </c>
      <c r="Y115" s="351">
        <f t="shared" si="56"/>
        <v>0</v>
      </c>
    </row>
    <row r="116" spans="1:25">
      <c r="A116" s="35">
        <v>109</v>
      </c>
      <c r="B116" s="345" t="s">
        <v>283</v>
      </c>
      <c r="C116" s="346" t="s">
        <v>284</v>
      </c>
      <c r="D116" s="364"/>
      <c r="E116" s="361">
        <v>8395</v>
      </c>
      <c r="F116" s="389">
        <v>41405.449999999997</v>
      </c>
      <c r="G116" s="365">
        <f t="shared" si="54"/>
        <v>49800.45</v>
      </c>
      <c r="J116" s="91">
        <f>-'Advertising Adj'!F75</f>
        <v>-49800.45</v>
      </c>
      <c r="X116" s="351">
        <f t="shared" si="55"/>
        <v>-49800.45</v>
      </c>
      <c r="Y116" s="351">
        <f t="shared" si="56"/>
        <v>0</v>
      </c>
    </row>
    <row r="117" spans="1:25">
      <c r="A117" s="327">
        <v>110</v>
      </c>
      <c r="B117" s="345" t="s">
        <v>285</v>
      </c>
      <c r="C117" s="346" t="s">
        <v>286</v>
      </c>
      <c r="D117" s="347"/>
      <c r="E117" s="363">
        <v>11518.5</v>
      </c>
      <c r="F117" s="389">
        <v>763380.09</v>
      </c>
      <c r="G117" s="362">
        <f t="shared" si="54"/>
        <v>774898.59</v>
      </c>
      <c r="X117" s="351">
        <f t="shared" si="55"/>
        <v>0</v>
      </c>
      <c r="Y117" s="351">
        <f t="shared" si="56"/>
        <v>774898.59</v>
      </c>
    </row>
    <row r="118" spans="1:25">
      <c r="A118" s="35">
        <v>111</v>
      </c>
      <c r="B118" s="345" t="s">
        <v>287</v>
      </c>
      <c r="C118" s="346" t="s">
        <v>217</v>
      </c>
      <c r="D118" s="347"/>
      <c r="E118" s="361">
        <v>494.56</v>
      </c>
      <c r="F118" s="389">
        <v>1238178.95</v>
      </c>
      <c r="G118" s="362">
        <f t="shared" si="54"/>
        <v>1238673.51</v>
      </c>
      <c r="X118" s="351">
        <f t="shared" si="55"/>
        <v>0</v>
      </c>
      <c r="Y118" s="351">
        <f t="shared" si="56"/>
        <v>1238673.51</v>
      </c>
    </row>
    <row r="119" spans="1:25">
      <c r="A119" s="327">
        <v>112</v>
      </c>
      <c r="B119" s="345" t="s">
        <v>288</v>
      </c>
      <c r="C119" s="346" t="s">
        <v>289</v>
      </c>
      <c r="D119" s="379"/>
      <c r="E119" s="393">
        <v>23669.53</v>
      </c>
      <c r="F119" s="394">
        <v>9173.67</v>
      </c>
      <c r="G119" s="395">
        <f t="shared" si="54"/>
        <v>32843.199999999997</v>
      </c>
      <c r="N119" s="91">
        <f>+'Pro Forma Wage Adjustment'!P60</f>
        <v>246.57569978300998</v>
      </c>
      <c r="X119" s="351">
        <f t="shared" si="55"/>
        <v>246.57569978300998</v>
      </c>
      <c r="Y119" s="351">
        <f t="shared" si="56"/>
        <v>33089.775699783007</v>
      </c>
    </row>
    <row r="120" spans="1:25">
      <c r="A120" s="35">
        <v>113</v>
      </c>
      <c r="B120" s="373"/>
      <c r="C120" s="342"/>
      <c r="D120" s="347"/>
      <c r="E120" s="348">
        <f t="shared" ref="E120:S120" si="57">SUM(E109:E119)</f>
        <v>2753662.7099999995</v>
      </c>
      <c r="F120" s="359">
        <f t="shared" si="57"/>
        <v>13991260.93</v>
      </c>
      <c r="G120" s="350">
        <f t="shared" si="57"/>
        <v>16744923.639999999</v>
      </c>
      <c r="I120" s="350">
        <f t="shared" si="57"/>
        <v>0</v>
      </c>
      <c r="J120" s="350">
        <f t="shared" si="57"/>
        <v>-49800.45</v>
      </c>
      <c r="K120" s="365">
        <f>SUM(K109:K119)</f>
        <v>0</v>
      </c>
      <c r="L120" s="350">
        <f t="shared" si="57"/>
        <v>0</v>
      </c>
      <c r="M120" s="350">
        <f t="shared" si="57"/>
        <v>0</v>
      </c>
      <c r="N120" s="350">
        <f t="shared" si="57"/>
        <v>450657.88931101491</v>
      </c>
      <c r="O120" s="350">
        <f t="shared" si="57"/>
        <v>0</v>
      </c>
      <c r="P120" s="350">
        <f t="shared" si="57"/>
        <v>298511.64</v>
      </c>
      <c r="Q120" s="350">
        <f t="shared" ref="Q120" si="58">SUM(Q109:Q119)</f>
        <v>82692.896831999999</v>
      </c>
      <c r="R120" s="378"/>
      <c r="S120" s="350">
        <f t="shared" si="57"/>
        <v>0</v>
      </c>
      <c r="T120" s="350">
        <f t="shared" ref="T120" si="59">SUM(T109:T119)</f>
        <v>0</v>
      </c>
      <c r="U120" s="350">
        <f>SUM(U109:U119)</f>
        <v>0</v>
      </c>
      <c r="V120" s="350">
        <f>SUM(V109:V119)</f>
        <v>0</v>
      </c>
      <c r="W120" s="350">
        <f>SUM(W109:W119)</f>
        <v>0</v>
      </c>
      <c r="X120" s="350">
        <f>SUM(X109:X119)</f>
        <v>782061.97614301508</v>
      </c>
      <c r="Y120" s="350">
        <f>SUM(Y109:Y119)</f>
        <v>17526985.616143018</v>
      </c>
    </row>
    <row r="121" spans="1:25">
      <c r="A121" s="327">
        <v>114</v>
      </c>
      <c r="B121" s="345" t="s">
        <v>290</v>
      </c>
      <c r="C121" s="346" t="s">
        <v>291</v>
      </c>
      <c r="D121" s="347"/>
      <c r="E121" s="361">
        <v>-89655.76</v>
      </c>
      <c r="F121" s="389">
        <v>-195309.92</v>
      </c>
      <c r="G121" s="362">
        <f>SUM(E121:F121)</f>
        <v>-284965.68</v>
      </c>
      <c r="X121" s="351">
        <f>SUM(I121:W121)</f>
        <v>0</v>
      </c>
      <c r="Y121" s="351">
        <f>+G121+X121</f>
        <v>-284965.68</v>
      </c>
    </row>
    <row r="122" spans="1:25">
      <c r="A122" s="35">
        <v>115</v>
      </c>
      <c r="B122" s="341" t="s">
        <v>292</v>
      </c>
      <c r="C122" s="342"/>
      <c r="D122" s="352"/>
      <c r="E122" s="353">
        <f t="shared" ref="E122:S122" si="60">E120+E121</f>
        <v>2664006.9499999997</v>
      </c>
      <c r="F122" s="366">
        <f t="shared" si="60"/>
        <v>13795951.01</v>
      </c>
      <c r="G122" s="355">
        <f t="shared" si="60"/>
        <v>16459957.959999999</v>
      </c>
      <c r="I122" s="355">
        <f t="shared" si="60"/>
        <v>0</v>
      </c>
      <c r="J122" s="355">
        <f t="shared" si="60"/>
        <v>-49800.45</v>
      </c>
      <c r="K122" s="356">
        <f>K120+K121</f>
        <v>0</v>
      </c>
      <c r="L122" s="355">
        <f t="shared" si="60"/>
        <v>0</v>
      </c>
      <c r="M122" s="355">
        <f t="shared" si="60"/>
        <v>0</v>
      </c>
      <c r="N122" s="355">
        <f t="shared" si="60"/>
        <v>450657.88931101491</v>
      </c>
      <c r="O122" s="355">
        <f t="shared" si="60"/>
        <v>0</v>
      </c>
      <c r="P122" s="355">
        <f t="shared" si="60"/>
        <v>298511.64</v>
      </c>
      <c r="Q122" s="355">
        <f t="shared" ref="Q122" si="61">Q120+Q121</f>
        <v>82692.896831999999</v>
      </c>
      <c r="R122" s="357"/>
      <c r="S122" s="355">
        <f t="shared" si="60"/>
        <v>0</v>
      </c>
      <c r="T122" s="355">
        <f t="shared" ref="T122" si="62">T120+T121</f>
        <v>0</v>
      </c>
      <c r="U122" s="355">
        <f>U120+U121</f>
        <v>0</v>
      </c>
      <c r="V122" s="355">
        <f>V120+V121</f>
        <v>0</v>
      </c>
      <c r="W122" s="355">
        <f>W120+W121</f>
        <v>0</v>
      </c>
      <c r="X122" s="355">
        <f>X120+X121</f>
        <v>782061.97614301508</v>
      </c>
      <c r="Y122" s="355">
        <f>Y120+Y121</f>
        <v>17242019.936143018</v>
      </c>
    </row>
    <row r="123" spans="1:25">
      <c r="A123" s="327">
        <v>116</v>
      </c>
      <c r="B123" s="373"/>
      <c r="C123" s="342"/>
      <c r="D123" s="347"/>
      <c r="E123" s="348"/>
      <c r="F123" s="359"/>
      <c r="G123" s="350"/>
    </row>
    <row r="124" spans="1:25" ht="16.5" thickBot="1">
      <c r="A124" s="35">
        <v>117</v>
      </c>
      <c r="B124" s="1035" t="s">
        <v>293</v>
      </c>
      <c r="C124" s="1036"/>
      <c r="D124" s="367">
        <f t="shared" ref="D124:G124" si="63">D84+D92+D99+D106+D122+D56</f>
        <v>0</v>
      </c>
      <c r="E124" s="368">
        <f t="shared" si="63"/>
        <v>18884474.25</v>
      </c>
      <c r="F124" s="369">
        <f t="shared" si="63"/>
        <v>21632870.359999999</v>
      </c>
      <c r="G124" s="370">
        <f t="shared" si="63"/>
        <v>40517344.609999999</v>
      </c>
    </row>
    <row r="125" spans="1:25" ht="16.5" thickTop="1">
      <c r="A125" s="327">
        <v>118</v>
      </c>
      <c r="B125" s="396"/>
      <c r="C125" s="397"/>
      <c r="D125" s="347"/>
      <c r="E125" s="361"/>
      <c r="F125" s="359"/>
      <c r="G125" s="350"/>
    </row>
    <row r="126" spans="1:25">
      <c r="A126" s="35">
        <v>119</v>
      </c>
      <c r="B126" s="341" t="s">
        <v>294</v>
      </c>
      <c r="C126" s="342"/>
      <c r="D126" s="347"/>
      <c r="E126" s="348"/>
      <c r="F126" s="359"/>
      <c r="G126" s="350"/>
    </row>
    <row r="127" spans="1:25">
      <c r="A127" s="327">
        <v>120</v>
      </c>
      <c r="B127" s="345" t="s">
        <v>295</v>
      </c>
      <c r="C127" s="346" t="s">
        <v>296</v>
      </c>
      <c r="D127" s="347"/>
      <c r="E127" s="361">
        <v>0</v>
      </c>
      <c r="F127" s="389">
        <v>19218442.350000001</v>
      </c>
      <c r="G127" s="362">
        <f t="shared" ref="G127:G133" si="64">SUM(E127:F127)</f>
        <v>19218442.350000001</v>
      </c>
      <c r="O127" s="91">
        <f>+'Pro Forma Plant Additions'!E18</f>
        <v>410853.14640118089</v>
      </c>
      <c r="T127" s="91">
        <f>+'CRM Adjustment (a)'!E16</f>
        <v>78010.890174750049</v>
      </c>
      <c r="X127" s="351">
        <f t="shared" ref="X127:X133" si="65">SUM(I127:W127)</f>
        <v>488864.03657593095</v>
      </c>
      <c r="Y127" s="351">
        <f t="shared" ref="Y127:Y133" si="66">+G127+X127</f>
        <v>19707306.386575934</v>
      </c>
    </row>
    <row r="128" spans="1:25">
      <c r="A128" s="35">
        <v>121</v>
      </c>
      <c r="B128" s="373"/>
      <c r="C128" s="346" t="s">
        <v>297</v>
      </c>
      <c r="D128" s="364"/>
      <c r="E128" s="361">
        <v>0</v>
      </c>
      <c r="F128" s="389">
        <v>0</v>
      </c>
      <c r="G128" s="398">
        <f t="shared" si="64"/>
        <v>0</v>
      </c>
      <c r="X128" s="351">
        <f t="shared" si="65"/>
        <v>0</v>
      </c>
      <c r="Y128" s="351">
        <f t="shared" si="66"/>
        <v>0</v>
      </c>
    </row>
    <row r="129" spans="1:25">
      <c r="A129" s="327">
        <v>122</v>
      </c>
      <c r="B129" s="373"/>
      <c r="C129" s="346" t="s">
        <v>298</v>
      </c>
      <c r="D129" s="364"/>
      <c r="E129" s="361">
        <v>0</v>
      </c>
      <c r="F129" s="389">
        <v>0</v>
      </c>
      <c r="G129" s="398">
        <f t="shared" si="64"/>
        <v>0</v>
      </c>
      <c r="X129" s="351">
        <f t="shared" si="65"/>
        <v>0</v>
      </c>
      <c r="Y129" s="351">
        <f t="shared" si="66"/>
        <v>0</v>
      </c>
    </row>
    <row r="130" spans="1:25">
      <c r="A130" s="35">
        <v>123</v>
      </c>
      <c r="B130" s="373"/>
      <c r="C130" s="346" t="s">
        <v>299</v>
      </c>
      <c r="D130" s="347"/>
      <c r="E130" s="399">
        <v>0</v>
      </c>
      <c r="F130" s="389">
        <v>0</v>
      </c>
      <c r="G130" s="362">
        <f t="shared" si="64"/>
        <v>0</v>
      </c>
      <c r="X130" s="351">
        <f t="shared" si="65"/>
        <v>0</v>
      </c>
      <c r="Y130" s="351">
        <f t="shared" si="66"/>
        <v>0</v>
      </c>
    </row>
    <row r="131" spans="1:25">
      <c r="A131" s="327">
        <v>124</v>
      </c>
      <c r="B131" s="373"/>
      <c r="C131" s="346" t="s">
        <v>300</v>
      </c>
      <c r="D131" s="364"/>
      <c r="E131" s="361">
        <v>0</v>
      </c>
      <c r="F131" s="389">
        <v>0</v>
      </c>
      <c r="G131" s="398">
        <f t="shared" si="64"/>
        <v>0</v>
      </c>
      <c r="X131" s="351">
        <f t="shared" si="65"/>
        <v>0</v>
      </c>
      <c r="Y131" s="351">
        <f t="shared" si="66"/>
        <v>0</v>
      </c>
    </row>
    <row r="132" spans="1:25">
      <c r="A132" s="35">
        <v>125</v>
      </c>
      <c r="B132" s="373"/>
      <c r="C132" s="346" t="s">
        <v>301</v>
      </c>
      <c r="D132" s="364"/>
      <c r="E132" s="361">
        <v>0</v>
      </c>
      <c r="F132" s="389">
        <v>0</v>
      </c>
      <c r="G132" s="398">
        <f t="shared" si="64"/>
        <v>0</v>
      </c>
      <c r="X132" s="351">
        <f t="shared" si="65"/>
        <v>0</v>
      </c>
      <c r="Y132" s="351">
        <f t="shared" si="66"/>
        <v>0</v>
      </c>
    </row>
    <row r="133" spans="1:25">
      <c r="A133" s="327">
        <v>126</v>
      </c>
      <c r="B133" s="345" t="s">
        <v>302</v>
      </c>
      <c r="C133" s="346" t="s">
        <v>303</v>
      </c>
      <c r="D133" s="364"/>
      <c r="E133" s="361">
        <v>0</v>
      </c>
      <c r="F133" s="389">
        <v>0</v>
      </c>
      <c r="G133" s="398">
        <f t="shared" si="64"/>
        <v>0</v>
      </c>
      <c r="X133" s="351">
        <f t="shared" si="65"/>
        <v>0</v>
      </c>
      <c r="Y133" s="351">
        <f t="shared" si="66"/>
        <v>0</v>
      </c>
    </row>
    <row r="134" spans="1:25">
      <c r="A134" s="35">
        <v>127</v>
      </c>
      <c r="B134" s="341" t="s">
        <v>304</v>
      </c>
      <c r="C134" s="342"/>
      <c r="D134" s="352"/>
      <c r="E134" s="353">
        <f t="shared" ref="E134:T134" si="67">SUM(E127:E133)</f>
        <v>0</v>
      </c>
      <c r="F134" s="366">
        <f t="shared" si="67"/>
        <v>19218442.350000001</v>
      </c>
      <c r="G134" s="355">
        <f t="shared" si="67"/>
        <v>19218442.350000001</v>
      </c>
      <c r="I134" s="355">
        <f t="shared" si="67"/>
        <v>0</v>
      </c>
      <c r="J134" s="355">
        <f t="shared" si="67"/>
        <v>0</v>
      </c>
      <c r="K134" s="356">
        <f>SUM(K127:K133)</f>
        <v>0</v>
      </c>
      <c r="L134" s="355">
        <f t="shared" si="67"/>
        <v>0</v>
      </c>
      <c r="M134" s="355">
        <f t="shared" si="67"/>
        <v>0</v>
      </c>
      <c r="N134" s="355">
        <f t="shared" si="67"/>
        <v>0</v>
      </c>
      <c r="O134" s="355">
        <f t="shared" si="67"/>
        <v>410853.14640118089</v>
      </c>
      <c r="P134" s="355">
        <f t="shared" si="67"/>
        <v>0</v>
      </c>
      <c r="Q134" s="355"/>
      <c r="R134" s="357">
        <f t="shared" si="67"/>
        <v>0</v>
      </c>
      <c r="S134" s="355">
        <f t="shared" si="67"/>
        <v>0</v>
      </c>
      <c r="T134" s="355">
        <f t="shared" si="67"/>
        <v>78010.890174750049</v>
      </c>
      <c r="U134" s="355">
        <f>SUM(U127:U133)</f>
        <v>0</v>
      </c>
      <c r="V134" s="355">
        <f>SUM(V127:V133)</f>
        <v>0</v>
      </c>
      <c r="W134" s="355">
        <f>SUM(W127:W133)</f>
        <v>0</v>
      </c>
      <c r="X134" s="355">
        <f>SUM(X127:X133)</f>
        <v>488864.03657593095</v>
      </c>
      <c r="Y134" s="355">
        <f>SUM(Y127:Y133)</f>
        <v>19707306.386575934</v>
      </c>
    </row>
    <row r="135" spans="1:25">
      <c r="A135" s="327">
        <v>128</v>
      </c>
      <c r="B135" s="373"/>
      <c r="C135" s="342"/>
      <c r="D135" s="347"/>
      <c r="E135" s="348"/>
      <c r="F135" s="359"/>
      <c r="G135" s="350"/>
    </row>
    <row r="136" spans="1:25">
      <c r="A136" s="35">
        <v>129</v>
      </c>
      <c r="B136" s="360" t="s">
        <v>305</v>
      </c>
      <c r="C136" s="342" t="s">
        <v>38</v>
      </c>
      <c r="D136" s="364"/>
      <c r="E136" s="363">
        <v>0</v>
      </c>
      <c r="F136" s="349">
        <v>0</v>
      </c>
      <c r="G136" s="365">
        <f>SUM(E136:F136)</f>
        <v>0</v>
      </c>
    </row>
    <row r="137" spans="1:25">
      <c r="A137" s="327">
        <v>130</v>
      </c>
      <c r="B137" s="373"/>
      <c r="C137" s="342"/>
      <c r="D137" s="347"/>
      <c r="E137" s="348"/>
      <c r="F137" s="359"/>
      <c r="G137" s="350"/>
      <c r="X137" s="351">
        <f>SUM(I137:W137)</f>
        <v>0</v>
      </c>
      <c r="Y137" s="351">
        <f>+G137+X137</f>
        <v>0</v>
      </c>
    </row>
    <row r="138" spans="1:25">
      <c r="A138" s="35">
        <v>131</v>
      </c>
      <c r="B138" s="341" t="s">
        <v>306</v>
      </c>
      <c r="C138" s="342"/>
      <c r="D138" s="347"/>
      <c r="E138" s="348"/>
      <c r="F138" s="359"/>
      <c r="G138" s="350"/>
    </row>
    <row r="139" spans="1:25">
      <c r="A139" s="327">
        <v>132</v>
      </c>
      <c r="B139" s="345" t="s">
        <v>307</v>
      </c>
      <c r="C139" s="346" t="s">
        <v>308</v>
      </c>
      <c r="D139" s="379"/>
      <c r="E139" s="380">
        <v>3209664.98</v>
      </c>
      <c r="F139" s="390">
        <v>885968.83</v>
      </c>
      <c r="G139" s="382">
        <f>SUM(E139:F139)</f>
        <v>4095633.81</v>
      </c>
      <c r="N139" s="91">
        <f>+'Pro Forma Wage Adjustment'!P17</f>
        <v>82922.448313984569</v>
      </c>
      <c r="O139" s="91">
        <f>+'Pro Forma Plant Additions'!E12</f>
        <v>211115.02764378799</v>
      </c>
      <c r="Q139" s="91">
        <f>+'Pro Forma Compliance Department'!L17</f>
        <v>13138.982496639999</v>
      </c>
      <c r="X139" s="351">
        <f>SUM(I139:W139)</f>
        <v>307176.45845441258</v>
      </c>
      <c r="Y139" s="351">
        <f>+G139+X139</f>
        <v>4402810.2684544129</v>
      </c>
    </row>
    <row r="140" spans="1:25">
      <c r="A140" s="35">
        <v>133</v>
      </c>
      <c r="B140" s="373"/>
      <c r="C140" s="342"/>
      <c r="D140" s="347"/>
      <c r="E140" s="348"/>
      <c r="F140" s="359"/>
      <c r="G140" s="350"/>
    </row>
    <row r="141" spans="1:25">
      <c r="A141" s="327">
        <v>134</v>
      </c>
      <c r="B141" s="341" t="s">
        <v>309</v>
      </c>
      <c r="C141" s="342"/>
      <c r="D141" s="347"/>
      <c r="E141" s="348"/>
      <c r="F141" s="359"/>
      <c r="G141" s="350"/>
    </row>
    <row r="142" spans="1:25">
      <c r="A142" s="35">
        <v>135</v>
      </c>
      <c r="B142" s="400" t="s">
        <v>310</v>
      </c>
      <c r="C142" s="401" t="s">
        <v>311</v>
      </c>
      <c r="D142" s="364"/>
      <c r="E142" s="363">
        <v>3159842.45</v>
      </c>
      <c r="F142" s="349">
        <v>0</v>
      </c>
      <c r="G142" s="365">
        <f t="shared" ref="G142:G147" si="68">SUM(E142:F142)</f>
        <v>3159842.45</v>
      </c>
      <c r="I142" s="91">
        <f>+'Exh MPP-5 - Summary of Adj'!G33</f>
        <v>1657174.0411896561</v>
      </c>
      <c r="J142" s="91">
        <f>+'Exh MPP-5 - Summary of Adj'!H33</f>
        <v>19151.463999999996</v>
      </c>
      <c r="K142" s="311">
        <f>+'Exh MPP-5 - Summary of Adj'!I33</f>
        <v>-808242.04666558688</v>
      </c>
      <c r="L142" s="91">
        <f>+'Exh MPP-5 - Summary of Adj'!J33</f>
        <v>186666.67599999998</v>
      </c>
      <c r="M142" s="91">
        <f>+'Exh MPP-5 - Summary of Adj'!L33</f>
        <v>274826.90323425876</v>
      </c>
      <c r="N142" s="91">
        <f>+'Exh MPP-5 - Summary of Adj'!M33</f>
        <v>-503242.46127323312</v>
      </c>
      <c r="O142" s="91">
        <f>+'Exh MPP-5 - Summary of Adj'!N33</f>
        <v>-150809.53826516928</v>
      </c>
      <c r="P142" s="91">
        <f>+'Exh MPP-5 - Summary of Adj'!O33</f>
        <v>-104479.07399999999</v>
      </c>
      <c r="Q142" s="91">
        <f>+'Exh MPP-5 - Summary of Adj'!P33</f>
        <v>-97857.855301023999</v>
      </c>
      <c r="R142" s="310">
        <f>+'Exh MPP-5 - Summary of Adj'!Q33</f>
        <v>-335680.39189999999</v>
      </c>
      <c r="S142" s="91">
        <f>+'Exh MPP-5 - Summary of Adj'!R33</f>
        <v>-33999.280552280747</v>
      </c>
      <c r="T142" s="91">
        <f>+'Exh MPP-5 - Summary of Adj'!S33</f>
        <v>-27303.811561162514</v>
      </c>
      <c r="U142" s="91">
        <f>+'Exh MPP-5 - Summary of Adj'!T33</f>
        <v>1746070.5240536744</v>
      </c>
      <c r="V142" s="152"/>
      <c r="X142" s="351">
        <f t="shared" ref="X142:X147" si="69">SUM(I142:W142)</f>
        <v>1822275.1489591328</v>
      </c>
      <c r="Y142" s="351">
        <f t="shared" ref="Y142:Y147" si="70">+G142+X142</f>
        <v>4982117.598959133</v>
      </c>
    </row>
    <row r="143" spans="1:25">
      <c r="A143" s="327">
        <v>136</v>
      </c>
      <c r="B143" s="400" t="s">
        <v>310</v>
      </c>
      <c r="C143" s="401" t="s">
        <v>312</v>
      </c>
      <c r="D143" s="364"/>
      <c r="E143" s="363">
        <v>0</v>
      </c>
      <c r="F143" s="349">
        <v>0</v>
      </c>
      <c r="G143" s="365">
        <f t="shared" si="68"/>
        <v>0</v>
      </c>
      <c r="X143" s="351">
        <f t="shared" si="69"/>
        <v>0</v>
      </c>
      <c r="Y143" s="351">
        <f t="shared" si="70"/>
        <v>0</v>
      </c>
    </row>
    <row r="144" spans="1:25">
      <c r="A144" s="35">
        <v>137</v>
      </c>
      <c r="B144" s="400" t="s">
        <v>313</v>
      </c>
      <c r="C144" s="401" t="s">
        <v>314</v>
      </c>
      <c r="D144" s="364"/>
      <c r="E144" s="363">
        <v>1031914.19</v>
      </c>
      <c r="F144" s="349">
        <v>0</v>
      </c>
      <c r="G144" s="365">
        <f t="shared" si="68"/>
        <v>1031914.19</v>
      </c>
      <c r="X144" s="351">
        <f t="shared" si="69"/>
        <v>0</v>
      </c>
      <c r="Y144" s="351">
        <f t="shared" si="70"/>
        <v>1031914.19</v>
      </c>
    </row>
    <row r="145" spans="1:25">
      <c r="A145" s="327">
        <v>138</v>
      </c>
      <c r="B145" s="400" t="s">
        <v>313</v>
      </c>
      <c r="C145" s="401" t="s">
        <v>315</v>
      </c>
      <c r="D145" s="364"/>
      <c r="E145" s="363">
        <v>0</v>
      </c>
      <c r="F145" s="349">
        <v>0</v>
      </c>
      <c r="G145" s="365">
        <f t="shared" si="68"/>
        <v>0</v>
      </c>
      <c r="X145" s="351">
        <f t="shared" si="69"/>
        <v>0</v>
      </c>
      <c r="Y145" s="351">
        <f t="shared" si="70"/>
        <v>0</v>
      </c>
    </row>
    <row r="146" spans="1:25">
      <c r="A146" s="35">
        <v>139</v>
      </c>
      <c r="B146" s="400" t="s">
        <v>316</v>
      </c>
      <c r="C146" s="401" t="s">
        <v>317</v>
      </c>
      <c r="D146" s="364"/>
      <c r="E146" s="363">
        <v>0</v>
      </c>
      <c r="F146" s="349">
        <v>0</v>
      </c>
      <c r="G146" s="365">
        <f t="shared" si="68"/>
        <v>0</v>
      </c>
      <c r="X146" s="351">
        <f t="shared" si="69"/>
        <v>0</v>
      </c>
      <c r="Y146" s="351">
        <f t="shared" si="70"/>
        <v>0</v>
      </c>
    </row>
    <row r="147" spans="1:25">
      <c r="A147" s="327">
        <v>140</v>
      </c>
      <c r="B147" s="400" t="s">
        <v>318</v>
      </c>
      <c r="C147" s="401" t="s">
        <v>319</v>
      </c>
      <c r="D147" s="347"/>
      <c r="E147" s="363">
        <v>0</v>
      </c>
      <c r="F147" s="349">
        <v>-37382.410000000003</v>
      </c>
      <c r="G147" s="362">
        <f t="shared" si="68"/>
        <v>-37382.410000000003</v>
      </c>
      <c r="X147" s="351">
        <f t="shared" si="69"/>
        <v>0</v>
      </c>
      <c r="Y147" s="351">
        <f t="shared" si="70"/>
        <v>-37382.410000000003</v>
      </c>
    </row>
    <row r="148" spans="1:25">
      <c r="A148" s="35">
        <v>141</v>
      </c>
      <c r="B148" s="341" t="s">
        <v>320</v>
      </c>
      <c r="C148" s="342"/>
      <c r="D148" s="352"/>
      <c r="E148" s="353">
        <f t="shared" ref="E148:G148" si="71">SUM(E142:E147)</f>
        <v>4191756.64</v>
      </c>
      <c r="F148" s="366">
        <f t="shared" si="71"/>
        <v>-37382.410000000003</v>
      </c>
      <c r="G148" s="355">
        <f t="shared" si="71"/>
        <v>4154374.23</v>
      </c>
      <c r="I148" s="355">
        <f t="shared" ref="I148:P148" si="72">SUM(I142:I147)</f>
        <v>1657174.0411896561</v>
      </c>
      <c r="J148" s="355">
        <f t="shared" si="72"/>
        <v>19151.463999999996</v>
      </c>
      <c r="K148" s="356">
        <f>SUM(K142:K147)</f>
        <v>-808242.04666558688</v>
      </c>
      <c r="L148" s="355">
        <f>SUM(L142:L147)</f>
        <v>186666.67599999998</v>
      </c>
      <c r="M148" s="355">
        <f t="shared" si="72"/>
        <v>274826.90323425876</v>
      </c>
      <c r="N148" s="355">
        <f t="shared" si="72"/>
        <v>-503242.46127323312</v>
      </c>
      <c r="O148" s="355">
        <f t="shared" si="72"/>
        <v>-150809.53826516928</v>
      </c>
      <c r="P148" s="355">
        <f t="shared" si="72"/>
        <v>-104479.07399999999</v>
      </c>
      <c r="Q148" s="355">
        <f t="shared" ref="Q148" si="73">SUM(Q142:Q147)</f>
        <v>-97857.855301023999</v>
      </c>
      <c r="R148" s="357">
        <f t="shared" ref="R148:Y148" si="74">SUM(R142:R147)</f>
        <v>-335680.39189999999</v>
      </c>
      <c r="S148" s="355">
        <f t="shared" si="74"/>
        <v>-33999.280552280747</v>
      </c>
      <c r="T148" s="355">
        <f t="shared" ref="T148" si="75">SUM(T142:T147)</f>
        <v>-27303.811561162514</v>
      </c>
      <c r="U148" s="355">
        <f t="shared" si="74"/>
        <v>1746070.5240536744</v>
      </c>
      <c r="V148" s="355">
        <f t="shared" si="74"/>
        <v>0</v>
      </c>
      <c r="W148" s="355">
        <f t="shared" si="74"/>
        <v>0</v>
      </c>
      <c r="X148" s="355">
        <f t="shared" si="74"/>
        <v>1822275.1489591328</v>
      </c>
      <c r="Y148" s="355">
        <f t="shared" si="74"/>
        <v>5976649.3789591324</v>
      </c>
    </row>
    <row r="149" spans="1:25">
      <c r="A149" s="327">
        <v>142</v>
      </c>
      <c r="B149" s="341" t="s">
        <v>321</v>
      </c>
      <c r="C149" s="342"/>
      <c r="D149" s="347"/>
      <c r="E149" s="348">
        <f t="shared" ref="E149:G149" si="76">E84+E92+E99+E106+E122+E134+E136+E139+E148+E56</f>
        <v>26285895.870000001</v>
      </c>
      <c r="F149" s="359">
        <f t="shared" si="76"/>
        <v>41699899.130000003</v>
      </c>
      <c r="G149" s="350">
        <f t="shared" si="76"/>
        <v>67985795</v>
      </c>
      <c r="I149" s="350">
        <f t="shared" ref="I149:P149" si="77">I84+I92+I99+I106+I122+I134+I136+I139+I148+I56</f>
        <v>1715859.9961457474</v>
      </c>
      <c r="J149" s="350">
        <f t="shared" si="77"/>
        <v>-35565.576000000001</v>
      </c>
      <c r="K149" s="365">
        <f>K84+K92+K99+K106+K122+K134+K136+K139+K148+K56</f>
        <v>-841352.11945122224</v>
      </c>
      <c r="L149" s="350">
        <f>L84+L92+L99+L106+L122+L134+L136+L139+L148+L56</f>
        <v>-346666.68400000001</v>
      </c>
      <c r="M149" s="350">
        <f t="shared" si="77"/>
        <v>274826.90323425876</v>
      </c>
      <c r="N149" s="350">
        <f t="shared" si="77"/>
        <v>934593.14236457588</v>
      </c>
      <c r="O149" s="350">
        <f t="shared" si="77"/>
        <v>471917.02995017171</v>
      </c>
      <c r="P149" s="350">
        <f t="shared" si="77"/>
        <v>194032.56600000002</v>
      </c>
      <c r="Q149" s="350">
        <f t="shared" ref="Q149" si="78">Q84+Q92+Q99+Q106+Q122+Q134+Q136+Q139+Q148+Q56</f>
        <v>181736.01698761602</v>
      </c>
      <c r="R149" s="378">
        <f t="shared" ref="R149:Y149" si="79">R84+R92+R99+R106+R122+R134+R136+R139+R148+R56</f>
        <v>623406.4421000001</v>
      </c>
      <c r="S149" s="350">
        <f t="shared" si="79"/>
        <v>-34384.823574335758</v>
      </c>
      <c r="T149" s="350">
        <f t="shared" ref="T149" si="80">T84+T92+T99+T106+T122+T134+T136+T139+T148+T56</f>
        <v>50707.078613587539</v>
      </c>
      <c r="U149" s="350">
        <f t="shared" si="79"/>
        <v>1765870.5108660329</v>
      </c>
      <c r="V149" s="350">
        <f t="shared" si="79"/>
        <v>0</v>
      </c>
      <c r="W149" s="350">
        <f t="shared" si="79"/>
        <v>0</v>
      </c>
      <c r="X149" s="350">
        <f t="shared" si="79"/>
        <v>4954980.483236433</v>
      </c>
      <c r="Y149" s="350">
        <f t="shared" si="79"/>
        <v>72940775.483236447</v>
      </c>
    </row>
    <row r="150" spans="1:25" ht="16.5" thickBot="1">
      <c r="A150" s="35">
        <v>143</v>
      </c>
      <c r="B150" s="341" t="s">
        <v>322</v>
      </c>
      <c r="C150" s="342"/>
      <c r="D150" s="402">
        <f t="shared" ref="D150:G150" si="81">D53-D149</f>
        <v>0</v>
      </c>
      <c r="E150" s="403">
        <f t="shared" si="81"/>
        <v>58213090.219999999</v>
      </c>
      <c r="F150" s="404">
        <f t="shared" si="81"/>
        <v>-41608428.039999999</v>
      </c>
      <c r="G150" s="405">
        <f t="shared" si="81"/>
        <v>16604662.180000007</v>
      </c>
      <c r="I150" s="405">
        <f t="shared" ref="I150:P150" si="82">I53-I149</f>
        <v>3077608.9336379329</v>
      </c>
      <c r="J150" s="405">
        <f t="shared" si="82"/>
        <v>35565.576000000001</v>
      </c>
      <c r="K150" s="406">
        <f>K53-K149</f>
        <v>-1501020.9438075188</v>
      </c>
      <c r="L150" s="405">
        <f>L53-L149</f>
        <v>346666.68400000001</v>
      </c>
      <c r="M150" s="405">
        <f t="shared" si="82"/>
        <v>-274826.90323425876</v>
      </c>
      <c r="N150" s="405">
        <f t="shared" si="82"/>
        <v>-934593.14236457588</v>
      </c>
      <c r="O150" s="405">
        <f t="shared" si="82"/>
        <v>-280074.85677817173</v>
      </c>
      <c r="P150" s="405">
        <f t="shared" si="82"/>
        <v>-194032.56600000002</v>
      </c>
      <c r="Q150" s="405">
        <f t="shared" ref="Q150" si="83">Q53-Q149</f>
        <v>-181736.01698761602</v>
      </c>
      <c r="R150" s="407">
        <f t="shared" ref="R150:Y150" si="84">R53-R149</f>
        <v>-623406.4421000001</v>
      </c>
      <c r="S150" s="405">
        <f t="shared" si="84"/>
        <v>-63141.521025664239</v>
      </c>
      <c r="T150" s="405">
        <f t="shared" ref="T150" si="85">T53-T149</f>
        <v>-50707.078613587539</v>
      </c>
      <c r="U150" s="405">
        <f t="shared" si="84"/>
        <v>3242702.4018139672</v>
      </c>
      <c r="V150" s="405">
        <f t="shared" si="84"/>
        <v>0</v>
      </c>
      <c r="W150" s="405">
        <f t="shared" si="84"/>
        <v>0</v>
      </c>
      <c r="X150" s="405">
        <f t="shared" si="84"/>
        <v>2599004.124540505</v>
      </c>
      <c r="Y150" s="405">
        <f t="shared" si="84"/>
        <v>19203666.304540485</v>
      </c>
    </row>
    <row r="151" spans="1:25" ht="16.5" thickTop="1">
      <c r="A151" s="327">
        <v>144</v>
      </c>
      <c r="B151" s="373"/>
      <c r="C151" s="342"/>
      <c r="D151" s="347"/>
      <c r="E151" s="348"/>
      <c r="F151" s="359"/>
      <c r="G151" s="350"/>
      <c r="Y151" s="408"/>
    </row>
    <row r="152" spans="1:25">
      <c r="A152" s="35">
        <v>145</v>
      </c>
      <c r="B152" s="341" t="s">
        <v>323</v>
      </c>
      <c r="C152" s="342"/>
      <c r="D152" s="347"/>
      <c r="E152" s="348"/>
      <c r="F152" s="359"/>
      <c r="G152" s="350"/>
    </row>
    <row r="153" spans="1:25">
      <c r="A153" s="327">
        <v>146</v>
      </c>
      <c r="B153" s="345" t="s">
        <v>88</v>
      </c>
      <c r="C153" s="346" t="s">
        <v>324</v>
      </c>
      <c r="D153" s="347"/>
      <c r="E153" s="399">
        <v>0</v>
      </c>
      <c r="F153" s="389">
        <v>8531170.2699999996</v>
      </c>
      <c r="G153" s="362">
        <f t="shared" ref="G153:G158" si="86">SUM(E153:F153)</f>
        <v>8531170.2699999996</v>
      </c>
    </row>
    <row r="154" spans="1:25">
      <c r="A154" s="35">
        <v>147</v>
      </c>
      <c r="B154" s="345" t="s">
        <v>89</v>
      </c>
      <c r="C154" s="346" t="s">
        <v>90</v>
      </c>
      <c r="D154" s="347"/>
      <c r="E154" s="399">
        <v>0</v>
      </c>
      <c r="F154" s="389">
        <v>131614.6</v>
      </c>
      <c r="G154" s="362">
        <f t="shared" si="86"/>
        <v>131614.6</v>
      </c>
    </row>
    <row r="155" spans="1:25">
      <c r="A155" s="327">
        <v>148</v>
      </c>
      <c r="B155" s="345" t="s">
        <v>91</v>
      </c>
      <c r="C155" s="346" t="s">
        <v>92</v>
      </c>
      <c r="D155" s="347"/>
      <c r="E155" s="399">
        <v>0</v>
      </c>
      <c r="F155" s="389">
        <v>31363.08</v>
      </c>
      <c r="G155" s="362">
        <f t="shared" si="86"/>
        <v>31363.08</v>
      </c>
    </row>
    <row r="156" spans="1:25">
      <c r="A156" s="35">
        <v>149</v>
      </c>
      <c r="B156" s="345" t="s">
        <v>325</v>
      </c>
      <c r="C156" s="346" t="s">
        <v>326</v>
      </c>
      <c r="D156" s="347"/>
      <c r="E156" s="361">
        <v>228343.44</v>
      </c>
      <c r="F156" s="409">
        <v>0</v>
      </c>
      <c r="G156" s="362">
        <f t="shared" si="86"/>
        <v>228343.44</v>
      </c>
    </row>
    <row r="157" spans="1:25">
      <c r="A157" s="327">
        <v>150</v>
      </c>
      <c r="B157" s="345" t="s">
        <v>327</v>
      </c>
      <c r="C157" s="346" t="s">
        <v>328</v>
      </c>
      <c r="D157" s="347"/>
      <c r="E157" s="399">
        <v>0</v>
      </c>
      <c r="F157" s="389">
        <v>48641.16</v>
      </c>
      <c r="G157" s="362">
        <f t="shared" si="86"/>
        <v>48641.16</v>
      </c>
    </row>
    <row r="158" spans="1:25">
      <c r="A158" s="35">
        <v>151</v>
      </c>
      <c r="B158" s="345" t="s">
        <v>329</v>
      </c>
      <c r="C158" s="346" t="s">
        <v>330</v>
      </c>
      <c r="D158" s="347"/>
      <c r="E158" s="361">
        <v>-170469.52</v>
      </c>
      <c r="F158" s="409">
        <v>-48651.29</v>
      </c>
      <c r="G158" s="362">
        <f t="shared" si="86"/>
        <v>-219120.81</v>
      </c>
    </row>
    <row r="159" spans="1:25">
      <c r="A159" s="327">
        <v>152</v>
      </c>
      <c r="B159" s="341" t="s">
        <v>331</v>
      </c>
      <c r="C159" s="342"/>
      <c r="D159" s="352"/>
      <c r="E159" s="353">
        <f t="shared" ref="E159:G159" si="87">SUM(E153:E158)</f>
        <v>57873.920000000013</v>
      </c>
      <c r="F159" s="366">
        <f t="shared" si="87"/>
        <v>8694137.8200000003</v>
      </c>
      <c r="G159" s="355">
        <f t="shared" si="87"/>
        <v>8752011.7399999984</v>
      </c>
    </row>
    <row r="160" spans="1:25">
      <c r="A160" s="35">
        <v>153</v>
      </c>
      <c r="B160" s="373"/>
      <c r="C160" s="342"/>
      <c r="D160" s="347"/>
      <c r="E160" s="348"/>
      <c r="F160" s="359"/>
      <c r="G160" s="350"/>
    </row>
    <row r="161" spans="1:7">
      <c r="A161" s="327">
        <v>154</v>
      </c>
      <c r="B161" s="341" t="s">
        <v>332</v>
      </c>
      <c r="C161" s="342"/>
      <c r="D161" s="347"/>
      <c r="E161" s="348"/>
      <c r="F161" s="359"/>
      <c r="G161" s="350"/>
    </row>
    <row r="162" spans="1:7">
      <c r="A162" s="35">
        <v>155</v>
      </c>
      <c r="B162" s="345" t="s">
        <v>333</v>
      </c>
      <c r="C162" s="346" t="s">
        <v>334</v>
      </c>
      <c r="D162" s="364"/>
      <c r="E162" s="363">
        <v>0</v>
      </c>
      <c r="F162" s="349">
        <v>0</v>
      </c>
      <c r="G162" s="365">
        <f t="shared" ref="G162:G171" si="88">SUM(E162:F162)</f>
        <v>0</v>
      </c>
    </row>
    <row r="163" spans="1:7">
      <c r="A163" s="327">
        <v>156</v>
      </c>
      <c r="B163" s="345" t="s">
        <v>335</v>
      </c>
      <c r="C163" s="346" t="s">
        <v>336</v>
      </c>
      <c r="D163" s="364"/>
      <c r="E163" s="363">
        <v>0</v>
      </c>
      <c r="F163" s="349">
        <v>0</v>
      </c>
      <c r="G163" s="365">
        <f t="shared" si="88"/>
        <v>0</v>
      </c>
    </row>
    <row r="164" spans="1:7">
      <c r="A164" s="35">
        <v>157</v>
      </c>
      <c r="B164" s="345" t="s">
        <v>337</v>
      </c>
      <c r="C164" s="346" t="s">
        <v>338</v>
      </c>
      <c r="D164" s="347"/>
      <c r="E164" s="363">
        <v>0</v>
      </c>
      <c r="F164" s="349">
        <v>4723.75</v>
      </c>
      <c r="G164" s="362">
        <f t="shared" si="88"/>
        <v>4723.75</v>
      </c>
    </row>
    <row r="165" spans="1:7">
      <c r="A165" s="327">
        <v>158</v>
      </c>
      <c r="B165" s="345" t="s">
        <v>339</v>
      </c>
      <c r="C165" s="346" t="s">
        <v>340</v>
      </c>
      <c r="D165" s="364"/>
      <c r="E165" s="363">
        <v>0</v>
      </c>
      <c r="F165" s="349">
        <v>0</v>
      </c>
      <c r="G165" s="398">
        <f t="shared" si="88"/>
        <v>0</v>
      </c>
    </row>
    <row r="166" spans="1:7">
      <c r="A166" s="35">
        <v>159</v>
      </c>
      <c r="B166" s="345" t="s">
        <v>341</v>
      </c>
      <c r="C166" s="346" t="s">
        <v>342</v>
      </c>
      <c r="D166" s="364"/>
      <c r="E166" s="363">
        <v>0</v>
      </c>
      <c r="F166" s="349">
        <v>0</v>
      </c>
      <c r="G166" s="398">
        <f t="shared" si="88"/>
        <v>0</v>
      </c>
    </row>
    <row r="167" spans="1:7">
      <c r="A167" s="327">
        <v>160</v>
      </c>
      <c r="B167" s="345" t="s">
        <v>343</v>
      </c>
      <c r="C167" s="346" t="s">
        <v>344</v>
      </c>
      <c r="D167" s="347"/>
      <c r="E167" s="363">
        <v>410490.43</v>
      </c>
      <c r="F167" s="349">
        <v>64724.44</v>
      </c>
      <c r="G167" s="362">
        <f t="shared" si="88"/>
        <v>475214.87</v>
      </c>
    </row>
    <row r="168" spans="1:7">
      <c r="A168" s="35">
        <v>161</v>
      </c>
      <c r="B168" s="345" t="s">
        <v>345</v>
      </c>
      <c r="C168" s="346" t="s">
        <v>346</v>
      </c>
      <c r="D168" s="364"/>
      <c r="E168" s="363">
        <v>215722.3</v>
      </c>
      <c r="F168" s="349">
        <v>61602.75</v>
      </c>
      <c r="G168" s="398">
        <f t="shared" si="88"/>
        <v>277325.05</v>
      </c>
    </row>
    <row r="169" spans="1:7">
      <c r="A169" s="327">
        <v>162</v>
      </c>
      <c r="B169" s="410">
        <v>408.2</v>
      </c>
      <c r="C169" s="346" t="s">
        <v>347</v>
      </c>
      <c r="D169" s="364"/>
      <c r="E169" s="363">
        <v>-3164.36</v>
      </c>
      <c r="F169" s="349">
        <v>0</v>
      </c>
      <c r="G169" s="398">
        <f t="shared" si="88"/>
        <v>-3164.36</v>
      </c>
    </row>
    <row r="170" spans="1:7">
      <c r="A170" s="35">
        <v>163</v>
      </c>
      <c r="B170" s="345" t="s">
        <v>348</v>
      </c>
      <c r="C170" s="346" t="s">
        <v>349</v>
      </c>
      <c r="D170" s="347"/>
      <c r="E170" s="363">
        <v>0</v>
      </c>
      <c r="F170" s="349">
        <v>13297.52</v>
      </c>
      <c r="G170" s="362">
        <f t="shared" si="88"/>
        <v>13297.52</v>
      </c>
    </row>
    <row r="171" spans="1:7">
      <c r="A171" s="327">
        <v>164</v>
      </c>
      <c r="B171" s="345" t="s">
        <v>350</v>
      </c>
      <c r="C171" s="346" t="s">
        <v>655</v>
      </c>
      <c r="D171" s="347"/>
      <c r="E171" s="363">
        <v>0</v>
      </c>
      <c r="F171" s="349">
        <v>0</v>
      </c>
      <c r="G171" s="362">
        <f t="shared" si="88"/>
        <v>0</v>
      </c>
    </row>
    <row r="172" spans="1:7">
      <c r="A172" s="35">
        <v>165</v>
      </c>
      <c r="B172" s="341" t="s">
        <v>351</v>
      </c>
      <c r="C172" s="342"/>
      <c r="D172" s="352"/>
      <c r="E172" s="353">
        <f t="shared" ref="E172:G172" si="89">SUM(E162:E171)</f>
        <v>623048.37</v>
      </c>
      <c r="F172" s="366">
        <f t="shared" si="89"/>
        <v>144348.46</v>
      </c>
      <c r="G172" s="355">
        <f t="shared" si="89"/>
        <v>767396.83</v>
      </c>
    </row>
    <row r="173" spans="1:7">
      <c r="A173" s="327">
        <v>166</v>
      </c>
      <c r="B173" s="373"/>
      <c r="C173" s="342"/>
      <c r="D173" s="347"/>
      <c r="E173" s="348"/>
      <c r="F173" s="359"/>
      <c r="G173" s="350"/>
    </row>
    <row r="174" spans="1:7">
      <c r="A174" s="35">
        <v>167</v>
      </c>
      <c r="B174" s="411" t="s">
        <v>352</v>
      </c>
      <c r="C174" s="397"/>
      <c r="D174" s="347"/>
      <c r="E174" s="348"/>
      <c r="F174" s="359"/>
      <c r="G174" s="350"/>
    </row>
    <row r="175" spans="1:7">
      <c r="A175" s="327">
        <v>168</v>
      </c>
      <c r="B175" s="412" t="s">
        <v>353</v>
      </c>
      <c r="C175" s="413" t="s">
        <v>354</v>
      </c>
      <c r="D175" s="347"/>
      <c r="E175" s="361">
        <v>0</v>
      </c>
      <c r="F175" s="389">
        <v>-142375.35</v>
      </c>
      <c r="G175" s="362">
        <f t="shared" ref="G175:G184" si="90">SUM(E175:F175)</f>
        <v>-142375.35</v>
      </c>
    </row>
    <row r="176" spans="1:7">
      <c r="A176" s="35">
        <v>169</v>
      </c>
      <c r="B176" s="412" t="s">
        <v>353</v>
      </c>
      <c r="C176" s="413" t="s">
        <v>355</v>
      </c>
      <c r="D176" s="364"/>
      <c r="E176" s="363">
        <v>0</v>
      </c>
      <c r="F176" s="389">
        <v>0</v>
      </c>
      <c r="G176" s="365">
        <f t="shared" si="90"/>
        <v>0</v>
      </c>
    </row>
    <row r="177" spans="1:7">
      <c r="A177" s="327">
        <v>170</v>
      </c>
      <c r="B177" s="412" t="s">
        <v>356</v>
      </c>
      <c r="C177" s="413" t="s">
        <v>357</v>
      </c>
      <c r="D177" s="364"/>
      <c r="E177" s="363">
        <v>0</v>
      </c>
      <c r="F177" s="389">
        <v>0</v>
      </c>
      <c r="G177" s="365">
        <f t="shared" si="90"/>
        <v>0</v>
      </c>
    </row>
    <row r="178" spans="1:7">
      <c r="A178" s="35">
        <v>171</v>
      </c>
      <c r="B178" s="412" t="s">
        <v>358</v>
      </c>
      <c r="C178" s="413" t="s">
        <v>359</v>
      </c>
      <c r="D178" s="364"/>
      <c r="E178" s="363">
        <v>0</v>
      </c>
      <c r="F178" s="389">
        <v>0</v>
      </c>
      <c r="G178" s="365">
        <f t="shared" si="90"/>
        <v>0</v>
      </c>
    </row>
    <row r="179" spans="1:7">
      <c r="A179" s="327">
        <v>172</v>
      </c>
      <c r="B179" s="345" t="s">
        <v>360</v>
      </c>
      <c r="C179" s="346" t="s">
        <v>361</v>
      </c>
      <c r="D179" s="364"/>
      <c r="E179" s="363">
        <v>0</v>
      </c>
      <c r="F179" s="389">
        <v>0</v>
      </c>
      <c r="G179" s="365">
        <f t="shared" si="90"/>
        <v>0</v>
      </c>
    </row>
    <row r="180" spans="1:7">
      <c r="A180" s="35">
        <v>173</v>
      </c>
      <c r="B180" s="345" t="s">
        <v>362</v>
      </c>
      <c r="C180" s="346" t="s">
        <v>363</v>
      </c>
      <c r="D180" s="347"/>
      <c r="E180" s="361">
        <v>20309.150000000001</v>
      </c>
      <c r="F180" s="389">
        <v>146508.03</v>
      </c>
      <c r="G180" s="362">
        <f t="shared" si="90"/>
        <v>166817.18</v>
      </c>
    </row>
    <row r="181" spans="1:7">
      <c r="A181" s="327">
        <v>174</v>
      </c>
      <c r="B181" s="345" t="s">
        <v>364</v>
      </c>
      <c r="C181" s="346" t="s">
        <v>365</v>
      </c>
      <c r="D181" s="364"/>
      <c r="E181" s="363">
        <v>0</v>
      </c>
      <c r="F181" s="389">
        <v>0</v>
      </c>
      <c r="G181" s="365">
        <f t="shared" si="90"/>
        <v>0</v>
      </c>
    </row>
    <row r="182" spans="1:7">
      <c r="A182" s="35">
        <v>175</v>
      </c>
      <c r="B182" s="345" t="s">
        <v>366</v>
      </c>
      <c r="C182" s="346" t="s">
        <v>367</v>
      </c>
      <c r="D182" s="364"/>
      <c r="E182" s="363">
        <v>1000000</v>
      </c>
      <c r="F182" s="389">
        <v>891.05</v>
      </c>
      <c r="G182" s="365">
        <f t="shared" si="90"/>
        <v>1000891.05</v>
      </c>
    </row>
    <row r="183" spans="1:7">
      <c r="A183" s="327">
        <v>176</v>
      </c>
      <c r="B183" s="345" t="s">
        <v>368</v>
      </c>
      <c r="C183" s="346" t="s">
        <v>369</v>
      </c>
      <c r="D183" s="347"/>
      <c r="E183" s="361">
        <v>0</v>
      </c>
      <c r="F183" s="389">
        <v>96498.880000000005</v>
      </c>
      <c r="G183" s="362">
        <f t="shared" si="90"/>
        <v>96498.880000000005</v>
      </c>
    </row>
    <row r="184" spans="1:7">
      <c r="A184" s="35">
        <v>177</v>
      </c>
      <c r="B184" s="345" t="s">
        <v>370</v>
      </c>
      <c r="C184" s="346" t="s">
        <v>371</v>
      </c>
      <c r="D184" s="364"/>
      <c r="E184" s="363">
        <v>805</v>
      </c>
      <c r="F184" s="389">
        <v>475.5</v>
      </c>
      <c r="G184" s="365">
        <f t="shared" si="90"/>
        <v>1280.5</v>
      </c>
    </row>
    <row r="185" spans="1:7">
      <c r="A185" s="327">
        <v>178</v>
      </c>
      <c r="B185" s="341" t="s">
        <v>372</v>
      </c>
      <c r="C185" s="342"/>
      <c r="D185" s="352"/>
      <c r="E185" s="353">
        <f t="shared" ref="E185:G185" si="91">SUM(E175:E184)</f>
        <v>1021114.15</v>
      </c>
      <c r="F185" s="366">
        <f t="shared" si="91"/>
        <v>101998.11</v>
      </c>
      <c r="G185" s="355">
        <f t="shared" si="91"/>
        <v>1123112.26</v>
      </c>
    </row>
    <row r="186" spans="1:7" ht="16.5" thickBot="1">
      <c r="A186" s="35">
        <v>179</v>
      </c>
      <c r="B186" s="414" t="s">
        <v>373</v>
      </c>
      <c r="C186" s="415"/>
      <c r="D186" s="402">
        <f>D150-D159-D172-D185</f>
        <v>0</v>
      </c>
      <c r="E186" s="403">
        <f>E150-E159+E172-E185</f>
        <v>57757150.519999996</v>
      </c>
      <c r="F186" s="404">
        <f t="shared" ref="F186:G186" si="92">F150-F159+F172-F185</f>
        <v>-50260215.509999998</v>
      </c>
      <c r="G186" s="405">
        <f t="shared" si="92"/>
        <v>7496935.0100000091</v>
      </c>
    </row>
    <row r="187" spans="1:7" ht="16.5" thickTop="1"/>
  </sheetData>
  <mergeCells count="20">
    <mergeCell ref="S1:W1"/>
    <mergeCell ref="S2:W2"/>
    <mergeCell ref="S3:W3"/>
    <mergeCell ref="S4:W4"/>
    <mergeCell ref="S5:W5"/>
    <mergeCell ref="K1:O1"/>
    <mergeCell ref="K2:O2"/>
    <mergeCell ref="K3:O3"/>
    <mergeCell ref="K4:O4"/>
    <mergeCell ref="K5:O5"/>
    <mergeCell ref="C1:G1"/>
    <mergeCell ref="C2:G2"/>
    <mergeCell ref="C3:G3"/>
    <mergeCell ref="C4:G4"/>
    <mergeCell ref="C5:G5"/>
    <mergeCell ref="B13:C13"/>
    <mergeCell ref="B124:C124"/>
    <mergeCell ref="B11:C12"/>
    <mergeCell ref="E11:G11"/>
    <mergeCell ref="E12:G12"/>
  </mergeCells>
  <printOptions horizontalCentered="1"/>
  <pageMargins left="0.7" right="0.7" top="0.75" bottom="0.75" header="0.3" footer="0.3"/>
  <pageSetup scale="76" fitToHeight="0" orientation="landscape" r:id="rId1"/>
  <headerFooter scaleWithDoc="0" alignWithMargins="0">
    <oddHeader>&amp;RPage &amp;P of &amp;N</oddHeader>
    <oddFooter>&amp;LElectronic Tab Name:&amp;A</oddFooter>
  </headerFooter>
  <rowBreaks count="1" manualBreakCount="1">
    <brk id="157" max="7" man="1"/>
  </rowBreaks>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9"/>
  <sheetViews>
    <sheetView workbookViewId="0">
      <selection activeCell="A3" sqref="A3:H3"/>
    </sheetView>
  </sheetViews>
  <sheetFormatPr defaultRowHeight="15.75"/>
  <cols>
    <col min="1" max="1" width="8.42578125" style="6" bestFit="1" customWidth="1"/>
    <col min="2" max="2" width="37.5703125" style="6" bestFit="1" customWidth="1"/>
    <col min="3" max="3" width="3.85546875" style="6" customWidth="1"/>
    <col min="4" max="4" width="17.7109375" style="6" bestFit="1" customWidth="1"/>
    <col min="5" max="6" width="9.140625" style="6"/>
    <col min="7" max="7" width="15.42578125" style="6" customWidth="1"/>
    <col min="8" max="16384" width="9.140625" style="6"/>
  </cols>
  <sheetData>
    <row r="1" spans="1:6">
      <c r="B1" s="1025" t="s">
        <v>61</v>
      </c>
      <c r="C1" s="1025"/>
      <c r="D1" s="1025"/>
      <c r="E1" s="1025"/>
      <c r="F1" s="1025"/>
    </row>
    <row r="2" spans="1:6">
      <c r="B2" s="1025" t="s">
        <v>1690</v>
      </c>
      <c r="C2" s="1025"/>
      <c r="D2" s="1025"/>
      <c r="E2" s="1025"/>
      <c r="F2" s="1025"/>
    </row>
    <row r="3" spans="1:6">
      <c r="B3" s="1025" t="s">
        <v>1697</v>
      </c>
      <c r="C3" s="1025"/>
      <c r="D3" s="1025"/>
      <c r="E3" s="1025"/>
      <c r="F3" s="1025"/>
    </row>
    <row r="4" spans="1:6">
      <c r="B4" s="1025" t="s">
        <v>42</v>
      </c>
      <c r="C4" s="1025"/>
      <c r="D4" s="1025"/>
      <c r="E4" s="1025"/>
      <c r="F4" s="1025"/>
    </row>
    <row r="5" spans="1:6">
      <c r="B5" s="1025" t="s">
        <v>985</v>
      </c>
      <c r="C5" s="1025"/>
      <c r="D5" s="1025"/>
      <c r="E5" s="1025"/>
      <c r="F5" s="1025"/>
    </row>
    <row r="9" spans="1:6">
      <c r="A9" s="15" t="s">
        <v>1727</v>
      </c>
      <c r="B9" s="8" t="s">
        <v>1731</v>
      </c>
      <c r="C9" s="8"/>
      <c r="D9" s="8" t="s">
        <v>1729</v>
      </c>
    </row>
    <row r="10" spans="1:6">
      <c r="A10" s="8">
        <v>1</v>
      </c>
      <c r="D10" s="8" t="s">
        <v>377</v>
      </c>
    </row>
    <row r="11" spans="1:6">
      <c r="A11" s="8">
        <v>2</v>
      </c>
      <c r="D11" s="8" t="s">
        <v>378</v>
      </c>
    </row>
    <row r="12" spans="1:6">
      <c r="A12" s="8">
        <v>3</v>
      </c>
      <c r="D12" s="8" t="s">
        <v>989</v>
      </c>
    </row>
    <row r="13" spans="1:6">
      <c r="A13" s="8">
        <v>4</v>
      </c>
      <c r="B13" s="6" t="s">
        <v>1926</v>
      </c>
      <c r="D13" s="91">
        <f>+'Plant in Serv &amp; Accum Depr'!AF147</f>
        <v>677314165.18981874</v>
      </c>
      <c r="E13" s="6" t="s">
        <v>1978</v>
      </c>
    </row>
    <row r="14" spans="1:6">
      <c r="A14" s="8">
        <v>5</v>
      </c>
      <c r="B14" s="6" t="s">
        <v>1927</v>
      </c>
      <c r="D14" s="416">
        <f>-'Plant in Serv &amp; Accum Depr'!AF153</f>
        <v>-345424354.83661753</v>
      </c>
      <c r="E14" s="6" t="s">
        <v>1978</v>
      </c>
    </row>
    <row r="15" spans="1:6">
      <c r="A15" s="8">
        <v>6</v>
      </c>
      <c r="B15" s="6" t="s">
        <v>374</v>
      </c>
      <c r="D15" s="247">
        <f>+D13+D14</f>
        <v>331889810.35320121</v>
      </c>
    </row>
    <row r="16" spans="1:6">
      <c r="A16" s="8">
        <v>7</v>
      </c>
      <c r="B16" s="6" t="s">
        <v>1928</v>
      </c>
      <c r="D16" s="247">
        <f>+'Adv for Const. &amp; Def Tax'!AX23</f>
        <v>-3771590.387083333</v>
      </c>
      <c r="E16" s="6" t="s">
        <v>1979</v>
      </c>
    </row>
    <row r="17" spans="1:8">
      <c r="A17" s="8">
        <v>8</v>
      </c>
      <c r="B17" s="6" t="s">
        <v>1929</v>
      </c>
      <c r="D17" s="417">
        <f>+'Adv for Const. &amp; Def Tax'!AX30</f>
        <v>-73667038.139583334</v>
      </c>
      <c r="E17" s="6" t="s">
        <v>1979</v>
      </c>
    </row>
    <row r="18" spans="1:8">
      <c r="A18" s="8">
        <v>9</v>
      </c>
      <c r="B18" s="6" t="s">
        <v>1930</v>
      </c>
      <c r="D18" s="418">
        <f>+'Working Capital'!E44</f>
        <v>25610869.595646363</v>
      </c>
      <c r="E18" s="6" t="s">
        <v>1980</v>
      </c>
    </row>
    <row r="19" spans="1:8">
      <c r="A19" s="8">
        <v>10</v>
      </c>
      <c r="B19" s="6" t="s">
        <v>1931</v>
      </c>
      <c r="D19" s="419">
        <f>+D15+D16+D17+D18</f>
        <v>280062051.42218089</v>
      </c>
      <c r="H19" s="19"/>
    </row>
  </sheetData>
  <mergeCells count="5">
    <mergeCell ref="B5:F5"/>
    <mergeCell ref="B1:F1"/>
    <mergeCell ref="B2:F2"/>
    <mergeCell ref="B3:F3"/>
    <mergeCell ref="B4:F4"/>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I153"/>
  <sheetViews>
    <sheetView view="pageBreakPreview" zoomScale="70" zoomScaleNormal="100" zoomScaleSheetLayoutView="70" workbookViewId="0">
      <selection activeCell="A3" sqref="A3:H3"/>
    </sheetView>
  </sheetViews>
  <sheetFormatPr defaultRowHeight="15.75"/>
  <cols>
    <col min="1" max="1" width="9.28515625" style="35" bestFit="1" customWidth="1"/>
    <col min="2" max="2" width="17.7109375" style="6" customWidth="1"/>
    <col min="3" max="3" width="36.7109375" style="6" bestFit="1" customWidth="1"/>
    <col min="4" max="4" width="19.28515625" style="6" customWidth="1"/>
    <col min="5" max="5" width="27" style="6" bestFit="1" customWidth="1"/>
    <col min="6" max="6" width="20.140625" style="6" bestFit="1" customWidth="1"/>
    <col min="7" max="7" width="27.7109375" style="6" bestFit="1" customWidth="1"/>
    <col min="8" max="11" width="28.28515625" style="6" bestFit="1" customWidth="1"/>
    <col min="12" max="12" width="27" style="6" bestFit="1" customWidth="1"/>
    <col min="13" max="13" width="27.7109375" style="6" bestFit="1" customWidth="1"/>
    <col min="14" max="15" width="28.28515625" style="6" bestFit="1" customWidth="1"/>
    <col min="16" max="16" width="27.7109375" style="6" bestFit="1" customWidth="1"/>
    <col min="17" max="18" width="28.28515625" style="6" bestFit="1" customWidth="1"/>
    <col min="19" max="20" width="27.7109375" style="6" bestFit="1" customWidth="1"/>
    <col min="21" max="21" width="28.28515625" style="6" bestFit="1" customWidth="1"/>
    <col min="22" max="22" width="27.7109375" style="6" bestFit="1" customWidth="1"/>
    <col min="23" max="25" width="28.28515625" style="6" bestFit="1" customWidth="1"/>
    <col min="26" max="26" width="27" style="6" bestFit="1" customWidth="1"/>
    <col min="27" max="28" width="28.28515625" style="6" bestFit="1" customWidth="1"/>
    <col min="29" max="29" width="27.7109375" style="6" bestFit="1" customWidth="1"/>
    <col min="30" max="30" width="28.28515625" style="6" bestFit="1" customWidth="1"/>
    <col min="31" max="31" width="28.85546875" style="6" bestFit="1" customWidth="1"/>
    <col min="32" max="32" width="35.85546875" style="6" bestFit="1" customWidth="1"/>
    <col min="33" max="16384" width="9.140625" style="6"/>
  </cols>
  <sheetData>
    <row r="1" spans="1:35">
      <c r="A1" s="1025" t="s">
        <v>61</v>
      </c>
      <c r="B1" s="1025"/>
      <c r="C1" s="1025"/>
      <c r="D1" s="1025"/>
      <c r="E1" s="1025"/>
      <c r="F1" s="1025"/>
      <c r="G1" s="1025"/>
      <c r="J1" s="1025" t="s">
        <v>61</v>
      </c>
      <c r="K1" s="1025"/>
      <c r="L1" s="1025"/>
      <c r="M1" s="5"/>
      <c r="N1" s="5"/>
      <c r="O1" s="5"/>
      <c r="R1" s="1025" t="s">
        <v>61</v>
      </c>
      <c r="S1" s="1025"/>
      <c r="T1" s="5"/>
      <c r="U1" s="5"/>
      <c r="V1" s="5"/>
      <c r="W1" s="5"/>
      <c r="Y1" s="1025" t="s">
        <v>61</v>
      </c>
      <c r="Z1" s="1025"/>
      <c r="AA1" s="1025"/>
      <c r="AB1" s="5"/>
      <c r="AC1" s="5"/>
      <c r="AD1" s="5"/>
      <c r="AE1" s="38" t="s">
        <v>61</v>
      </c>
      <c r="AF1" s="5"/>
      <c r="AG1" s="5"/>
      <c r="AH1" s="5"/>
      <c r="AI1" s="5"/>
    </row>
    <row r="2" spans="1:35">
      <c r="A2" s="1025" t="s">
        <v>1690</v>
      </c>
      <c r="B2" s="1025"/>
      <c r="C2" s="1025"/>
      <c r="D2" s="1025"/>
      <c r="E2" s="1025"/>
      <c r="F2" s="1025"/>
      <c r="G2" s="1025"/>
      <c r="J2" s="1025" t="s">
        <v>1690</v>
      </c>
      <c r="K2" s="1025"/>
      <c r="L2" s="1025"/>
      <c r="M2" s="5"/>
      <c r="N2" s="5"/>
      <c r="O2" s="5"/>
      <c r="R2" s="1025" t="s">
        <v>1690</v>
      </c>
      <c r="S2" s="1025"/>
      <c r="T2" s="5"/>
      <c r="U2" s="5"/>
      <c r="V2" s="5"/>
      <c r="W2" s="5"/>
      <c r="X2" s="8"/>
      <c r="Y2" s="1025" t="s">
        <v>1690</v>
      </c>
      <c r="Z2" s="1025"/>
      <c r="AA2" s="1025"/>
      <c r="AB2" s="5"/>
      <c r="AC2" s="5"/>
      <c r="AD2" s="8"/>
      <c r="AE2" s="38" t="s">
        <v>1690</v>
      </c>
      <c r="AF2" s="5"/>
      <c r="AG2" s="5"/>
      <c r="AH2" s="5"/>
      <c r="AI2" s="5"/>
    </row>
    <row r="3" spans="1:35">
      <c r="A3" s="1025" t="s">
        <v>1698</v>
      </c>
      <c r="B3" s="1025"/>
      <c r="C3" s="1025"/>
      <c r="D3" s="1025"/>
      <c r="E3" s="1025"/>
      <c r="F3" s="1025"/>
      <c r="G3" s="1025"/>
      <c r="J3" s="1025" t="s">
        <v>1698</v>
      </c>
      <c r="K3" s="1025"/>
      <c r="L3" s="1025"/>
      <c r="M3" s="5"/>
      <c r="N3" s="5"/>
      <c r="O3" s="5"/>
      <c r="R3" s="1025" t="s">
        <v>1698</v>
      </c>
      <c r="S3" s="1025"/>
      <c r="T3" s="5"/>
      <c r="U3" s="5"/>
      <c r="V3" s="5"/>
      <c r="W3" s="5"/>
      <c r="X3" s="8"/>
      <c r="Y3" s="1025" t="s">
        <v>1698</v>
      </c>
      <c r="Z3" s="1025"/>
      <c r="AA3" s="1025"/>
      <c r="AB3" s="5"/>
      <c r="AC3" s="5"/>
      <c r="AD3" s="8"/>
      <c r="AE3" s="38" t="s">
        <v>1698</v>
      </c>
      <c r="AF3" s="5"/>
      <c r="AG3" s="5"/>
      <c r="AH3" s="5"/>
      <c r="AI3" s="5"/>
    </row>
    <row r="4" spans="1:35">
      <c r="A4" s="1025" t="s">
        <v>2041</v>
      </c>
      <c r="B4" s="1025"/>
      <c r="C4" s="1025"/>
      <c r="D4" s="1025"/>
      <c r="E4" s="1025"/>
      <c r="F4" s="1025"/>
      <c r="G4" s="1025"/>
      <c r="J4" s="1025" t="s">
        <v>2041</v>
      </c>
      <c r="K4" s="1025"/>
      <c r="L4" s="1025"/>
      <c r="M4" s="5"/>
      <c r="N4" s="5"/>
      <c r="O4" s="5"/>
      <c r="R4" s="1025" t="s">
        <v>2041</v>
      </c>
      <c r="S4" s="1025"/>
      <c r="T4" s="5"/>
      <c r="U4" s="5"/>
      <c r="V4" s="5"/>
      <c r="W4" s="5"/>
      <c r="Y4" s="1025" t="s">
        <v>2041</v>
      </c>
      <c r="Z4" s="1025"/>
      <c r="AA4" s="1025"/>
      <c r="AB4" s="5"/>
      <c r="AC4" s="5"/>
      <c r="AD4" s="5"/>
      <c r="AE4" s="38" t="s">
        <v>2041</v>
      </c>
      <c r="AF4" s="5"/>
      <c r="AG4" s="5"/>
      <c r="AH4" s="5"/>
      <c r="AI4" s="5"/>
    </row>
    <row r="5" spans="1:35">
      <c r="A5" s="1025" t="s">
        <v>985</v>
      </c>
      <c r="B5" s="1025"/>
      <c r="C5" s="1025"/>
      <c r="D5" s="1025"/>
      <c r="E5" s="1025"/>
      <c r="F5" s="1025"/>
      <c r="G5" s="1025"/>
      <c r="J5" s="1025" t="s">
        <v>985</v>
      </c>
      <c r="K5" s="1025"/>
      <c r="L5" s="1025"/>
      <c r="M5" s="5"/>
      <c r="N5" s="5"/>
      <c r="O5" s="5"/>
      <c r="R5" s="1025" t="s">
        <v>985</v>
      </c>
      <c r="S5" s="1025"/>
      <c r="T5" s="5"/>
      <c r="U5" s="5"/>
      <c r="V5" s="5"/>
      <c r="W5" s="5"/>
      <c r="Y5" s="1025" t="s">
        <v>985</v>
      </c>
      <c r="Z5" s="1025"/>
      <c r="AA5" s="1025"/>
      <c r="AB5" s="5"/>
      <c r="AC5" s="5"/>
      <c r="AE5" s="38" t="s">
        <v>985</v>
      </c>
      <c r="AF5" s="5"/>
      <c r="AG5" s="5"/>
      <c r="AH5" s="5"/>
      <c r="AI5" s="5"/>
    </row>
    <row r="7" spans="1:35" s="35" customFormat="1">
      <c r="B7" s="35" t="s">
        <v>1731</v>
      </c>
      <c r="C7" s="35" t="s">
        <v>1729</v>
      </c>
      <c r="D7" s="35" t="s">
        <v>1730</v>
      </c>
      <c r="E7" s="35" t="s">
        <v>1733</v>
      </c>
      <c r="F7" s="35" t="s">
        <v>1734</v>
      </c>
      <c r="G7" s="35" t="s">
        <v>1743</v>
      </c>
      <c r="H7" s="35" t="s">
        <v>1744</v>
      </c>
      <c r="I7" s="35" t="s">
        <v>1745</v>
      </c>
      <c r="J7" s="35" t="s">
        <v>1746</v>
      </c>
      <c r="K7" s="35" t="s">
        <v>1747</v>
      </c>
      <c r="L7" s="35" t="s">
        <v>1748</v>
      </c>
      <c r="M7" s="35" t="s">
        <v>1749</v>
      </c>
      <c r="N7" s="35" t="s">
        <v>1750</v>
      </c>
      <c r="O7" s="35" t="s">
        <v>1751</v>
      </c>
      <c r="P7" s="35" t="s">
        <v>1752</v>
      </c>
      <c r="Q7" s="35" t="s">
        <v>2026</v>
      </c>
      <c r="R7" s="35" t="s">
        <v>2027</v>
      </c>
      <c r="S7" s="35" t="s">
        <v>2028</v>
      </c>
      <c r="T7" s="35" t="s">
        <v>2029</v>
      </c>
      <c r="U7" s="35" t="s">
        <v>2030</v>
      </c>
      <c r="V7" s="35" t="s">
        <v>2031</v>
      </c>
      <c r="W7" s="35" t="s">
        <v>2032</v>
      </c>
      <c r="X7" s="35" t="s">
        <v>2033</v>
      </c>
      <c r="Y7" s="35" t="s">
        <v>2034</v>
      </c>
      <c r="Z7" s="35" t="s">
        <v>2035</v>
      </c>
      <c r="AA7" s="35" t="s">
        <v>2036</v>
      </c>
      <c r="AB7" s="35" t="s">
        <v>1181</v>
      </c>
      <c r="AC7" s="35" t="s">
        <v>2037</v>
      </c>
      <c r="AD7" s="35" t="s">
        <v>2038</v>
      </c>
      <c r="AE7" s="35" t="s">
        <v>2039</v>
      </c>
      <c r="AF7" s="35" t="s">
        <v>2040</v>
      </c>
    </row>
    <row r="8" spans="1:35">
      <c r="A8" s="35" t="s">
        <v>891</v>
      </c>
      <c r="B8" s="420" t="s">
        <v>1762</v>
      </c>
      <c r="C8" s="420" t="s">
        <v>1763</v>
      </c>
      <c r="D8" s="420" t="s">
        <v>80</v>
      </c>
      <c r="E8" s="420" t="s">
        <v>1764</v>
      </c>
      <c r="F8" s="420" t="s">
        <v>1765</v>
      </c>
      <c r="G8" s="420" t="s">
        <v>1766</v>
      </c>
      <c r="H8" s="420" t="s">
        <v>1767</v>
      </c>
      <c r="I8" s="420" t="s">
        <v>1768</v>
      </c>
      <c r="J8" s="420" t="s">
        <v>1769</v>
      </c>
      <c r="K8" s="420" t="s">
        <v>1770</v>
      </c>
      <c r="L8" s="420" t="s">
        <v>1771</v>
      </c>
      <c r="M8" s="420" t="s">
        <v>1772</v>
      </c>
      <c r="N8" s="420" t="s">
        <v>1773</v>
      </c>
      <c r="O8" s="420" t="s">
        <v>1774</v>
      </c>
      <c r="P8" s="420" t="s">
        <v>1775</v>
      </c>
      <c r="Q8" s="420" t="s">
        <v>1776</v>
      </c>
      <c r="R8" s="420" t="s">
        <v>1777</v>
      </c>
      <c r="S8" s="420" t="s">
        <v>1778</v>
      </c>
      <c r="T8" s="420" t="s">
        <v>1779</v>
      </c>
      <c r="U8" s="420" t="s">
        <v>1780</v>
      </c>
      <c r="V8" s="420" t="s">
        <v>1781</v>
      </c>
      <c r="W8" s="420" t="s">
        <v>1782</v>
      </c>
      <c r="X8" s="420" t="s">
        <v>1783</v>
      </c>
      <c r="Y8" s="420" t="s">
        <v>1784</v>
      </c>
      <c r="Z8" s="420" t="s">
        <v>1785</v>
      </c>
      <c r="AA8" s="420" t="s">
        <v>1786</v>
      </c>
      <c r="AB8" s="420" t="s">
        <v>1787</v>
      </c>
      <c r="AC8" s="420" t="s">
        <v>1788</v>
      </c>
      <c r="AD8" s="420" t="s">
        <v>1789</v>
      </c>
      <c r="AE8" s="420" t="s">
        <v>1790</v>
      </c>
      <c r="AF8" s="420" t="s">
        <v>1791</v>
      </c>
    </row>
    <row r="9" spans="1:35">
      <c r="A9" s="35">
        <v>1</v>
      </c>
      <c r="B9" s="421" t="s">
        <v>86</v>
      </c>
      <c r="C9" s="421" t="s">
        <v>1018</v>
      </c>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row>
    <row r="10" spans="1:35">
      <c r="A10" s="35">
        <v>2</v>
      </c>
      <c r="C10" s="6" t="s">
        <v>1792</v>
      </c>
      <c r="D10" s="6" t="str">
        <f>RIGHT(C10,5)</f>
        <v>00038</v>
      </c>
      <c r="E10" s="423">
        <v>73666.720000000001</v>
      </c>
      <c r="F10" s="423">
        <v>73666.820000000007</v>
      </c>
      <c r="G10" s="423">
        <v>73666.720000000001</v>
      </c>
      <c r="H10" s="423">
        <v>73666.820000000007</v>
      </c>
      <c r="I10" s="423">
        <v>73666.720000000001</v>
      </c>
      <c r="J10" s="423">
        <v>73666.820000000007</v>
      </c>
      <c r="K10" s="423">
        <v>73666.720000000001</v>
      </c>
      <c r="L10" s="423">
        <v>73666.820000000007</v>
      </c>
      <c r="M10" s="423">
        <v>73666.720000000001</v>
      </c>
      <c r="N10" s="423">
        <v>73666.820000000007</v>
      </c>
      <c r="O10" s="423">
        <v>73666.720000000001</v>
      </c>
      <c r="P10" s="423">
        <v>73666.820000000007</v>
      </c>
      <c r="Q10" s="423">
        <v>73666.720000000001</v>
      </c>
      <c r="R10" s="423">
        <v>73666.820000000007</v>
      </c>
      <c r="S10" s="423">
        <v>73666.720000000001</v>
      </c>
      <c r="T10" s="423">
        <v>73666.820000000007</v>
      </c>
      <c r="U10" s="423">
        <v>73666.720000000001</v>
      </c>
      <c r="V10" s="423">
        <v>73666.820000000007</v>
      </c>
      <c r="W10" s="423">
        <v>73666.720000000001</v>
      </c>
      <c r="X10" s="423">
        <v>73666.820000000007</v>
      </c>
      <c r="Y10" s="423">
        <v>73666.720000000001</v>
      </c>
      <c r="Z10" s="423">
        <v>73666.820000000007</v>
      </c>
      <c r="AA10" s="423">
        <v>73666.720000000001</v>
      </c>
      <c r="AB10" s="423">
        <v>73666.820000000007</v>
      </c>
      <c r="AC10" s="423">
        <v>73666.720000000001</v>
      </c>
      <c r="AD10" s="423">
        <v>73666.820000000007</v>
      </c>
      <c r="AE10" s="423">
        <f>+(E10+AC10+(+G10+I10+K10+M10+O10+Q10+S10+U10+W10+Y10+AA10)*2)/24</f>
        <v>73666.719999999987</v>
      </c>
      <c r="AF10" s="423">
        <f>+(F10+AD10+(+H10+J10+L10+N10+P10+R10+T10+V10+X10+Z10+AB10)*2)/24</f>
        <v>73666.820000000022</v>
      </c>
    </row>
    <row r="11" spans="1:35">
      <c r="A11" s="35">
        <v>3</v>
      </c>
      <c r="C11" s="6" t="s">
        <v>1793</v>
      </c>
      <c r="D11" s="424" t="s">
        <v>1794</v>
      </c>
      <c r="E11" s="423">
        <v>0</v>
      </c>
      <c r="F11" s="423">
        <v>0</v>
      </c>
      <c r="G11" s="423">
        <v>0</v>
      </c>
      <c r="H11" s="423">
        <v>0</v>
      </c>
      <c r="I11" s="423">
        <v>0</v>
      </c>
      <c r="J11" s="423">
        <v>0</v>
      </c>
      <c r="K11" s="423">
        <v>0</v>
      </c>
      <c r="L11" s="423">
        <v>0</v>
      </c>
      <c r="M11" s="423">
        <v>0</v>
      </c>
      <c r="N11" s="423">
        <v>0</v>
      </c>
      <c r="O11" s="423">
        <v>0</v>
      </c>
      <c r="P11" s="423">
        <v>0</v>
      </c>
      <c r="Q11" s="423">
        <v>0</v>
      </c>
      <c r="R11" s="423">
        <v>0</v>
      </c>
      <c r="S11" s="423">
        <v>113374.44</v>
      </c>
      <c r="T11" s="423">
        <v>6007.91</v>
      </c>
      <c r="U11" s="423">
        <v>113374.44</v>
      </c>
      <c r="V11" s="423">
        <v>6244.1100000000006</v>
      </c>
      <c r="W11" s="423">
        <v>113374.44</v>
      </c>
      <c r="X11" s="423">
        <v>6480.31</v>
      </c>
      <c r="Y11" s="423">
        <v>113374.44</v>
      </c>
      <c r="Z11" s="423">
        <v>6716.51</v>
      </c>
      <c r="AA11" s="423">
        <v>113374.44</v>
      </c>
      <c r="AB11" s="423">
        <v>6952.71</v>
      </c>
      <c r="AC11" s="423">
        <v>113374.44</v>
      </c>
      <c r="AD11" s="423">
        <v>7188.91</v>
      </c>
      <c r="AE11" s="423">
        <f>+(E11+AC11+(+G11+I11+K11+M11+O11+Q11+S11+U11+W11+Y11+AA11)*2)/24</f>
        <v>51963.284999999996</v>
      </c>
      <c r="AF11" s="423">
        <f t="shared" ref="AF11:AF45" si="0">+(F11+AD11+(+H11+J11+L11+N11+P11+R11+T11+V11+X11+Z11+AB11)*2)/24</f>
        <v>2999.6670833333337</v>
      </c>
    </row>
    <row r="12" spans="1:35">
      <c r="A12" s="35">
        <v>4</v>
      </c>
      <c r="C12" s="6" t="s">
        <v>1795</v>
      </c>
      <c r="D12" s="6" t="str">
        <f t="shared" ref="D12:D45" si="1">RIGHT(C12,5)</f>
        <v>00038</v>
      </c>
      <c r="E12" s="423">
        <v>113374.44</v>
      </c>
      <c r="F12" s="423">
        <v>4371.25</v>
      </c>
      <c r="G12" s="423">
        <v>113374.44</v>
      </c>
      <c r="H12" s="423">
        <v>4604.66</v>
      </c>
      <c r="I12" s="423">
        <v>113374.44</v>
      </c>
      <c r="J12" s="423">
        <v>4838.07</v>
      </c>
      <c r="K12" s="423">
        <v>113374.44</v>
      </c>
      <c r="L12" s="423">
        <v>5071.4800000000005</v>
      </c>
      <c r="M12" s="423">
        <v>113374.44</v>
      </c>
      <c r="N12" s="423">
        <v>5304.89</v>
      </c>
      <c r="O12" s="423">
        <v>113374.44</v>
      </c>
      <c r="P12" s="423">
        <v>5538.3</v>
      </c>
      <c r="Q12" s="423">
        <v>113374.44</v>
      </c>
      <c r="R12" s="423">
        <v>5771.71</v>
      </c>
      <c r="S12" s="423">
        <v>0</v>
      </c>
      <c r="T12" s="423">
        <v>0</v>
      </c>
      <c r="U12" s="423">
        <v>0</v>
      </c>
      <c r="V12" s="423">
        <v>0</v>
      </c>
      <c r="W12" s="423">
        <v>0</v>
      </c>
      <c r="X12" s="423">
        <v>0</v>
      </c>
      <c r="Y12" s="423">
        <v>0</v>
      </c>
      <c r="Z12" s="423">
        <v>0</v>
      </c>
      <c r="AA12" s="423">
        <v>0</v>
      </c>
      <c r="AB12" s="423">
        <v>0</v>
      </c>
      <c r="AC12" s="423">
        <v>0</v>
      </c>
      <c r="AD12" s="423">
        <v>0</v>
      </c>
      <c r="AE12" s="423">
        <f t="shared" ref="AE12:AE45" si="2">+(E12+AC12+(+G12+I12+K12+M12+O12+Q12+S12+U12+W12+Y12+AA12)*2)/24</f>
        <v>61411.154999999992</v>
      </c>
      <c r="AF12" s="423">
        <f t="shared" si="0"/>
        <v>2776.2279166666667</v>
      </c>
    </row>
    <row r="13" spans="1:35">
      <c r="A13" s="35">
        <v>5</v>
      </c>
      <c r="C13" s="6" t="s">
        <v>1796</v>
      </c>
      <c r="D13" s="6" t="str">
        <f t="shared" si="1"/>
        <v>00038</v>
      </c>
      <c r="E13" s="423">
        <v>13130.54</v>
      </c>
      <c r="F13" s="423">
        <v>0</v>
      </c>
      <c r="G13" s="423">
        <v>13130.54</v>
      </c>
      <c r="H13" s="423">
        <v>0</v>
      </c>
      <c r="I13" s="423">
        <v>13130.54</v>
      </c>
      <c r="J13" s="423">
        <v>0</v>
      </c>
      <c r="K13" s="423">
        <v>13130.54</v>
      </c>
      <c r="L13" s="423">
        <v>0</v>
      </c>
      <c r="M13" s="423">
        <v>13130.54</v>
      </c>
      <c r="N13" s="423">
        <v>0</v>
      </c>
      <c r="O13" s="423">
        <v>13130.54</v>
      </c>
      <c r="P13" s="423">
        <v>0</v>
      </c>
      <c r="Q13" s="423">
        <v>13130.54</v>
      </c>
      <c r="R13" s="423">
        <v>0</v>
      </c>
      <c r="S13" s="423">
        <v>13130.54</v>
      </c>
      <c r="T13" s="423">
        <v>0</v>
      </c>
      <c r="U13" s="423">
        <v>13130.54</v>
      </c>
      <c r="V13" s="423">
        <v>0</v>
      </c>
      <c r="W13" s="423">
        <v>13130.54</v>
      </c>
      <c r="X13" s="423">
        <v>0</v>
      </c>
      <c r="Y13" s="423">
        <v>13130.54</v>
      </c>
      <c r="Z13" s="423">
        <v>0</v>
      </c>
      <c r="AA13" s="423">
        <v>13130.54</v>
      </c>
      <c r="AB13" s="423">
        <v>0</v>
      </c>
      <c r="AC13" s="423">
        <v>13130.54</v>
      </c>
      <c r="AD13" s="423">
        <v>0</v>
      </c>
      <c r="AE13" s="423">
        <f t="shared" si="2"/>
        <v>13130.540000000006</v>
      </c>
      <c r="AF13" s="423">
        <f t="shared" si="0"/>
        <v>0</v>
      </c>
    </row>
    <row r="14" spans="1:35">
      <c r="A14" s="35">
        <v>6</v>
      </c>
      <c r="C14" s="6" t="s">
        <v>1797</v>
      </c>
      <c r="D14" s="6" t="str">
        <f t="shared" si="1"/>
        <v>00038</v>
      </c>
      <c r="E14" s="423">
        <v>7692.66</v>
      </c>
      <c r="F14" s="423">
        <v>6205.68</v>
      </c>
      <c r="G14" s="423">
        <v>7692.66</v>
      </c>
      <c r="H14" s="423">
        <v>6215.81</v>
      </c>
      <c r="I14" s="423">
        <v>7692.66</v>
      </c>
      <c r="J14" s="423">
        <v>6225.9400000000005</v>
      </c>
      <c r="K14" s="423">
        <v>7692.66</v>
      </c>
      <c r="L14" s="423">
        <v>6236.07</v>
      </c>
      <c r="M14" s="423">
        <v>7692.66</v>
      </c>
      <c r="N14" s="423">
        <v>6246.2</v>
      </c>
      <c r="O14" s="423">
        <v>7692.66</v>
      </c>
      <c r="P14" s="423">
        <v>6256.33</v>
      </c>
      <c r="Q14" s="423">
        <v>7692.66</v>
      </c>
      <c r="R14" s="423">
        <v>6266.46</v>
      </c>
      <c r="S14" s="423">
        <v>7692.66</v>
      </c>
      <c r="T14" s="423">
        <v>6276.59</v>
      </c>
      <c r="U14" s="423">
        <v>7692.66</v>
      </c>
      <c r="V14" s="423">
        <v>6286.72</v>
      </c>
      <c r="W14" s="423">
        <v>7692.66</v>
      </c>
      <c r="X14" s="423">
        <v>6296.85</v>
      </c>
      <c r="Y14" s="423">
        <v>7692.66</v>
      </c>
      <c r="Z14" s="423">
        <v>6306.9800000000005</v>
      </c>
      <c r="AA14" s="423">
        <v>7692.66</v>
      </c>
      <c r="AB14" s="423">
        <v>6317.1100000000006</v>
      </c>
      <c r="AC14" s="423">
        <v>7692.66</v>
      </c>
      <c r="AD14" s="423">
        <v>6327.24</v>
      </c>
      <c r="AE14" s="423">
        <f t="shared" si="2"/>
        <v>7692.6600000000026</v>
      </c>
      <c r="AF14" s="423">
        <f t="shared" si="0"/>
        <v>6266.46</v>
      </c>
    </row>
    <row r="15" spans="1:35">
      <c r="A15" s="35">
        <v>7</v>
      </c>
      <c r="C15" s="6" t="s">
        <v>1798</v>
      </c>
      <c r="D15" s="6" t="str">
        <f t="shared" si="1"/>
        <v>00038</v>
      </c>
      <c r="E15" s="423">
        <v>6203474.7999999998</v>
      </c>
      <c r="F15" s="423">
        <v>3278641.73</v>
      </c>
      <c r="G15" s="423">
        <v>6203474.7999999998</v>
      </c>
      <c r="H15" s="423">
        <v>3288050.33</v>
      </c>
      <c r="I15" s="423">
        <v>6203474.7999999998</v>
      </c>
      <c r="J15" s="423">
        <v>3297458.93</v>
      </c>
      <c r="K15" s="423">
        <v>6203474.7999999998</v>
      </c>
      <c r="L15" s="423">
        <v>3306867.5300000003</v>
      </c>
      <c r="M15" s="423">
        <v>6203474.7999999998</v>
      </c>
      <c r="N15" s="423">
        <v>3316276.13</v>
      </c>
      <c r="O15" s="423">
        <v>6203474.7999999998</v>
      </c>
      <c r="P15" s="423">
        <v>3325684.73</v>
      </c>
      <c r="Q15" s="423">
        <v>6203474.7999999998</v>
      </c>
      <c r="R15" s="423">
        <v>3335093.33</v>
      </c>
      <c r="S15" s="423">
        <v>6203474.7999999998</v>
      </c>
      <c r="T15" s="423">
        <v>3344501.93</v>
      </c>
      <c r="U15" s="423">
        <v>6203474.7999999998</v>
      </c>
      <c r="V15" s="423">
        <v>3353910.5300000003</v>
      </c>
      <c r="W15" s="423">
        <v>6203474.7999999998</v>
      </c>
      <c r="X15" s="423">
        <v>3363319.13</v>
      </c>
      <c r="Y15" s="423">
        <v>6203474.7999999998</v>
      </c>
      <c r="Z15" s="423">
        <v>3372727.73</v>
      </c>
      <c r="AA15" s="423">
        <v>6203474.7999999998</v>
      </c>
      <c r="AB15" s="423">
        <v>3382136.33</v>
      </c>
      <c r="AC15" s="423">
        <v>6203474.7999999998</v>
      </c>
      <c r="AD15" s="423">
        <v>3391544.93</v>
      </c>
      <c r="AE15" s="423">
        <f t="shared" si="2"/>
        <v>6203474.799999998</v>
      </c>
      <c r="AF15" s="423">
        <f t="shared" si="0"/>
        <v>3335093.3299999996</v>
      </c>
    </row>
    <row r="16" spans="1:35">
      <c r="A16" s="35">
        <v>8</v>
      </c>
      <c r="C16" s="6" t="s">
        <v>1799</v>
      </c>
      <c r="D16" s="6" t="str">
        <f t="shared" si="1"/>
        <v>00038</v>
      </c>
      <c r="E16" s="423">
        <v>36161.700000000004</v>
      </c>
      <c r="F16" s="423">
        <v>-4564.4000000000005</v>
      </c>
      <c r="G16" s="423">
        <v>36161.700000000004</v>
      </c>
      <c r="H16" s="423">
        <v>-4552.05</v>
      </c>
      <c r="I16" s="423">
        <v>36161.700000000004</v>
      </c>
      <c r="J16" s="423">
        <v>-4539.7</v>
      </c>
      <c r="K16" s="423">
        <v>36161.700000000004</v>
      </c>
      <c r="L16" s="423">
        <v>-4527.3500000000004</v>
      </c>
      <c r="M16" s="423">
        <v>36161.700000000004</v>
      </c>
      <c r="N16" s="423">
        <v>-4515</v>
      </c>
      <c r="O16" s="423">
        <v>36161.700000000004</v>
      </c>
      <c r="P16" s="423">
        <v>-4502.6500000000005</v>
      </c>
      <c r="Q16" s="423">
        <v>36161.700000000004</v>
      </c>
      <c r="R16" s="423">
        <v>-4490.3</v>
      </c>
      <c r="S16" s="423">
        <v>36161.700000000004</v>
      </c>
      <c r="T16" s="423">
        <v>-4477.95</v>
      </c>
      <c r="U16" s="423">
        <v>36161.700000000004</v>
      </c>
      <c r="V16" s="423">
        <v>-4465.6000000000004</v>
      </c>
      <c r="W16" s="423">
        <v>36161.700000000004</v>
      </c>
      <c r="X16" s="423">
        <v>-4453.25</v>
      </c>
      <c r="Y16" s="423">
        <v>36161.700000000004</v>
      </c>
      <c r="Z16" s="423">
        <v>-4440.9000000000005</v>
      </c>
      <c r="AA16" s="423">
        <v>36161.700000000004</v>
      </c>
      <c r="AB16" s="423">
        <v>-4428.55</v>
      </c>
      <c r="AC16" s="423">
        <v>36161.700000000004</v>
      </c>
      <c r="AD16" s="423">
        <v>-4416.2</v>
      </c>
      <c r="AE16" s="423">
        <f t="shared" si="2"/>
        <v>36161.700000000004</v>
      </c>
      <c r="AF16" s="423">
        <f t="shared" si="0"/>
        <v>-4490.3</v>
      </c>
    </row>
    <row r="17" spans="1:32">
      <c r="A17" s="35">
        <v>9</v>
      </c>
      <c r="C17" s="6" t="s">
        <v>1800</v>
      </c>
      <c r="D17" s="6" t="str">
        <f t="shared" si="1"/>
        <v>00038</v>
      </c>
      <c r="E17" s="423">
        <v>81176.350000000006</v>
      </c>
      <c r="F17" s="423">
        <v>-2885.31</v>
      </c>
      <c r="G17" s="423">
        <v>81176.350000000006</v>
      </c>
      <c r="H17" s="423">
        <v>-2758.13</v>
      </c>
      <c r="I17" s="423">
        <v>81176.350000000006</v>
      </c>
      <c r="J17" s="423">
        <v>-2630.9500000000003</v>
      </c>
      <c r="K17" s="423">
        <v>81176.350000000006</v>
      </c>
      <c r="L17" s="423">
        <v>-2503.77</v>
      </c>
      <c r="M17" s="423">
        <v>81176.350000000006</v>
      </c>
      <c r="N17" s="423">
        <v>-2376.59</v>
      </c>
      <c r="O17" s="423">
        <v>81176.350000000006</v>
      </c>
      <c r="P17" s="423">
        <v>-2249.41</v>
      </c>
      <c r="Q17" s="423">
        <v>81176.350000000006</v>
      </c>
      <c r="R17" s="423">
        <v>-2122.23</v>
      </c>
      <c r="S17" s="423">
        <v>81176.350000000006</v>
      </c>
      <c r="T17" s="423">
        <v>-1995.05</v>
      </c>
      <c r="U17" s="423">
        <v>81176.350000000006</v>
      </c>
      <c r="V17" s="423">
        <v>-1867.8700000000001</v>
      </c>
      <c r="W17" s="423">
        <v>79051.19</v>
      </c>
      <c r="X17" s="423">
        <v>-1740.69</v>
      </c>
      <c r="Y17" s="423">
        <v>79051.19</v>
      </c>
      <c r="Z17" s="423">
        <v>-1616.8400000000001</v>
      </c>
      <c r="AA17" s="423">
        <v>79051.19</v>
      </c>
      <c r="AB17" s="423">
        <v>-1492.99</v>
      </c>
      <c r="AC17" s="423">
        <v>79051.19</v>
      </c>
      <c r="AD17" s="423">
        <v>-1369.14</v>
      </c>
      <c r="AE17" s="423">
        <f t="shared" si="2"/>
        <v>80556.511666666658</v>
      </c>
      <c r="AF17" s="423">
        <f t="shared" si="0"/>
        <v>-2123.4787499999998</v>
      </c>
    </row>
    <row r="18" spans="1:32">
      <c r="A18" s="35">
        <v>10</v>
      </c>
      <c r="C18" s="6" t="s">
        <v>1801</v>
      </c>
      <c r="D18" s="6" t="str">
        <f t="shared" si="1"/>
        <v>00038</v>
      </c>
      <c r="E18" s="423">
        <v>141860.15</v>
      </c>
      <c r="F18" s="423">
        <v>0</v>
      </c>
      <c r="G18" s="423">
        <v>141860.15</v>
      </c>
      <c r="H18" s="423">
        <v>0</v>
      </c>
      <c r="I18" s="423">
        <v>141860.15</v>
      </c>
      <c r="J18" s="423">
        <v>0</v>
      </c>
      <c r="K18" s="423">
        <v>141860.15</v>
      </c>
      <c r="L18" s="423">
        <v>0</v>
      </c>
      <c r="M18" s="423">
        <v>141860.15</v>
      </c>
      <c r="N18" s="423">
        <v>0</v>
      </c>
      <c r="O18" s="423">
        <v>141860.15</v>
      </c>
      <c r="P18" s="423">
        <v>0</v>
      </c>
      <c r="Q18" s="423">
        <v>141860.15</v>
      </c>
      <c r="R18" s="423">
        <v>0</v>
      </c>
      <c r="S18" s="423">
        <v>141860.15</v>
      </c>
      <c r="T18" s="423">
        <v>0</v>
      </c>
      <c r="U18" s="423">
        <v>141860.15</v>
      </c>
      <c r="V18" s="423">
        <v>0</v>
      </c>
      <c r="W18" s="423">
        <v>141860.15</v>
      </c>
      <c r="X18" s="423">
        <v>0</v>
      </c>
      <c r="Y18" s="423">
        <v>141860.15</v>
      </c>
      <c r="Z18" s="423">
        <v>0</v>
      </c>
      <c r="AA18" s="423">
        <v>141860.15</v>
      </c>
      <c r="AB18" s="423">
        <v>0</v>
      </c>
      <c r="AC18" s="423">
        <v>141860.15</v>
      </c>
      <c r="AD18" s="423">
        <v>0</v>
      </c>
      <c r="AE18" s="423">
        <f t="shared" si="2"/>
        <v>141860.14999999997</v>
      </c>
      <c r="AF18" s="423">
        <f t="shared" si="0"/>
        <v>0</v>
      </c>
    </row>
    <row r="19" spans="1:32">
      <c r="A19" s="35">
        <v>11</v>
      </c>
      <c r="C19" s="6" t="s">
        <v>1802</v>
      </c>
      <c r="D19" s="6" t="str">
        <f t="shared" si="1"/>
        <v>00038</v>
      </c>
      <c r="E19" s="423">
        <v>0</v>
      </c>
      <c r="F19" s="423">
        <v>-655.47</v>
      </c>
      <c r="G19" s="423">
        <v>0</v>
      </c>
      <c r="H19" s="423">
        <v>-655.47</v>
      </c>
      <c r="I19" s="423">
        <v>0</v>
      </c>
      <c r="J19" s="423">
        <v>-655.47</v>
      </c>
      <c r="K19" s="423">
        <v>0</v>
      </c>
      <c r="L19" s="423">
        <v>-655.47</v>
      </c>
      <c r="M19" s="423">
        <v>0</v>
      </c>
      <c r="N19" s="423">
        <v>-655.47</v>
      </c>
      <c r="O19" s="423">
        <v>0</v>
      </c>
      <c r="P19" s="423">
        <v>-655.47</v>
      </c>
      <c r="Q19" s="423">
        <v>0</v>
      </c>
      <c r="R19" s="423">
        <v>-655.47</v>
      </c>
      <c r="S19" s="423">
        <v>0</v>
      </c>
      <c r="T19" s="423">
        <v>-655.47</v>
      </c>
      <c r="U19" s="423">
        <v>0</v>
      </c>
      <c r="V19" s="423">
        <v>-655.47</v>
      </c>
      <c r="W19" s="423">
        <v>0</v>
      </c>
      <c r="X19" s="423">
        <v>-655.47</v>
      </c>
      <c r="Y19" s="423">
        <v>0</v>
      </c>
      <c r="Z19" s="423">
        <v>-655.47</v>
      </c>
      <c r="AA19" s="423">
        <v>0</v>
      </c>
      <c r="AB19" s="423">
        <v>-655.47</v>
      </c>
      <c r="AC19" s="423">
        <v>0</v>
      </c>
      <c r="AD19" s="423">
        <v>-655.47</v>
      </c>
      <c r="AE19" s="423">
        <f t="shared" si="2"/>
        <v>0</v>
      </c>
      <c r="AF19" s="423">
        <f t="shared" si="0"/>
        <v>-655.47000000000014</v>
      </c>
    </row>
    <row r="20" spans="1:32">
      <c r="A20" s="35">
        <v>12</v>
      </c>
      <c r="C20" s="6" t="s">
        <v>1803</v>
      </c>
      <c r="D20" s="6" t="str">
        <f t="shared" si="1"/>
        <v>00038</v>
      </c>
      <c r="E20" s="423">
        <v>363784.97000000003</v>
      </c>
      <c r="F20" s="423">
        <v>246406.96</v>
      </c>
      <c r="G20" s="423">
        <v>363784.97000000003</v>
      </c>
      <c r="H20" s="423">
        <v>246776.81</v>
      </c>
      <c r="I20" s="423">
        <v>363784.97000000003</v>
      </c>
      <c r="J20" s="423">
        <v>247146.66</v>
      </c>
      <c r="K20" s="423">
        <v>363784.97000000003</v>
      </c>
      <c r="L20" s="423">
        <v>247516.51</v>
      </c>
      <c r="M20" s="423">
        <v>363784.97000000003</v>
      </c>
      <c r="N20" s="423">
        <v>247886.36000000002</v>
      </c>
      <c r="O20" s="423">
        <v>363784.97000000003</v>
      </c>
      <c r="P20" s="423">
        <v>248256.21</v>
      </c>
      <c r="Q20" s="423">
        <v>363784.97000000003</v>
      </c>
      <c r="R20" s="423">
        <v>248626.06</v>
      </c>
      <c r="S20" s="423">
        <v>363784.97000000003</v>
      </c>
      <c r="T20" s="423">
        <v>248995.91</v>
      </c>
      <c r="U20" s="423">
        <v>363784.97000000003</v>
      </c>
      <c r="V20" s="423">
        <v>249365.76000000001</v>
      </c>
      <c r="W20" s="423">
        <v>363784.97000000003</v>
      </c>
      <c r="X20" s="423">
        <v>249735.61000000002</v>
      </c>
      <c r="Y20" s="423">
        <v>363784.97000000003</v>
      </c>
      <c r="Z20" s="423">
        <v>250105.46</v>
      </c>
      <c r="AA20" s="423">
        <v>363784.97000000003</v>
      </c>
      <c r="AB20" s="423">
        <v>250475.31</v>
      </c>
      <c r="AC20" s="423">
        <v>363784.97000000003</v>
      </c>
      <c r="AD20" s="423">
        <v>250845.16</v>
      </c>
      <c r="AE20" s="423">
        <f t="shared" si="2"/>
        <v>363784.97000000015</v>
      </c>
      <c r="AF20" s="423">
        <f t="shared" si="0"/>
        <v>248626.06000000003</v>
      </c>
    </row>
    <row r="21" spans="1:32">
      <c r="A21" s="35">
        <v>13</v>
      </c>
      <c r="C21" s="6" t="s">
        <v>1804</v>
      </c>
      <c r="D21" s="6" t="str">
        <f t="shared" si="1"/>
        <v>00038</v>
      </c>
      <c r="E21" s="423">
        <v>15085668.380000001</v>
      </c>
      <c r="F21" s="423">
        <v>4897183.96</v>
      </c>
      <c r="G21" s="423">
        <v>15104874.25</v>
      </c>
      <c r="H21" s="423">
        <v>4979920</v>
      </c>
      <c r="I21" s="423">
        <v>15106654.83</v>
      </c>
      <c r="J21" s="423">
        <v>4995654.25</v>
      </c>
      <c r="K21" s="423">
        <v>15110550.34</v>
      </c>
      <c r="L21" s="423">
        <v>5010120.05</v>
      </c>
      <c r="M21" s="423">
        <v>15151477.460000001</v>
      </c>
      <c r="N21" s="423">
        <v>5025860.2</v>
      </c>
      <c r="O21" s="423">
        <v>15151477.449999999</v>
      </c>
      <c r="P21" s="423">
        <v>5041642.99</v>
      </c>
      <c r="Q21" s="423">
        <v>15348974.75</v>
      </c>
      <c r="R21" s="423">
        <v>5057241.3600000003</v>
      </c>
      <c r="S21" s="423">
        <v>15334956.33</v>
      </c>
      <c r="T21" s="423">
        <v>5073229.87</v>
      </c>
      <c r="U21" s="423">
        <v>15761109.73</v>
      </c>
      <c r="V21" s="423">
        <v>5089203.78</v>
      </c>
      <c r="W21" s="423">
        <v>15761109.73</v>
      </c>
      <c r="X21" s="423">
        <v>5079247.0199999996</v>
      </c>
      <c r="Y21" s="423">
        <v>15761109.73</v>
      </c>
      <c r="Z21" s="423">
        <v>5095664.84</v>
      </c>
      <c r="AA21" s="423">
        <v>15761109.73</v>
      </c>
      <c r="AB21" s="423">
        <v>5112082.66</v>
      </c>
      <c r="AC21" s="423">
        <v>16263434.68</v>
      </c>
      <c r="AD21" s="423">
        <v>5121531.34</v>
      </c>
      <c r="AE21" s="423">
        <f t="shared" si="2"/>
        <v>15418996.321666665</v>
      </c>
      <c r="AF21" s="423">
        <f t="shared" si="0"/>
        <v>5047435.3891666662</v>
      </c>
    </row>
    <row r="22" spans="1:32">
      <c r="A22" s="35">
        <v>14</v>
      </c>
      <c r="C22" s="6" t="s">
        <v>1805</v>
      </c>
      <c r="D22" s="6" t="str">
        <f t="shared" si="1"/>
        <v>00038</v>
      </c>
      <c r="E22" s="423">
        <v>36326710.43</v>
      </c>
      <c r="F22" s="423">
        <v>8318908.7199999997</v>
      </c>
      <c r="G22" s="423">
        <v>36319962.240000002</v>
      </c>
      <c r="H22" s="423">
        <v>8984426.3599999994</v>
      </c>
      <c r="I22" s="423">
        <v>36351504.299999997</v>
      </c>
      <c r="J22" s="423">
        <v>9109427.5600000005</v>
      </c>
      <c r="K22" s="423">
        <v>36365688.93</v>
      </c>
      <c r="L22" s="423">
        <v>9230380.75</v>
      </c>
      <c r="M22" s="423">
        <v>36940084.009999998</v>
      </c>
      <c r="N22" s="423">
        <v>9355539.3300000001</v>
      </c>
      <c r="O22" s="423">
        <v>37012259.280000001</v>
      </c>
      <c r="P22" s="423">
        <v>9482674.7799999993</v>
      </c>
      <c r="Q22" s="423">
        <v>37067628.990000002</v>
      </c>
      <c r="R22" s="423">
        <v>9609877.5199999996</v>
      </c>
      <c r="S22" s="423">
        <v>37103980.909999996</v>
      </c>
      <c r="T22" s="423">
        <v>9737451.9499999993</v>
      </c>
      <c r="U22" s="423">
        <v>37779712.049999997</v>
      </c>
      <c r="V22" s="423">
        <v>9863497.3000000007</v>
      </c>
      <c r="W22" s="423">
        <v>38035887.810000002</v>
      </c>
      <c r="X22" s="423">
        <v>9992056.8499999996</v>
      </c>
      <c r="Y22" s="423">
        <v>38377685.039999999</v>
      </c>
      <c r="Z22" s="423">
        <v>10122963.699999999</v>
      </c>
      <c r="AA22" s="423">
        <v>38613862.909999996</v>
      </c>
      <c r="AB22" s="423">
        <v>10254363.810000001</v>
      </c>
      <c r="AC22" s="423">
        <v>38985326.240000002</v>
      </c>
      <c r="AD22" s="423">
        <v>10387259.859999999</v>
      </c>
      <c r="AE22" s="423">
        <f t="shared" si="2"/>
        <v>37302022.900416665</v>
      </c>
      <c r="AF22" s="423">
        <f t="shared" si="0"/>
        <v>9591312.0166666657</v>
      </c>
    </row>
    <row r="23" spans="1:32">
      <c r="A23" s="35">
        <v>15</v>
      </c>
      <c r="C23" s="6" t="s">
        <v>1806</v>
      </c>
      <c r="D23" s="6" t="str">
        <f t="shared" si="1"/>
        <v>00038</v>
      </c>
      <c r="E23" s="423">
        <v>31021437.920000002</v>
      </c>
      <c r="F23" s="423">
        <v>22938009.989999998</v>
      </c>
      <c r="G23" s="423">
        <v>31038899.719999999</v>
      </c>
      <c r="H23" s="423">
        <v>22991192.850000001</v>
      </c>
      <c r="I23" s="423">
        <v>31046740.219999999</v>
      </c>
      <c r="J23" s="423">
        <v>23004209.059999999</v>
      </c>
      <c r="K23" s="423">
        <v>31199451.789999999</v>
      </c>
      <c r="L23" s="423">
        <v>23048829.640000001</v>
      </c>
      <c r="M23" s="423">
        <v>31254403.899999999</v>
      </c>
      <c r="N23" s="423">
        <v>23087875.199999999</v>
      </c>
      <c r="O23" s="423">
        <v>31253245.510000002</v>
      </c>
      <c r="P23" s="423">
        <v>23143836.149999999</v>
      </c>
      <c r="Q23" s="423">
        <v>31454455.699999999</v>
      </c>
      <c r="R23" s="423">
        <v>23201133.760000002</v>
      </c>
      <c r="S23" s="423">
        <v>31547721.050000001</v>
      </c>
      <c r="T23" s="423">
        <v>23258634.899999999</v>
      </c>
      <c r="U23" s="423">
        <v>31552793.73</v>
      </c>
      <c r="V23" s="423">
        <v>23312037.420000002</v>
      </c>
      <c r="W23" s="423">
        <v>31570517.539999999</v>
      </c>
      <c r="X23" s="423">
        <v>23369884.199999999</v>
      </c>
      <c r="Y23" s="423">
        <v>31579299.510000002</v>
      </c>
      <c r="Z23" s="423">
        <v>23426957.690000001</v>
      </c>
      <c r="AA23" s="423">
        <v>31630260</v>
      </c>
      <c r="AB23" s="423">
        <v>23478212.280000001</v>
      </c>
      <c r="AC23" s="423">
        <v>31764135.859999999</v>
      </c>
      <c r="AD23" s="423">
        <v>23534532.66</v>
      </c>
      <c r="AE23" s="423">
        <f t="shared" si="2"/>
        <v>31376714.629999995</v>
      </c>
      <c r="AF23" s="423">
        <f t="shared" si="0"/>
        <v>23213256.206250001</v>
      </c>
    </row>
    <row r="24" spans="1:32">
      <c r="A24" s="35">
        <v>16</v>
      </c>
      <c r="C24" s="6" t="s">
        <v>1807</v>
      </c>
      <c r="D24" s="6" t="str">
        <f t="shared" si="1"/>
        <v>00038</v>
      </c>
      <c r="E24" s="423">
        <v>7895829.7400000002</v>
      </c>
      <c r="F24" s="423">
        <v>2875066.34</v>
      </c>
      <c r="G24" s="423">
        <v>7921283.5999999996</v>
      </c>
      <c r="H24" s="423">
        <v>2887699.67</v>
      </c>
      <c r="I24" s="423">
        <v>7942537.4500000002</v>
      </c>
      <c r="J24" s="423">
        <v>2900373.7199999997</v>
      </c>
      <c r="K24" s="423">
        <v>8012268.1900000004</v>
      </c>
      <c r="L24" s="423">
        <v>2904989.02</v>
      </c>
      <c r="M24" s="423">
        <v>8029887.7400000002</v>
      </c>
      <c r="N24" s="423">
        <v>2917808.65</v>
      </c>
      <c r="O24" s="423">
        <v>8029887.7400000002</v>
      </c>
      <c r="P24" s="423">
        <v>2930656.4699999997</v>
      </c>
      <c r="Q24" s="423">
        <v>8142370.3600000003</v>
      </c>
      <c r="R24" s="423">
        <v>2942067.37</v>
      </c>
      <c r="S24" s="423">
        <v>8142931.5599999996</v>
      </c>
      <c r="T24" s="423">
        <v>2953661.59</v>
      </c>
      <c r="U24" s="423">
        <v>8143368.9199999999</v>
      </c>
      <c r="V24" s="423">
        <v>2966690.2800000003</v>
      </c>
      <c r="W24" s="423">
        <v>8146052.8200000003</v>
      </c>
      <c r="X24" s="423">
        <v>2979162.77</v>
      </c>
      <c r="Y24" s="423">
        <v>8167832.2000000002</v>
      </c>
      <c r="Z24" s="423">
        <v>2992196.45</v>
      </c>
      <c r="AA24" s="423">
        <v>8168799.6500000004</v>
      </c>
      <c r="AB24" s="423">
        <v>3005264.98</v>
      </c>
      <c r="AC24" s="423">
        <v>8710463.1500000004</v>
      </c>
      <c r="AD24" s="423">
        <v>3016966.62</v>
      </c>
      <c r="AE24" s="423">
        <f t="shared" si="2"/>
        <v>8095863.8895833343</v>
      </c>
      <c r="AF24" s="423">
        <f t="shared" si="0"/>
        <v>2943882.2875000001</v>
      </c>
    </row>
    <row r="25" spans="1:32">
      <c r="A25" s="35">
        <v>17</v>
      </c>
      <c r="C25" s="6" t="s">
        <v>1808</v>
      </c>
      <c r="D25" s="6" t="str">
        <f t="shared" si="1"/>
        <v>00038</v>
      </c>
      <c r="E25" s="423">
        <v>33686399.469999999</v>
      </c>
      <c r="F25" s="423">
        <v>11533257.710000001</v>
      </c>
      <c r="G25" s="423">
        <v>33614058.350000001</v>
      </c>
      <c r="H25" s="423">
        <v>11952752.060000001</v>
      </c>
      <c r="I25" s="423">
        <v>33706884.939999998</v>
      </c>
      <c r="J25" s="423">
        <v>12056509.779999999</v>
      </c>
      <c r="K25" s="423">
        <v>33922787.780000001</v>
      </c>
      <c r="L25" s="423">
        <v>12163405.59</v>
      </c>
      <c r="M25" s="423">
        <v>33628845.560000002</v>
      </c>
      <c r="N25" s="423">
        <v>12271600.630000001</v>
      </c>
      <c r="O25" s="423">
        <v>33876412.810000002</v>
      </c>
      <c r="P25" s="423">
        <v>12378954.49</v>
      </c>
      <c r="Q25" s="423">
        <v>34036179.149999999</v>
      </c>
      <c r="R25" s="423">
        <v>12485497.289999999</v>
      </c>
      <c r="S25" s="423">
        <v>34216383.450000003</v>
      </c>
      <c r="T25" s="423">
        <v>12594736.720000001</v>
      </c>
      <c r="U25" s="423">
        <v>34531469.799999997</v>
      </c>
      <c r="V25" s="423">
        <v>12703589.76</v>
      </c>
      <c r="W25" s="423">
        <v>34648005.299999997</v>
      </c>
      <c r="X25" s="423">
        <v>12814756.890000001</v>
      </c>
      <c r="Y25" s="423">
        <v>34809170.100000001</v>
      </c>
      <c r="Z25" s="423">
        <v>12926143.59</v>
      </c>
      <c r="AA25" s="423">
        <v>34925807.119999997</v>
      </c>
      <c r="AB25" s="423">
        <v>13037817.550000001</v>
      </c>
      <c r="AC25" s="423">
        <v>35450283.200000003</v>
      </c>
      <c r="AD25" s="423">
        <v>13149746.33</v>
      </c>
      <c r="AE25" s="423">
        <f t="shared" si="2"/>
        <v>34207028.807916671</v>
      </c>
      <c r="AF25" s="423">
        <f t="shared" si="0"/>
        <v>12477272.197500004</v>
      </c>
    </row>
    <row r="26" spans="1:32">
      <c r="A26" s="35">
        <v>18</v>
      </c>
      <c r="C26" s="6" t="s">
        <v>1809</v>
      </c>
      <c r="D26" s="6" t="str">
        <f t="shared" si="1"/>
        <v>00038</v>
      </c>
      <c r="E26" s="423">
        <v>13055611.970000001</v>
      </c>
      <c r="F26" s="423">
        <v>19024335.030000001</v>
      </c>
      <c r="G26" s="423">
        <v>13056123.84</v>
      </c>
      <c r="H26" s="423">
        <v>19050574.940000001</v>
      </c>
      <c r="I26" s="423">
        <v>13056069.41</v>
      </c>
      <c r="J26" s="423">
        <v>19066831.210000001</v>
      </c>
      <c r="K26" s="423">
        <v>13055702.51</v>
      </c>
      <c r="L26" s="423">
        <v>19085787</v>
      </c>
      <c r="M26" s="423">
        <v>13054970.4</v>
      </c>
      <c r="N26" s="423">
        <v>19118747.829999998</v>
      </c>
      <c r="O26" s="423">
        <v>13053900.07</v>
      </c>
      <c r="P26" s="423">
        <v>19153496.52</v>
      </c>
      <c r="Q26" s="423">
        <v>13051661.68</v>
      </c>
      <c r="R26" s="423">
        <v>19181442.25</v>
      </c>
      <c r="S26" s="423">
        <v>13050987.859999999</v>
      </c>
      <c r="T26" s="423">
        <v>19213941.760000002</v>
      </c>
      <c r="U26" s="423">
        <v>13049850.09</v>
      </c>
      <c r="V26" s="423">
        <v>19238161.149999999</v>
      </c>
      <c r="W26" s="423">
        <v>13049170.619999999</v>
      </c>
      <c r="X26" s="423">
        <v>19265905.129999999</v>
      </c>
      <c r="Y26" s="423">
        <v>13026986.630000001</v>
      </c>
      <c r="Z26" s="423">
        <v>19294246.84</v>
      </c>
      <c r="AA26" s="423">
        <v>13026707.18</v>
      </c>
      <c r="AB26" s="423">
        <v>19323220.690000001</v>
      </c>
      <c r="AC26" s="423">
        <v>13026506.49</v>
      </c>
      <c r="AD26" s="423">
        <v>19356328.68</v>
      </c>
      <c r="AE26" s="423">
        <f t="shared" si="2"/>
        <v>13047765.793333331</v>
      </c>
      <c r="AF26" s="423">
        <f t="shared" si="0"/>
        <v>19181890.597916666</v>
      </c>
    </row>
    <row r="27" spans="1:32">
      <c r="A27" s="35">
        <v>19</v>
      </c>
      <c r="C27" s="6" t="s">
        <v>1810</v>
      </c>
      <c r="D27" s="6" t="str">
        <f t="shared" si="1"/>
        <v>00038</v>
      </c>
      <c r="E27" s="423">
        <v>8242824.79</v>
      </c>
      <c r="F27" s="423">
        <v>3356811.97</v>
      </c>
      <c r="G27" s="423">
        <v>8260321.46</v>
      </c>
      <c r="H27" s="423">
        <v>3369498.74</v>
      </c>
      <c r="I27" s="423">
        <v>8280203.46</v>
      </c>
      <c r="J27" s="423">
        <v>3382302.23</v>
      </c>
      <c r="K27" s="423">
        <v>8307075.9299999997</v>
      </c>
      <c r="L27" s="423">
        <v>3394658.36</v>
      </c>
      <c r="M27" s="423">
        <v>8324970.5300000003</v>
      </c>
      <c r="N27" s="423">
        <v>3407280.62</v>
      </c>
      <c r="O27" s="423">
        <v>8343035.1200000001</v>
      </c>
      <c r="P27" s="423">
        <v>3420184.32</v>
      </c>
      <c r="Q27" s="423">
        <v>8361379.8799999999</v>
      </c>
      <c r="R27" s="423">
        <v>3433113.42</v>
      </c>
      <c r="S27" s="423">
        <v>8378389.4000000004</v>
      </c>
      <c r="T27" s="423">
        <v>3445002.36</v>
      </c>
      <c r="U27" s="423">
        <v>8376949.3700000001</v>
      </c>
      <c r="V27" s="423">
        <v>3450401.25</v>
      </c>
      <c r="W27" s="423">
        <v>8384162.5599999996</v>
      </c>
      <c r="X27" s="423">
        <v>3463087.87</v>
      </c>
      <c r="Y27" s="423">
        <v>8395362.3300000001</v>
      </c>
      <c r="Z27" s="423">
        <v>3474665.14</v>
      </c>
      <c r="AA27" s="423">
        <v>8420057.2799999993</v>
      </c>
      <c r="AB27" s="423">
        <v>3487645.61</v>
      </c>
      <c r="AC27" s="423">
        <v>8433778.1199999992</v>
      </c>
      <c r="AD27" s="423">
        <v>3500679.52</v>
      </c>
      <c r="AE27" s="423">
        <f t="shared" si="2"/>
        <v>8347517.3979166662</v>
      </c>
      <c r="AF27" s="423">
        <f t="shared" si="0"/>
        <v>3429715.4720833325</v>
      </c>
    </row>
    <row r="28" spans="1:32">
      <c r="A28" s="35">
        <v>20</v>
      </c>
      <c r="C28" s="6" t="s">
        <v>1811</v>
      </c>
      <c r="D28" s="6" t="str">
        <f t="shared" si="1"/>
        <v>00038</v>
      </c>
      <c r="E28" s="423">
        <v>1670380.77</v>
      </c>
      <c r="F28" s="423">
        <v>680211.56</v>
      </c>
      <c r="G28" s="423">
        <v>1671090.47</v>
      </c>
      <c r="H28" s="423">
        <v>683246.09</v>
      </c>
      <c r="I28" s="423">
        <v>1671090.47</v>
      </c>
      <c r="J28" s="423">
        <v>686281.9</v>
      </c>
      <c r="K28" s="423">
        <v>1673664.92</v>
      </c>
      <c r="L28" s="423">
        <v>689317.71</v>
      </c>
      <c r="M28" s="423">
        <v>1675639.27</v>
      </c>
      <c r="N28" s="423">
        <v>692358.20000000007</v>
      </c>
      <c r="O28" s="423">
        <v>1675639.27</v>
      </c>
      <c r="P28" s="423">
        <v>695402.28</v>
      </c>
      <c r="Q28" s="423">
        <v>1696382.46</v>
      </c>
      <c r="R28" s="423">
        <v>698446.36</v>
      </c>
      <c r="S28" s="423">
        <v>1702358.19</v>
      </c>
      <c r="T28" s="423">
        <v>701528.12</v>
      </c>
      <c r="U28" s="423">
        <v>1710451.51</v>
      </c>
      <c r="V28" s="423">
        <v>712208.36</v>
      </c>
      <c r="W28" s="423">
        <v>1713381.5899999999</v>
      </c>
      <c r="X28" s="423">
        <v>715315.68</v>
      </c>
      <c r="Y28" s="423">
        <v>1719312.94</v>
      </c>
      <c r="Z28" s="423">
        <v>718428.32000000007</v>
      </c>
      <c r="AA28" s="423">
        <v>1721031</v>
      </c>
      <c r="AB28" s="423">
        <v>721551.74</v>
      </c>
      <c r="AC28" s="423">
        <v>1828166.3</v>
      </c>
      <c r="AD28" s="423">
        <v>712745.85</v>
      </c>
      <c r="AE28" s="423">
        <f t="shared" si="2"/>
        <v>1698276.3020833333</v>
      </c>
      <c r="AF28" s="423">
        <f t="shared" si="0"/>
        <v>700880.28874999995</v>
      </c>
    </row>
    <row r="29" spans="1:32">
      <c r="A29" s="35">
        <v>21</v>
      </c>
      <c r="C29" s="6" t="s">
        <v>1812</v>
      </c>
      <c r="D29" s="6" t="str">
        <f t="shared" si="1"/>
        <v>00038</v>
      </c>
      <c r="E29" s="423">
        <v>0</v>
      </c>
      <c r="F29" s="423">
        <v>-256.08</v>
      </c>
      <c r="G29" s="423">
        <v>0</v>
      </c>
      <c r="H29" s="423">
        <v>-256.08</v>
      </c>
      <c r="I29" s="423">
        <v>0</v>
      </c>
      <c r="J29" s="423">
        <v>-256.08</v>
      </c>
      <c r="K29" s="423">
        <v>0</v>
      </c>
      <c r="L29" s="423">
        <v>-256.08</v>
      </c>
      <c r="M29" s="423">
        <v>0</v>
      </c>
      <c r="N29" s="423">
        <v>-256.08</v>
      </c>
      <c r="O29" s="423">
        <v>0</v>
      </c>
      <c r="P29" s="423">
        <v>-256.08</v>
      </c>
      <c r="Q29" s="423">
        <v>0</v>
      </c>
      <c r="R29" s="423">
        <v>-256.08</v>
      </c>
      <c r="S29" s="423">
        <v>0</v>
      </c>
      <c r="T29" s="423">
        <v>-256.08</v>
      </c>
      <c r="U29" s="423">
        <v>0</v>
      </c>
      <c r="V29" s="423">
        <v>-256.08</v>
      </c>
      <c r="W29" s="423">
        <v>0</v>
      </c>
      <c r="X29" s="423">
        <v>-256.08</v>
      </c>
      <c r="Y29" s="423">
        <v>0</v>
      </c>
      <c r="Z29" s="423">
        <v>-256.08</v>
      </c>
      <c r="AA29" s="423">
        <v>0</v>
      </c>
      <c r="AB29" s="423">
        <v>-256.08</v>
      </c>
      <c r="AC29" s="423">
        <v>0</v>
      </c>
      <c r="AD29" s="423">
        <v>-256.08</v>
      </c>
      <c r="AE29" s="423">
        <f t="shared" si="2"/>
        <v>0</v>
      </c>
      <c r="AF29" s="423">
        <f t="shared" si="0"/>
        <v>-256.08</v>
      </c>
    </row>
    <row r="30" spans="1:32">
      <c r="A30" s="35">
        <v>22</v>
      </c>
      <c r="C30" s="6" t="s">
        <v>1813</v>
      </c>
      <c r="D30" s="6" t="str">
        <f t="shared" si="1"/>
        <v>00038</v>
      </c>
      <c r="E30" s="423">
        <v>302126.86</v>
      </c>
      <c r="F30" s="423">
        <v>250563.73</v>
      </c>
      <c r="G30" s="423">
        <v>302126.86</v>
      </c>
      <c r="H30" s="423">
        <v>250563.73</v>
      </c>
      <c r="I30" s="423">
        <v>302126.86</v>
      </c>
      <c r="J30" s="423">
        <v>250563.73</v>
      </c>
      <c r="K30" s="423">
        <v>493301.43</v>
      </c>
      <c r="L30" s="423">
        <v>250563.73</v>
      </c>
      <c r="M30" s="423">
        <v>493301.43</v>
      </c>
      <c r="N30" s="423">
        <v>309237.99</v>
      </c>
      <c r="O30" s="423">
        <v>493301.43</v>
      </c>
      <c r="P30" s="423">
        <v>309237.99</v>
      </c>
      <c r="Q30" s="423">
        <v>493301.43</v>
      </c>
      <c r="R30" s="423">
        <v>309237.99</v>
      </c>
      <c r="S30" s="423">
        <v>493301.43</v>
      </c>
      <c r="T30" s="423">
        <v>309237.99</v>
      </c>
      <c r="U30" s="423">
        <v>493301.43</v>
      </c>
      <c r="V30" s="423">
        <v>309237.99</v>
      </c>
      <c r="W30" s="423">
        <v>493301.43</v>
      </c>
      <c r="X30" s="423">
        <v>309237.99</v>
      </c>
      <c r="Y30" s="423">
        <v>493301.43</v>
      </c>
      <c r="Z30" s="423">
        <v>309237.99</v>
      </c>
      <c r="AA30" s="423">
        <v>493301.43</v>
      </c>
      <c r="AB30" s="423">
        <v>309237.99</v>
      </c>
      <c r="AC30" s="423">
        <v>493301.43</v>
      </c>
      <c r="AD30" s="423">
        <v>309237.99</v>
      </c>
      <c r="AE30" s="423">
        <f t="shared" si="2"/>
        <v>453473.39458333328</v>
      </c>
      <c r="AF30" s="423">
        <f t="shared" si="0"/>
        <v>292124.66416666668</v>
      </c>
    </row>
    <row r="31" spans="1:32">
      <c r="A31" s="35">
        <v>23</v>
      </c>
      <c r="C31" s="6" t="s">
        <v>1814</v>
      </c>
      <c r="D31" s="6" t="str">
        <f t="shared" si="1"/>
        <v>00038</v>
      </c>
      <c r="E31" s="423">
        <v>0</v>
      </c>
      <c r="F31" s="423">
        <v>11145.130000000001</v>
      </c>
      <c r="G31" s="423">
        <v>0</v>
      </c>
      <c r="H31" s="423">
        <v>11145.130000000001</v>
      </c>
      <c r="I31" s="423">
        <v>0</v>
      </c>
      <c r="J31" s="423">
        <v>11145.130000000001</v>
      </c>
      <c r="K31" s="423">
        <v>0</v>
      </c>
      <c r="L31" s="423">
        <v>11145.130000000001</v>
      </c>
      <c r="M31" s="423">
        <v>0</v>
      </c>
      <c r="N31" s="423">
        <v>11145.130000000001</v>
      </c>
      <c r="O31" s="423">
        <v>0</v>
      </c>
      <c r="P31" s="423">
        <v>11145.130000000001</v>
      </c>
      <c r="Q31" s="423">
        <v>0</v>
      </c>
      <c r="R31" s="423">
        <v>11145.130000000001</v>
      </c>
      <c r="S31" s="423">
        <v>0</v>
      </c>
      <c r="T31" s="423">
        <v>11145.130000000001</v>
      </c>
      <c r="U31" s="423">
        <v>0</v>
      </c>
      <c r="V31" s="423">
        <v>11145.130000000001</v>
      </c>
      <c r="W31" s="423">
        <v>0</v>
      </c>
      <c r="X31" s="423">
        <v>11145.130000000001</v>
      </c>
      <c r="Y31" s="423">
        <v>0</v>
      </c>
      <c r="Z31" s="423">
        <v>11145.130000000001</v>
      </c>
      <c r="AA31" s="423">
        <v>0</v>
      </c>
      <c r="AB31" s="423">
        <v>11145.130000000001</v>
      </c>
      <c r="AC31" s="423">
        <v>0</v>
      </c>
      <c r="AD31" s="423">
        <v>11145.130000000001</v>
      </c>
      <c r="AE31" s="423">
        <f t="shared" si="2"/>
        <v>0</v>
      </c>
      <c r="AF31" s="423">
        <f t="shared" si="0"/>
        <v>11145.130000000003</v>
      </c>
    </row>
    <row r="32" spans="1:32">
      <c r="A32" s="35">
        <v>24</v>
      </c>
      <c r="C32" s="6" t="s">
        <v>1815</v>
      </c>
      <c r="D32" s="6" t="str">
        <f t="shared" si="1"/>
        <v>00038</v>
      </c>
      <c r="E32" s="423">
        <v>4663838.87</v>
      </c>
      <c r="F32" s="423">
        <v>953510.37</v>
      </c>
      <c r="G32" s="423">
        <v>4663838.87</v>
      </c>
      <c r="H32" s="423">
        <v>956157.87</v>
      </c>
      <c r="I32" s="423">
        <v>4663838.87</v>
      </c>
      <c r="J32" s="423">
        <v>960977.17</v>
      </c>
      <c r="K32" s="423">
        <v>4472664.3</v>
      </c>
      <c r="L32" s="423">
        <v>965796.47</v>
      </c>
      <c r="M32" s="423">
        <v>4472664.3</v>
      </c>
      <c r="N32" s="423">
        <v>1023293.96</v>
      </c>
      <c r="O32" s="423">
        <v>4472664.3</v>
      </c>
      <c r="P32" s="423">
        <v>1027915.71</v>
      </c>
      <c r="Q32" s="423">
        <v>4503031.37</v>
      </c>
      <c r="R32" s="423">
        <v>1032537.46</v>
      </c>
      <c r="S32" s="423">
        <v>4503031.37</v>
      </c>
      <c r="T32" s="423">
        <v>1037190.59</v>
      </c>
      <c r="U32" s="423">
        <v>4503031.37</v>
      </c>
      <c r="V32" s="423">
        <v>1041843.72</v>
      </c>
      <c r="W32" s="423">
        <v>4503031.37</v>
      </c>
      <c r="X32" s="423">
        <v>1046496.85</v>
      </c>
      <c r="Y32" s="423">
        <v>4503031.37</v>
      </c>
      <c r="Z32" s="423">
        <v>1051149.98</v>
      </c>
      <c r="AA32" s="423">
        <v>4503031.37</v>
      </c>
      <c r="AB32" s="423">
        <v>1055803.1100000001</v>
      </c>
      <c r="AC32" s="423">
        <v>4503031.37</v>
      </c>
      <c r="AD32" s="423">
        <v>1060456.24</v>
      </c>
      <c r="AE32" s="423">
        <f t="shared" si="2"/>
        <v>4528941.1649999991</v>
      </c>
      <c r="AF32" s="423">
        <f t="shared" si="0"/>
        <v>1017178.8495833332</v>
      </c>
    </row>
    <row r="33" spans="1:32">
      <c r="A33" s="35">
        <v>25</v>
      </c>
      <c r="C33" s="6" t="s">
        <v>1816</v>
      </c>
      <c r="D33" s="6" t="str">
        <f t="shared" si="1"/>
        <v>00038</v>
      </c>
      <c r="E33" s="423">
        <v>95752.02</v>
      </c>
      <c r="F33" s="423">
        <v>19866.060000000001</v>
      </c>
      <c r="G33" s="423">
        <v>76479.02</v>
      </c>
      <c r="H33" s="423">
        <v>1979.07</v>
      </c>
      <c r="I33" s="423">
        <v>76479.02</v>
      </c>
      <c r="J33" s="423">
        <v>3086.1</v>
      </c>
      <c r="K33" s="423">
        <v>76479.02</v>
      </c>
      <c r="L33" s="423">
        <v>4193.13</v>
      </c>
      <c r="M33" s="423">
        <v>76479.02</v>
      </c>
      <c r="N33" s="423">
        <v>5300.16</v>
      </c>
      <c r="O33" s="423">
        <v>76479.02</v>
      </c>
      <c r="P33" s="423">
        <v>6407.1900000000005</v>
      </c>
      <c r="Q33" s="423">
        <v>76479.02</v>
      </c>
      <c r="R33" s="423">
        <v>7514.22</v>
      </c>
      <c r="S33" s="423">
        <v>76479.02</v>
      </c>
      <c r="T33" s="423">
        <v>8621.25</v>
      </c>
      <c r="U33" s="423">
        <v>76479.02</v>
      </c>
      <c r="V33" s="423">
        <v>9728.2800000000007</v>
      </c>
      <c r="W33" s="423">
        <v>76479.02</v>
      </c>
      <c r="X33" s="423">
        <v>10835.31</v>
      </c>
      <c r="Y33" s="423">
        <v>76479.02</v>
      </c>
      <c r="Z33" s="423">
        <v>11942.34</v>
      </c>
      <c r="AA33" s="423">
        <v>76479.02</v>
      </c>
      <c r="AB33" s="423">
        <v>13049.37</v>
      </c>
      <c r="AC33" s="423">
        <v>76479.02</v>
      </c>
      <c r="AD33" s="423">
        <v>14156.4</v>
      </c>
      <c r="AE33" s="423">
        <f t="shared" si="2"/>
        <v>77282.061666666676</v>
      </c>
      <c r="AF33" s="423">
        <f t="shared" si="0"/>
        <v>8305.6374999999989</v>
      </c>
    </row>
    <row r="34" spans="1:32">
      <c r="A34" s="35">
        <v>26</v>
      </c>
      <c r="C34" s="6" t="s">
        <v>1817</v>
      </c>
      <c r="D34" s="6" t="str">
        <f t="shared" si="1"/>
        <v>00038</v>
      </c>
      <c r="E34" s="423">
        <v>109816.96000000001</v>
      </c>
      <c r="F34" s="423">
        <v>18119.98</v>
      </c>
      <c r="G34" s="423">
        <v>106237.48</v>
      </c>
      <c r="H34" s="423">
        <v>14996.24</v>
      </c>
      <c r="I34" s="423">
        <v>106237.48</v>
      </c>
      <c r="J34" s="423">
        <v>15437.130000000001</v>
      </c>
      <c r="K34" s="423">
        <v>106237.48</v>
      </c>
      <c r="L34" s="423">
        <v>15878.02</v>
      </c>
      <c r="M34" s="423">
        <v>106237.48</v>
      </c>
      <c r="N34" s="423">
        <v>16318.91</v>
      </c>
      <c r="O34" s="423">
        <v>106237.48</v>
      </c>
      <c r="P34" s="423">
        <v>16759.8</v>
      </c>
      <c r="Q34" s="423">
        <v>106237.48</v>
      </c>
      <c r="R34" s="423">
        <v>17200.689999999999</v>
      </c>
      <c r="S34" s="423">
        <v>106237.48</v>
      </c>
      <c r="T34" s="423">
        <v>17641.580000000002</v>
      </c>
      <c r="U34" s="423">
        <v>106237.48</v>
      </c>
      <c r="V34" s="423">
        <v>18082.47</v>
      </c>
      <c r="W34" s="423">
        <v>106237.48</v>
      </c>
      <c r="X34" s="423">
        <v>18523.36</v>
      </c>
      <c r="Y34" s="423">
        <v>106237.48</v>
      </c>
      <c r="Z34" s="423">
        <v>18964.25</v>
      </c>
      <c r="AA34" s="423">
        <v>106237.48</v>
      </c>
      <c r="AB34" s="423">
        <v>19405.14</v>
      </c>
      <c r="AC34" s="423">
        <v>106237.48</v>
      </c>
      <c r="AD34" s="423">
        <v>19846.03</v>
      </c>
      <c r="AE34" s="423">
        <f t="shared" si="2"/>
        <v>106386.625</v>
      </c>
      <c r="AF34" s="423">
        <f t="shared" si="0"/>
        <v>17349.216250000001</v>
      </c>
    </row>
    <row r="35" spans="1:32">
      <c r="A35" s="35">
        <v>27</v>
      </c>
      <c r="C35" s="6" t="s">
        <v>1818</v>
      </c>
      <c r="D35" s="6" t="str">
        <f t="shared" si="1"/>
        <v>00038</v>
      </c>
      <c r="E35" s="423">
        <v>134180.20000000001</v>
      </c>
      <c r="F35" s="423">
        <v>94636.51</v>
      </c>
      <c r="G35" s="423">
        <v>134180.20000000001</v>
      </c>
      <c r="H35" s="423">
        <v>94988.73</v>
      </c>
      <c r="I35" s="423">
        <v>134180.20000000001</v>
      </c>
      <c r="J35" s="423">
        <v>95340.95</v>
      </c>
      <c r="K35" s="423">
        <v>134180.20000000001</v>
      </c>
      <c r="L35" s="423">
        <v>95693.17</v>
      </c>
      <c r="M35" s="423">
        <v>134180.20000000001</v>
      </c>
      <c r="N35" s="423">
        <v>96045.39</v>
      </c>
      <c r="O35" s="423">
        <v>134180.20000000001</v>
      </c>
      <c r="P35" s="423">
        <v>96397.61</v>
      </c>
      <c r="Q35" s="423">
        <v>134180.20000000001</v>
      </c>
      <c r="R35" s="423">
        <v>97449.83</v>
      </c>
      <c r="S35" s="423">
        <v>134180.20000000001</v>
      </c>
      <c r="T35" s="423">
        <v>97802.05</v>
      </c>
      <c r="U35" s="423">
        <v>134180.20000000001</v>
      </c>
      <c r="V35" s="423">
        <v>98154.27</v>
      </c>
      <c r="W35" s="423">
        <v>134180.20000000001</v>
      </c>
      <c r="X35" s="423">
        <v>98506.49</v>
      </c>
      <c r="Y35" s="423">
        <v>129342.7</v>
      </c>
      <c r="Z35" s="423">
        <v>94021.21</v>
      </c>
      <c r="AA35" s="423">
        <v>129342.7</v>
      </c>
      <c r="AB35" s="423">
        <v>94360.73</v>
      </c>
      <c r="AC35" s="423">
        <v>129342.7</v>
      </c>
      <c r="AD35" s="423">
        <v>94700.25</v>
      </c>
      <c r="AE35" s="423">
        <f t="shared" si="2"/>
        <v>133172.38749999998</v>
      </c>
      <c r="AF35" s="423">
        <f t="shared" si="0"/>
        <v>96119.067500000005</v>
      </c>
    </row>
    <row r="36" spans="1:32">
      <c r="A36" s="35">
        <v>28</v>
      </c>
      <c r="C36" s="6" t="s">
        <v>1819</v>
      </c>
      <c r="D36" s="6" t="str">
        <f t="shared" si="1"/>
        <v>00038</v>
      </c>
      <c r="E36" s="423">
        <v>3269505.08</v>
      </c>
      <c r="F36" s="423">
        <v>1139452.31</v>
      </c>
      <c r="G36" s="423">
        <v>3268747.02</v>
      </c>
      <c r="H36" s="423">
        <v>1156208.53</v>
      </c>
      <c r="I36" s="423">
        <v>3264607.26</v>
      </c>
      <c r="J36" s="423">
        <v>1172960.8600000001</v>
      </c>
      <c r="K36" s="423">
        <v>3264177.16</v>
      </c>
      <c r="L36" s="423">
        <v>1189691.98</v>
      </c>
      <c r="M36" s="423">
        <v>3171083.53</v>
      </c>
      <c r="N36" s="423">
        <v>1118467.5</v>
      </c>
      <c r="O36" s="423">
        <v>3276918.55</v>
      </c>
      <c r="P36" s="423">
        <v>1145419.3</v>
      </c>
      <c r="Q36" s="423">
        <v>3308036.71</v>
      </c>
      <c r="R36" s="423">
        <v>1162213.51</v>
      </c>
      <c r="S36" s="423">
        <v>3336005.32</v>
      </c>
      <c r="T36" s="423">
        <v>1179167.2</v>
      </c>
      <c r="U36" s="423">
        <v>3401129.25</v>
      </c>
      <c r="V36" s="423">
        <v>1165480.1200000001</v>
      </c>
      <c r="W36" s="423">
        <v>3436589.67</v>
      </c>
      <c r="X36" s="423">
        <v>1180410.9099999999</v>
      </c>
      <c r="Y36" s="423">
        <v>3434686.6</v>
      </c>
      <c r="Z36" s="423">
        <v>1198023.44</v>
      </c>
      <c r="AA36" s="423">
        <v>3311139.81</v>
      </c>
      <c r="AB36" s="423">
        <v>1134439.42</v>
      </c>
      <c r="AC36" s="423">
        <v>3417540.39</v>
      </c>
      <c r="AD36" s="423">
        <v>1151409.01</v>
      </c>
      <c r="AE36" s="423">
        <f t="shared" si="2"/>
        <v>3318053.6345833335</v>
      </c>
      <c r="AF36" s="423">
        <f t="shared" si="0"/>
        <v>1162326.1191666666</v>
      </c>
    </row>
    <row r="37" spans="1:32">
      <c r="A37" s="35">
        <v>29</v>
      </c>
      <c r="C37" s="6" t="s">
        <v>1820</v>
      </c>
      <c r="D37" s="6" t="str">
        <f t="shared" si="1"/>
        <v>00038</v>
      </c>
      <c r="E37" s="423">
        <v>0</v>
      </c>
      <c r="F37" s="423">
        <v>0</v>
      </c>
      <c r="G37" s="423">
        <v>0</v>
      </c>
      <c r="H37" s="423">
        <v>0</v>
      </c>
      <c r="I37" s="423">
        <v>0</v>
      </c>
      <c r="J37" s="423">
        <v>0</v>
      </c>
      <c r="K37" s="423">
        <v>0</v>
      </c>
      <c r="L37" s="423">
        <v>0</v>
      </c>
      <c r="M37" s="423">
        <v>0</v>
      </c>
      <c r="N37" s="423">
        <v>0</v>
      </c>
      <c r="O37" s="423">
        <v>0</v>
      </c>
      <c r="P37" s="423">
        <v>0</v>
      </c>
      <c r="Q37" s="423">
        <v>0</v>
      </c>
      <c r="R37" s="423">
        <v>0</v>
      </c>
      <c r="S37" s="423">
        <v>0</v>
      </c>
      <c r="T37" s="423">
        <v>0</v>
      </c>
      <c r="U37" s="423">
        <v>0</v>
      </c>
      <c r="V37" s="423">
        <v>0</v>
      </c>
      <c r="W37" s="423">
        <v>0</v>
      </c>
      <c r="X37" s="423">
        <v>0</v>
      </c>
      <c r="Y37" s="423">
        <v>0</v>
      </c>
      <c r="Z37" s="423">
        <v>0</v>
      </c>
      <c r="AA37" s="423">
        <v>0</v>
      </c>
      <c r="AB37" s="423">
        <v>0</v>
      </c>
      <c r="AC37" s="423">
        <v>0</v>
      </c>
      <c r="AD37" s="423">
        <v>0</v>
      </c>
      <c r="AE37" s="423">
        <f t="shared" si="2"/>
        <v>0</v>
      </c>
      <c r="AF37" s="423">
        <f t="shared" si="0"/>
        <v>0</v>
      </c>
    </row>
    <row r="38" spans="1:32">
      <c r="A38" s="35">
        <v>30</v>
      </c>
      <c r="C38" s="6" t="s">
        <v>1821</v>
      </c>
      <c r="D38" s="6" t="str">
        <f t="shared" si="1"/>
        <v>00038</v>
      </c>
      <c r="E38" s="423">
        <v>1249569.52</v>
      </c>
      <c r="F38" s="423">
        <v>351955.78</v>
      </c>
      <c r="G38" s="423">
        <v>1235682.6299999999</v>
      </c>
      <c r="H38" s="423">
        <v>341775.95</v>
      </c>
      <c r="I38" s="423">
        <v>1235682.6299999999</v>
      </c>
      <c r="J38" s="423">
        <v>345441.81</v>
      </c>
      <c r="K38" s="423">
        <v>1191740.79</v>
      </c>
      <c r="L38" s="423">
        <v>305165.83</v>
      </c>
      <c r="M38" s="423">
        <v>1191740.79</v>
      </c>
      <c r="N38" s="423">
        <v>308701.33</v>
      </c>
      <c r="O38" s="423">
        <v>1191740.79</v>
      </c>
      <c r="P38" s="423">
        <v>312236.83</v>
      </c>
      <c r="Q38" s="423">
        <v>1242502.31</v>
      </c>
      <c r="R38" s="423">
        <v>315772.33</v>
      </c>
      <c r="S38" s="423">
        <v>1242502.31</v>
      </c>
      <c r="T38" s="423">
        <v>319458.42</v>
      </c>
      <c r="U38" s="423">
        <v>1243203.67</v>
      </c>
      <c r="V38" s="423">
        <v>323144.51</v>
      </c>
      <c r="W38" s="423">
        <v>1245869.3900000001</v>
      </c>
      <c r="X38" s="423">
        <v>326832.68</v>
      </c>
      <c r="Y38" s="423">
        <v>1258973.99</v>
      </c>
      <c r="Z38" s="423">
        <v>330528.76</v>
      </c>
      <c r="AA38" s="423">
        <v>1258973.99</v>
      </c>
      <c r="AB38" s="423">
        <v>334263.72000000003</v>
      </c>
      <c r="AC38" s="423">
        <v>1274963.3900000001</v>
      </c>
      <c r="AD38" s="423">
        <v>337998.68</v>
      </c>
      <c r="AE38" s="423">
        <f t="shared" si="2"/>
        <v>1233406.6454166668</v>
      </c>
      <c r="AF38" s="423">
        <f t="shared" si="0"/>
        <v>325691.61666666676</v>
      </c>
    </row>
    <row r="39" spans="1:32">
      <c r="A39" s="35">
        <v>31</v>
      </c>
      <c r="C39" s="6" t="s">
        <v>1822</v>
      </c>
      <c r="D39" s="6" t="str">
        <f t="shared" si="1"/>
        <v>00038</v>
      </c>
      <c r="E39" s="423">
        <v>762893.03</v>
      </c>
      <c r="F39" s="423">
        <v>-192533.71</v>
      </c>
      <c r="G39" s="423">
        <v>751342.85</v>
      </c>
      <c r="H39" s="423">
        <v>-219726.51</v>
      </c>
      <c r="I39" s="423">
        <v>751342.85</v>
      </c>
      <c r="J39" s="423">
        <v>-216483.21</v>
      </c>
      <c r="K39" s="423">
        <v>751342.85</v>
      </c>
      <c r="L39" s="423">
        <v>-213239.91</v>
      </c>
      <c r="M39" s="423">
        <v>751342.85</v>
      </c>
      <c r="N39" s="423">
        <v>-209996.61000000002</v>
      </c>
      <c r="O39" s="423">
        <v>751342.85</v>
      </c>
      <c r="P39" s="423">
        <v>-206753.31</v>
      </c>
      <c r="Q39" s="423">
        <v>701039.87</v>
      </c>
      <c r="R39" s="423">
        <v>-202135.01</v>
      </c>
      <c r="S39" s="423">
        <v>701039.87</v>
      </c>
      <c r="T39" s="423">
        <v>-199108.85</v>
      </c>
      <c r="U39" s="423">
        <v>682167.97</v>
      </c>
      <c r="V39" s="423">
        <v>-289476.39</v>
      </c>
      <c r="W39" s="423">
        <v>682167.97</v>
      </c>
      <c r="X39" s="423">
        <v>-286531.7</v>
      </c>
      <c r="Y39" s="423">
        <v>668987.59</v>
      </c>
      <c r="Z39" s="423">
        <v>-295567.39</v>
      </c>
      <c r="AA39" s="423">
        <v>668987.59</v>
      </c>
      <c r="AB39" s="423">
        <v>-292679.60000000003</v>
      </c>
      <c r="AC39" s="423">
        <v>668987.59</v>
      </c>
      <c r="AD39" s="423">
        <v>-289041.81</v>
      </c>
      <c r="AE39" s="423">
        <f t="shared" si="2"/>
        <v>714753.78500000003</v>
      </c>
      <c r="AF39" s="423">
        <f t="shared" si="0"/>
        <v>-239373.85416666666</v>
      </c>
    </row>
    <row r="40" spans="1:32">
      <c r="A40" s="35">
        <v>32</v>
      </c>
      <c r="C40" s="6" t="s">
        <v>1823</v>
      </c>
      <c r="D40" s="6" t="str">
        <f t="shared" si="1"/>
        <v>00038</v>
      </c>
      <c r="E40" s="423">
        <v>282215.55</v>
      </c>
      <c r="F40" s="423">
        <v>54221.94</v>
      </c>
      <c r="G40" s="423">
        <v>282215.55</v>
      </c>
      <c r="H40" s="423">
        <v>54955.700000000004</v>
      </c>
      <c r="I40" s="423">
        <v>295144.49</v>
      </c>
      <c r="J40" s="423">
        <v>55689.46</v>
      </c>
      <c r="K40" s="423">
        <v>295264.92</v>
      </c>
      <c r="L40" s="423">
        <v>56456.840000000004</v>
      </c>
      <c r="M40" s="423">
        <v>295264.92</v>
      </c>
      <c r="N40" s="423">
        <v>57224.53</v>
      </c>
      <c r="O40" s="423">
        <v>295264.92</v>
      </c>
      <c r="P40" s="423">
        <v>57992.22</v>
      </c>
      <c r="Q40" s="423">
        <v>295264.92</v>
      </c>
      <c r="R40" s="423">
        <v>58759.91</v>
      </c>
      <c r="S40" s="423">
        <v>295264.92</v>
      </c>
      <c r="T40" s="423">
        <v>59527.6</v>
      </c>
      <c r="U40" s="423">
        <v>295264.92</v>
      </c>
      <c r="V40" s="423">
        <v>60295.29</v>
      </c>
      <c r="W40" s="423">
        <v>278979.77</v>
      </c>
      <c r="X40" s="423">
        <v>50427.83</v>
      </c>
      <c r="Y40" s="423">
        <v>278979.77</v>
      </c>
      <c r="Z40" s="423">
        <v>51153.18</v>
      </c>
      <c r="AA40" s="423">
        <v>278979.77</v>
      </c>
      <c r="AB40" s="423">
        <v>51878.53</v>
      </c>
      <c r="AC40" s="423">
        <v>278979.77</v>
      </c>
      <c r="AD40" s="423">
        <v>52603.880000000005</v>
      </c>
      <c r="AE40" s="423">
        <f t="shared" si="2"/>
        <v>288873.8775</v>
      </c>
      <c r="AF40" s="423">
        <f t="shared" si="0"/>
        <v>55647.833333333343</v>
      </c>
    </row>
    <row r="41" spans="1:32">
      <c r="A41" s="35">
        <v>33</v>
      </c>
      <c r="C41" s="6" t="s">
        <v>1824</v>
      </c>
      <c r="D41" s="6" t="str">
        <f t="shared" si="1"/>
        <v>00038</v>
      </c>
      <c r="E41" s="423">
        <v>190417.76</v>
      </c>
      <c r="F41" s="423">
        <v>88118.38</v>
      </c>
      <c r="G41" s="423">
        <v>190417.76</v>
      </c>
      <c r="H41" s="423">
        <v>88841.97</v>
      </c>
      <c r="I41" s="423">
        <v>190417.76</v>
      </c>
      <c r="J41" s="423">
        <v>89565.56</v>
      </c>
      <c r="K41" s="423">
        <v>190417.76</v>
      </c>
      <c r="L41" s="423">
        <v>90289.150000000009</v>
      </c>
      <c r="M41" s="423">
        <v>190417.76</v>
      </c>
      <c r="N41" s="423">
        <v>91012.74</v>
      </c>
      <c r="O41" s="423">
        <v>190417.76</v>
      </c>
      <c r="P41" s="423">
        <v>91736.33</v>
      </c>
      <c r="Q41" s="423">
        <v>190417.76</v>
      </c>
      <c r="R41" s="423">
        <v>92459.92</v>
      </c>
      <c r="S41" s="423">
        <v>190417.76</v>
      </c>
      <c r="T41" s="423">
        <v>93183.51</v>
      </c>
      <c r="U41" s="423">
        <v>190417.76</v>
      </c>
      <c r="V41" s="423">
        <v>93907.1</v>
      </c>
      <c r="W41" s="423">
        <v>190417.76</v>
      </c>
      <c r="X41" s="423">
        <v>94630.69</v>
      </c>
      <c r="Y41" s="423">
        <v>190417.76</v>
      </c>
      <c r="Z41" s="423">
        <v>95354.28</v>
      </c>
      <c r="AA41" s="423">
        <v>190417.76</v>
      </c>
      <c r="AB41" s="423">
        <v>96077.87</v>
      </c>
      <c r="AC41" s="423">
        <v>190417.76</v>
      </c>
      <c r="AD41" s="423">
        <v>96801.46</v>
      </c>
      <c r="AE41" s="423">
        <f t="shared" si="2"/>
        <v>190417.76</v>
      </c>
      <c r="AF41" s="423">
        <f t="shared" si="0"/>
        <v>92459.92</v>
      </c>
    </row>
    <row r="42" spans="1:32">
      <c r="A42" s="35">
        <v>34</v>
      </c>
      <c r="C42" s="6" t="s">
        <v>1825</v>
      </c>
      <c r="D42" s="6" t="str">
        <f t="shared" si="1"/>
        <v>00038</v>
      </c>
      <c r="E42" s="423">
        <v>277306.52</v>
      </c>
      <c r="F42" s="423">
        <v>16909.22</v>
      </c>
      <c r="G42" s="423">
        <v>275688.77</v>
      </c>
      <c r="H42" s="423">
        <v>17456.77</v>
      </c>
      <c r="I42" s="423">
        <v>275688.77</v>
      </c>
      <c r="J42" s="423">
        <v>19609.439999999999</v>
      </c>
      <c r="K42" s="423">
        <v>275688.77</v>
      </c>
      <c r="L42" s="423">
        <v>21762.11</v>
      </c>
      <c r="M42" s="423">
        <v>275688.77</v>
      </c>
      <c r="N42" s="423">
        <v>23914.78</v>
      </c>
      <c r="O42" s="423">
        <v>275688.77</v>
      </c>
      <c r="P42" s="423">
        <v>26067.45</v>
      </c>
      <c r="Q42" s="423">
        <v>275688.77</v>
      </c>
      <c r="R42" s="423">
        <v>28220.12</v>
      </c>
      <c r="S42" s="423">
        <v>275688.77</v>
      </c>
      <c r="T42" s="423">
        <v>30372.79</v>
      </c>
      <c r="U42" s="423">
        <v>275688.77</v>
      </c>
      <c r="V42" s="423">
        <v>32525.46</v>
      </c>
      <c r="W42" s="423">
        <v>275688.77</v>
      </c>
      <c r="X42" s="423">
        <v>34678.129999999997</v>
      </c>
      <c r="Y42" s="423">
        <v>275688.77</v>
      </c>
      <c r="Z42" s="423">
        <v>36830.800000000003</v>
      </c>
      <c r="AA42" s="423">
        <v>275688.77</v>
      </c>
      <c r="AB42" s="423">
        <v>38983.47</v>
      </c>
      <c r="AC42" s="423">
        <v>295285.8</v>
      </c>
      <c r="AD42" s="423">
        <v>41136.14</v>
      </c>
      <c r="AE42" s="423">
        <f t="shared" si="2"/>
        <v>276572.71916666668</v>
      </c>
      <c r="AF42" s="423">
        <f t="shared" si="0"/>
        <v>28287.000000000004</v>
      </c>
    </row>
    <row r="43" spans="1:32">
      <c r="A43" s="35">
        <v>35</v>
      </c>
      <c r="C43" s="6" t="s">
        <v>1826</v>
      </c>
      <c r="D43" s="6" t="str">
        <f t="shared" si="1"/>
        <v>00038</v>
      </c>
      <c r="E43" s="423">
        <v>739181.59</v>
      </c>
      <c r="F43" s="423">
        <v>610711.89</v>
      </c>
      <c r="G43" s="423">
        <v>739181.59</v>
      </c>
      <c r="H43" s="423">
        <v>610791.97</v>
      </c>
      <c r="I43" s="423">
        <v>739181.59</v>
      </c>
      <c r="J43" s="423">
        <v>610872.05000000005</v>
      </c>
      <c r="K43" s="423">
        <v>742560.91</v>
      </c>
      <c r="L43" s="423">
        <v>610952.13</v>
      </c>
      <c r="M43" s="423">
        <v>742560.91</v>
      </c>
      <c r="N43" s="423">
        <v>611032.57000000007</v>
      </c>
      <c r="O43" s="423">
        <v>742560.91</v>
      </c>
      <c r="P43" s="423">
        <v>611113.01</v>
      </c>
      <c r="Q43" s="423">
        <v>742560.91</v>
      </c>
      <c r="R43" s="423">
        <v>611193.45000000007</v>
      </c>
      <c r="S43" s="423">
        <v>742560.91</v>
      </c>
      <c r="T43" s="423">
        <v>611273.89</v>
      </c>
      <c r="U43" s="423">
        <v>742560.91</v>
      </c>
      <c r="V43" s="423">
        <v>611354.32999999996</v>
      </c>
      <c r="W43" s="423">
        <v>742560.91</v>
      </c>
      <c r="X43" s="423">
        <v>611434.77</v>
      </c>
      <c r="Y43" s="423">
        <v>742560.91</v>
      </c>
      <c r="Z43" s="423">
        <v>611515.21</v>
      </c>
      <c r="AA43" s="423">
        <v>742560.91</v>
      </c>
      <c r="AB43" s="423">
        <v>611595.65</v>
      </c>
      <c r="AC43" s="423">
        <v>742560.91</v>
      </c>
      <c r="AD43" s="423">
        <v>611676.09</v>
      </c>
      <c r="AE43" s="423">
        <f t="shared" si="2"/>
        <v>741856.88500000013</v>
      </c>
      <c r="AF43" s="423">
        <f t="shared" si="0"/>
        <v>611193.58500000008</v>
      </c>
    </row>
    <row r="44" spans="1:32">
      <c r="A44" s="35">
        <v>36</v>
      </c>
      <c r="C44" s="6" t="s">
        <v>1827</v>
      </c>
      <c r="D44" s="6" t="str">
        <f t="shared" si="1"/>
        <v>00038</v>
      </c>
      <c r="E44" s="423">
        <v>116694.26000000001</v>
      </c>
      <c r="F44" s="423">
        <v>67489.430000000008</v>
      </c>
      <c r="G44" s="423">
        <v>116694.26000000001</v>
      </c>
      <c r="H44" s="423">
        <v>68382.14</v>
      </c>
      <c r="I44" s="423">
        <v>116694.26000000001</v>
      </c>
      <c r="J44" s="423">
        <v>69274.850000000006</v>
      </c>
      <c r="K44" s="423">
        <v>116694.26000000001</v>
      </c>
      <c r="L44" s="423">
        <v>70167.56</v>
      </c>
      <c r="M44" s="423">
        <v>116694.26000000001</v>
      </c>
      <c r="N44" s="423">
        <v>71060.27</v>
      </c>
      <c r="O44" s="423">
        <v>116694.26000000001</v>
      </c>
      <c r="P44" s="423">
        <v>71952.98</v>
      </c>
      <c r="Q44" s="423">
        <v>116694.26000000001</v>
      </c>
      <c r="R44" s="423">
        <v>72845.69</v>
      </c>
      <c r="S44" s="423">
        <v>116694.26000000001</v>
      </c>
      <c r="T44" s="423">
        <v>73738.400000000009</v>
      </c>
      <c r="U44" s="423">
        <v>116694.26000000001</v>
      </c>
      <c r="V44" s="423">
        <v>74631.11</v>
      </c>
      <c r="W44" s="423">
        <v>116694.26000000001</v>
      </c>
      <c r="X44" s="423">
        <v>75523.820000000007</v>
      </c>
      <c r="Y44" s="423">
        <v>116694.26000000001</v>
      </c>
      <c r="Z44" s="423">
        <v>76416.53</v>
      </c>
      <c r="AA44" s="423">
        <v>116694.26000000001</v>
      </c>
      <c r="AB44" s="423">
        <v>77309.240000000005</v>
      </c>
      <c r="AC44" s="423">
        <v>116694.26000000001</v>
      </c>
      <c r="AD44" s="423">
        <v>78201.95</v>
      </c>
      <c r="AE44" s="423">
        <f t="shared" si="2"/>
        <v>116694.26000000001</v>
      </c>
      <c r="AF44" s="423">
        <f t="shared" si="0"/>
        <v>72845.69</v>
      </c>
    </row>
    <row r="45" spans="1:32">
      <c r="A45" s="35">
        <v>37</v>
      </c>
      <c r="C45" s="6" t="s">
        <v>1828</v>
      </c>
      <c r="D45" s="6" t="str">
        <f t="shared" si="1"/>
        <v>00038</v>
      </c>
      <c r="E45" s="423">
        <v>7208.81</v>
      </c>
      <c r="F45" s="423">
        <v>-2917.36</v>
      </c>
      <c r="G45" s="423">
        <v>7208.81</v>
      </c>
      <c r="H45" s="423">
        <v>-2854.2200000000003</v>
      </c>
      <c r="I45" s="423">
        <v>7208.81</v>
      </c>
      <c r="J45" s="423">
        <v>-2791.08</v>
      </c>
      <c r="K45" s="423">
        <v>7208.81</v>
      </c>
      <c r="L45" s="423">
        <v>-2727.94</v>
      </c>
      <c r="M45" s="423">
        <v>7208.81</v>
      </c>
      <c r="N45" s="423">
        <v>-2664.8</v>
      </c>
      <c r="O45" s="423">
        <v>7208.81</v>
      </c>
      <c r="P45" s="423">
        <v>-2601.66</v>
      </c>
      <c r="Q45" s="423">
        <v>7208.81</v>
      </c>
      <c r="R45" s="423">
        <v>-2538.52</v>
      </c>
      <c r="S45" s="423">
        <v>7208.81</v>
      </c>
      <c r="T45" s="423">
        <v>-2475.38</v>
      </c>
      <c r="U45" s="423">
        <v>7208.81</v>
      </c>
      <c r="V45" s="423">
        <v>-2412.2400000000002</v>
      </c>
      <c r="W45" s="423">
        <v>7208.81</v>
      </c>
      <c r="X45" s="423">
        <v>-2349.1</v>
      </c>
      <c r="Y45" s="423">
        <v>7208.81</v>
      </c>
      <c r="Z45" s="423">
        <v>-2285.96</v>
      </c>
      <c r="AA45" s="423">
        <v>7208.81</v>
      </c>
      <c r="AB45" s="423">
        <v>-2222.8200000000002</v>
      </c>
      <c r="AC45" s="423">
        <v>7208.81</v>
      </c>
      <c r="AD45" s="423">
        <v>-2159.6799999999998</v>
      </c>
      <c r="AE45" s="423">
        <f t="shared" si="2"/>
        <v>7208.8099999999986</v>
      </c>
      <c r="AF45" s="423">
        <f t="shared" si="0"/>
        <v>-2538.52</v>
      </c>
    </row>
    <row r="46" spans="1:32">
      <c r="A46" s="35">
        <v>38</v>
      </c>
      <c r="B46" s="425" t="s">
        <v>86</v>
      </c>
      <c r="C46" s="426"/>
      <c r="D46" s="425" t="s">
        <v>1829</v>
      </c>
      <c r="E46" s="427">
        <f t="shared" ref="E46:AF46" si="3">SUBTOTAL(9,E10:E45)</f>
        <v>166219892.83000007</v>
      </c>
      <c r="F46" s="427">
        <f t="shared" si="3"/>
        <v>80705966.12000002</v>
      </c>
      <c r="G46" s="427">
        <f t="shared" si="3"/>
        <v>166170977.93000001</v>
      </c>
      <c r="H46" s="427">
        <f t="shared" si="3"/>
        <v>81956066.480000004</v>
      </c>
      <c r="I46" s="427">
        <f t="shared" si="3"/>
        <v>166354838.25999999</v>
      </c>
      <c r="J46" s="427">
        <f t="shared" si="3"/>
        <v>82303533.879999995</v>
      </c>
      <c r="K46" s="427">
        <f t="shared" si="3"/>
        <v>166799471.37999997</v>
      </c>
      <c r="L46" s="427">
        <f t="shared" si="3"/>
        <v>82630691.260000005</v>
      </c>
      <c r="M46" s="427">
        <f t="shared" si="3"/>
        <v>167119466.22999996</v>
      </c>
      <c r="N46" s="427">
        <f t="shared" si="3"/>
        <v>83048741.769999966</v>
      </c>
      <c r="O46" s="427">
        <f t="shared" si="3"/>
        <v>167560879.63</v>
      </c>
      <c r="P46" s="427">
        <f t="shared" si="3"/>
        <v>83473613.359999985</v>
      </c>
      <c r="Q46" s="427">
        <f t="shared" si="3"/>
        <v>168385999.12</v>
      </c>
      <c r="R46" s="427">
        <f t="shared" si="3"/>
        <v>83882596.349999979</v>
      </c>
      <c r="S46" s="427">
        <f t="shared" si="3"/>
        <v>168732643.50999999</v>
      </c>
      <c r="T46" s="427">
        <f t="shared" si="3"/>
        <v>84297028.050000027</v>
      </c>
      <c r="U46" s="427">
        <f t="shared" si="3"/>
        <v>170207593.34999996</v>
      </c>
      <c r="V46" s="427">
        <f t="shared" si="3"/>
        <v>84575659.36999999</v>
      </c>
      <c r="W46" s="427">
        <f t="shared" si="3"/>
        <v>170629891.94999999</v>
      </c>
      <c r="X46" s="427">
        <f t="shared" si="3"/>
        <v>84951612.799999982</v>
      </c>
      <c r="Y46" s="427">
        <f t="shared" si="3"/>
        <v>171151546.11000001</v>
      </c>
      <c r="Z46" s="427">
        <f t="shared" si="3"/>
        <v>85352250.530000001</v>
      </c>
      <c r="AA46" s="427">
        <f t="shared" si="3"/>
        <v>171458875.71000004</v>
      </c>
      <c r="AB46" s="427">
        <f t="shared" si="3"/>
        <v>85685521.460000008</v>
      </c>
      <c r="AC46" s="427">
        <f t="shared" si="3"/>
        <v>173795321.89000002</v>
      </c>
      <c r="AD46" s="427">
        <f t="shared" si="3"/>
        <v>86090834.789999977</v>
      </c>
      <c r="AE46" s="427">
        <f t="shared" si="3"/>
        <v>168714982.54499999</v>
      </c>
      <c r="AF46" s="427">
        <f t="shared" si="3"/>
        <v>83796309.647083312</v>
      </c>
    </row>
    <row r="47" spans="1:32">
      <c r="A47" s="35">
        <v>39</v>
      </c>
      <c r="B47" s="421" t="s">
        <v>112</v>
      </c>
      <c r="C47" s="421" t="s">
        <v>390</v>
      </c>
      <c r="D47" s="428"/>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row>
    <row r="48" spans="1:32">
      <c r="A48" s="35">
        <v>40</v>
      </c>
      <c r="C48" s="6" t="s">
        <v>1830</v>
      </c>
      <c r="D48" s="6" t="str">
        <f>RIGHT(C48,5)</f>
        <v>00048</v>
      </c>
      <c r="E48" s="423">
        <v>138157.95000000001</v>
      </c>
      <c r="F48" s="423">
        <v>138157.97</v>
      </c>
      <c r="G48" s="423">
        <v>138157.95000000001</v>
      </c>
      <c r="H48" s="423">
        <v>138157.97</v>
      </c>
      <c r="I48" s="423">
        <v>138157.95000000001</v>
      </c>
      <c r="J48" s="423">
        <v>138157.97</v>
      </c>
      <c r="K48" s="423">
        <v>138157.95000000001</v>
      </c>
      <c r="L48" s="423">
        <v>138157.97</v>
      </c>
      <c r="M48" s="423">
        <v>138157.95000000001</v>
      </c>
      <c r="N48" s="423">
        <v>138157.97</v>
      </c>
      <c r="O48" s="423">
        <v>138157.95000000001</v>
      </c>
      <c r="P48" s="423">
        <v>138157.97</v>
      </c>
      <c r="Q48" s="423">
        <v>138157.95000000001</v>
      </c>
      <c r="R48" s="423">
        <v>138157.97</v>
      </c>
      <c r="S48" s="423">
        <v>138157.95000000001</v>
      </c>
      <c r="T48" s="423">
        <v>138157.97</v>
      </c>
      <c r="U48" s="423">
        <v>138157.95000000001</v>
      </c>
      <c r="V48" s="423">
        <v>138157.97</v>
      </c>
      <c r="W48" s="423">
        <v>138157.95000000001</v>
      </c>
      <c r="X48" s="423">
        <v>138157.97</v>
      </c>
      <c r="Y48" s="423">
        <v>138157.95000000001</v>
      </c>
      <c r="Z48" s="423">
        <v>138157.97</v>
      </c>
      <c r="AA48" s="423">
        <v>138157.95000000001</v>
      </c>
      <c r="AB48" s="423">
        <v>138157.97</v>
      </c>
      <c r="AC48" s="423">
        <v>138157.95000000001</v>
      </c>
      <c r="AD48" s="423">
        <v>138157.97</v>
      </c>
      <c r="AE48" s="423">
        <f t="shared" ref="AE48:AF88" si="4">+(E48+AC48+(+G48+I48+K48+M48+O48+Q48+S48+U48+W48+Y48+AA48)*2)/24</f>
        <v>138157.94999999998</v>
      </c>
      <c r="AF48" s="423">
        <f t="shared" si="4"/>
        <v>138157.97</v>
      </c>
    </row>
    <row r="49" spans="1:32">
      <c r="A49" s="35">
        <v>41</v>
      </c>
      <c r="C49" s="6" t="s">
        <v>1831</v>
      </c>
      <c r="D49" s="424" t="s">
        <v>1832</v>
      </c>
      <c r="E49" s="423">
        <v>0</v>
      </c>
      <c r="F49" s="423">
        <v>0</v>
      </c>
      <c r="G49" s="423">
        <v>0</v>
      </c>
      <c r="H49" s="423">
        <v>0</v>
      </c>
      <c r="I49" s="423">
        <v>0</v>
      </c>
      <c r="J49" s="423">
        <v>0</v>
      </c>
      <c r="K49" s="423">
        <v>0</v>
      </c>
      <c r="L49" s="423">
        <v>0</v>
      </c>
      <c r="M49" s="423">
        <v>0</v>
      </c>
      <c r="N49" s="423">
        <v>0</v>
      </c>
      <c r="O49" s="423">
        <v>0</v>
      </c>
      <c r="P49" s="423">
        <v>0</v>
      </c>
      <c r="Q49" s="423">
        <v>0</v>
      </c>
      <c r="R49" s="423">
        <v>0</v>
      </c>
      <c r="S49" s="423">
        <v>0</v>
      </c>
      <c r="T49" s="423">
        <v>0</v>
      </c>
      <c r="U49" s="423">
        <v>0</v>
      </c>
      <c r="V49" s="423">
        <v>0</v>
      </c>
      <c r="W49" s="423">
        <v>0</v>
      </c>
      <c r="X49" s="423">
        <v>0</v>
      </c>
      <c r="Y49" s="423">
        <v>0</v>
      </c>
      <c r="Z49" s="423">
        <v>0</v>
      </c>
      <c r="AA49" s="423">
        <v>0</v>
      </c>
      <c r="AB49" s="423">
        <v>0</v>
      </c>
      <c r="AC49" s="423">
        <v>0</v>
      </c>
      <c r="AD49" s="423">
        <v>0</v>
      </c>
      <c r="AE49" s="423">
        <f t="shared" si="4"/>
        <v>0</v>
      </c>
      <c r="AF49" s="423">
        <f t="shared" si="4"/>
        <v>0</v>
      </c>
    </row>
    <row r="50" spans="1:32">
      <c r="A50" s="35">
        <v>42</v>
      </c>
      <c r="C50" s="6" t="s">
        <v>1833</v>
      </c>
      <c r="D50" s="424" t="s">
        <v>1832</v>
      </c>
      <c r="E50" s="423">
        <v>0</v>
      </c>
      <c r="F50" s="423">
        <v>0</v>
      </c>
      <c r="G50" s="423">
        <v>0</v>
      </c>
      <c r="H50" s="423">
        <v>0</v>
      </c>
      <c r="I50" s="423">
        <v>0</v>
      </c>
      <c r="J50" s="423">
        <v>0</v>
      </c>
      <c r="K50" s="423">
        <v>0</v>
      </c>
      <c r="L50" s="423">
        <v>0</v>
      </c>
      <c r="M50" s="423">
        <v>0</v>
      </c>
      <c r="N50" s="423">
        <v>0</v>
      </c>
      <c r="O50" s="423">
        <v>0</v>
      </c>
      <c r="P50" s="423">
        <v>0</v>
      </c>
      <c r="Q50" s="423">
        <v>0</v>
      </c>
      <c r="R50" s="423">
        <v>0</v>
      </c>
      <c r="S50" s="423">
        <v>45037.37</v>
      </c>
      <c r="T50" s="423">
        <v>1876.6000000000001</v>
      </c>
      <c r="U50" s="423">
        <v>45037.37</v>
      </c>
      <c r="V50" s="423">
        <v>1970.43</v>
      </c>
      <c r="W50" s="423">
        <v>45037.37</v>
      </c>
      <c r="X50" s="423">
        <v>2064.2600000000002</v>
      </c>
      <c r="Y50" s="423">
        <v>45037.37</v>
      </c>
      <c r="Z50" s="423">
        <v>2158.09</v>
      </c>
      <c r="AA50" s="423">
        <v>45037.37</v>
      </c>
      <c r="AB50" s="423">
        <v>2251.92</v>
      </c>
      <c r="AC50" s="423">
        <v>45037.37</v>
      </c>
      <c r="AD50" s="423">
        <v>2345.75</v>
      </c>
      <c r="AE50" s="423">
        <f t="shared" si="4"/>
        <v>20642.127916666668</v>
      </c>
      <c r="AF50" s="423">
        <f t="shared" si="4"/>
        <v>957.84791666666672</v>
      </c>
    </row>
    <row r="51" spans="1:32">
      <c r="A51" s="35">
        <v>43</v>
      </c>
      <c r="C51" s="6" t="s">
        <v>1834</v>
      </c>
      <c r="D51" s="424" t="s">
        <v>1832</v>
      </c>
      <c r="E51" s="423">
        <v>0</v>
      </c>
      <c r="F51" s="423">
        <v>0</v>
      </c>
      <c r="G51" s="423">
        <v>0</v>
      </c>
      <c r="H51" s="423">
        <v>0</v>
      </c>
      <c r="I51" s="423">
        <v>0</v>
      </c>
      <c r="J51" s="423">
        <v>0</v>
      </c>
      <c r="K51" s="423">
        <v>0</v>
      </c>
      <c r="L51" s="423">
        <v>0</v>
      </c>
      <c r="M51" s="423">
        <v>0</v>
      </c>
      <c r="N51" s="423">
        <v>0</v>
      </c>
      <c r="O51" s="423">
        <v>0</v>
      </c>
      <c r="P51" s="423">
        <v>0</v>
      </c>
      <c r="Q51" s="423">
        <v>0</v>
      </c>
      <c r="R51" s="423">
        <v>0</v>
      </c>
      <c r="S51" s="423">
        <v>1218966.19</v>
      </c>
      <c r="T51" s="423">
        <v>22371.94</v>
      </c>
      <c r="U51" s="423">
        <v>1218966.19</v>
      </c>
      <c r="V51" s="423">
        <v>24856.100000000002</v>
      </c>
      <c r="W51" s="423">
        <v>1218966.19</v>
      </c>
      <c r="X51" s="423">
        <v>27395.61</v>
      </c>
      <c r="Y51" s="423">
        <v>1218966.19</v>
      </c>
      <c r="Z51" s="423">
        <v>29935.119999999999</v>
      </c>
      <c r="AA51" s="423">
        <v>1218966.19</v>
      </c>
      <c r="AB51" s="423">
        <v>32474.63</v>
      </c>
      <c r="AC51" s="423">
        <v>1218966.19</v>
      </c>
      <c r="AD51" s="423">
        <v>35014.14</v>
      </c>
      <c r="AE51" s="423">
        <f t="shared" si="4"/>
        <v>558692.83708333329</v>
      </c>
      <c r="AF51" s="423">
        <f t="shared" si="4"/>
        <v>12878.372499999999</v>
      </c>
    </row>
    <row r="52" spans="1:32">
      <c r="A52" s="35">
        <v>44</v>
      </c>
      <c r="C52" s="6" t="s">
        <v>1835</v>
      </c>
      <c r="D52" s="6" t="str">
        <f t="shared" ref="D52:D88" si="5">RIGHT(C52,5)</f>
        <v>00048</v>
      </c>
      <c r="E52" s="423">
        <v>1462199.5</v>
      </c>
      <c r="F52" s="423">
        <v>13029.470000000001</v>
      </c>
      <c r="G52" s="423">
        <v>1462199.5</v>
      </c>
      <c r="H52" s="423">
        <v>24932.98</v>
      </c>
      <c r="I52" s="423">
        <v>1462199.5</v>
      </c>
      <c r="J52" s="423">
        <v>36836.5</v>
      </c>
      <c r="K52" s="423">
        <v>1462199.5</v>
      </c>
      <c r="L52" s="423">
        <v>13255.26</v>
      </c>
      <c r="M52" s="423">
        <v>1264003.56</v>
      </c>
      <c r="N52" s="423">
        <v>16301.630000000001</v>
      </c>
      <c r="O52" s="423">
        <v>1264003.56</v>
      </c>
      <c r="P52" s="423">
        <v>18930.740000000002</v>
      </c>
      <c r="Q52" s="423">
        <v>1264003.56</v>
      </c>
      <c r="R52" s="423">
        <v>21559.850000000002</v>
      </c>
      <c r="S52" s="423">
        <v>0</v>
      </c>
      <c r="T52" s="423">
        <v>-55.35</v>
      </c>
      <c r="U52" s="423">
        <v>0</v>
      </c>
      <c r="V52" s="423">
        <v>-55.35</v>
      </c>
      <c r="W52" s="423">
        <v>0</v>
      </c>
      <c r="X52" s="423">
        <v>-55.35</v>
      </c>
      <c r="Y52" s="423">
        <v>0</v>
      </c>
      <c r="Z52" s="423">
        <v>0</v>
      </c>
      <c r="AA52" s="423">
        <v>0</v>
      </c>
      <c r="AB52" s="423">
        <v>0</v>
      </c>
      <c r="AC52" s="423">
        <v>0</v>
      </c>
      <c r="AD52" s="423">
        <v>0</v>
      </c>
      <c r="AE52" s="423">
        <f t="shared" si="4"/>
        <v>742475.74416666676</v>
      </c>
      <c r="AF52" s="423">
        <f t="shared" si="4"/>
        <v>11513.803749999997</v>
      </c>
    </row>
    <row r="53" spans="1:32">
      <c r="A53" s="35">
        <v>45</v>
      </c>
      <c r="C53" s="6" t="s">
        <v>1836</v>
      </c>
      <c r="D53" s="6" t="str">
        <f t="shared" si="5"/>
        <v>00048</v>
      </c>
      <c r="E53" s="423">
        <v>211404.97</v>
      </c>
      <c r="F53" s="423">
        <v>0</v>
      </c>
      <c r="G53" s="423">
        <v>211404.97</v>
      </c>
      <c r="H53" s="423">
        <v>0</v>
      </c>
      <c r="I53" s="423">
        <v>211404.97</v>
      </c>
      <c r="J53" s="423">
        <v>0</v>
      </c>
      <c r="K53" s="423">
        <v>211404.97</v>
      </c>
      <c r="L53" s="423">
        <v>0</v>
      </c>
      <c r="M53" s="423">
        <v>211404.97</v>
      </c>
      <c r="N53" s="423">
        <v>0</v>
      </c>
      <c r="O53" s="423">
        <v>211404.97</v>
      </c>
      <c r="P53" s="423">
        <v>0</v>
      </c>
      <c r="Q53" s="423">
        <v>211404.97</v>
      </c>
      <c r="R53" s="423">
        <v>0</v>
      </c>
      <c r="S53" s="423">
        <v>211404.97</v>
      </c>
      <c r="T53" s="423">
        <v>0</v>
      </c>
      <c r="U53" s="423">
        <v>211404.97</v>
      </c>
      <c r="V53" s="423">
        <v>0</v>
      </c>
      <c r="W53" s="423">
        <v>211404.97</v>
      </c>
      <c r="X53" s="423">
        <v>0</v>
      </c>
      <c r="Y53" s="423">
        <v>211404.97</v>
      </c>
      <c r="Z53" s="423">
        <v>0</v>
      </c>
      <c r="AA53" s="423">
        <v>211404.97</v>
      </c>
      <c r="AB53" s="423">
        <v>0</v>
      </c>
      <c r="AC53" s="423">
        <v>211404.97</v>
      </c>
      <c r="AD53" s="423">
        <v>0</v>
      </c>
      <c r="AE53" s="423">
        <f t="shared" si="4"/>
        <v>211404.97000000006</v>
      </c>
      <c r="AF53" s="423">
        <f t="shared" si="4"/>
        <v>0</v>
      </c>
    </row>
    <row r="54" spans="1:32">
      <c r="A54" s="35">
        <v>46</v>
      </c>
      <c r="C54" s="6" t="s">
        <v>1837</v>
      </c>
      <c r="D54" s="6" t="str">
        <f t="shared" si="5"/>
        <v>00048</v>
      </c>
      <c r="E54" s="423">
        <v>1018396.75</v>
      </c>
      <c r="F54" s="423">
        <v>744741.84</v>
      </c>
      <c r="G54" s="423">
        <v>1018396.75</v>
      </c>
      <c r="H54" s="423">
        <v>746082.73</v>
      </c>
      <c r="I54" s="423">
        <v>1018396.75</v>
      </c>
      <c r="J54" s="423">
        <v>747423.62</v>
      </c>
      <c r="K54" s="423">
        <v>1018396.75</v>
      </c>
      <c r="L54" s="423">
        <v>748764.51</v>
      </c>
      <c r="M54" s="423">
        <v>1018396.75</v>
      </c>
      <c r="N54" s="423">
        <v>750105.4</v>
      </c>
      <c r="O54" s="423">
        <v>1018396.75</v>
      </c>
      <c r="P54" s="423">
        <v>751446.29</v>
      </c>
      <c r="Q54" s="423">
        <v>1018396.75</v>
      </c>
      <c r="R54" s="423">
        <v>752787.18</v>
      </c>
      <c r="S54" s="423">
        <v>1018396.75</v>
      </c>
      <c r="T54" s="423">
        <v>754128.07000000007</v>
      </c>
      <c r="U54" s="423">
        <v>1018396.75</v>
      </c>
      <c r="V54" s="423">
        <v>755468.96</v>
      </c>
      <c r="W54" s="423">
        <v>1018396.75</v>
      </c>
      <c r="X54" s="423">
        <v>756809.85</v>
      </c>
      <c r="Y54" s="423">
        <v>1018396.75</v>
      </c>
      <c r="Z54" s="423">
        <v>758150.74</v>
      </c>
      <c r="AA54" s="423">
        <v>1018396.75</v>
      </c>
      <c r="AB54" s="423">
        <v>759491.63</v>
      </c>
      <c r="AC54" s="423">
        <v>1018396.75</v>
      </c>
      <c r="AD54" s="423">
        <v>760832.52</v>
      </c>
      <c r="AE54" s="423">
        <f t="shared" si="4"/>
        <v>1018396.75</v>
      </c>
      <c r="AF54" s="423">
        <f t="shared" si="4"/>
        <v>752787.18</v>
      </c>
    </row>
    <row r="55" spans="1:32">
      <c r="A55" s="35">
        <v>47</v>
      </c>
      <c r="C55" s="6" t="s">
        <v>1838</v>
      </c>
      <c r="D55" s="6" t="str">
        <f t="shared" si="5"/>
        <v>00048</v>
      </c>
      <c r="E55" s="423">
        <v>15654814.939999999</v>
      </c>
      <c r="F55" s="423">
        <v>10457877.060000001</v>
      </c>
      <c r="G55" s="423">
        <v>15654814.939999999</v>
      </c>
      <c r="H55" s="423">
        <v>10481620.199999999</v>
      </c>
      <c r="I55" s="423">
        <v>15654814.939999999</v>
      </c>
      <c r="J55" s="423">
        <v>10505363.34</v>
      </c>
      <c r="K55" s="423">
        <v>15654814.939999999</v>
      </c>
      <c r="L55" s="423">
        <v>10529106.48</v>
      </c>
      <c r="M55" s="423">
        <v>15655125.16</v>
      </c>
      <c r="N55" s="423">
        <v>10552849.619999999</v>
      </c>
      <c r="O55" s="423">
        <v>15655125.16</v>
      </c>
      <c r="P55" s="423">
        <v>10576593.23</v>
      </c>
      <c r="Q55" s="423">
        <v>15655125.16</v>
      </c>
      <c r="R55" s="423">
        <v>10600336.84</v>
      </c>
      <c r="S55" s="423">
        <v>15655125.16</v>
      </c>
      <c r="T55" s="423">
        <v>10624080.449999999</v>
      </c>
      <c r="U55" s="423">
        <v>15655125.16</v>
      </c>
      <c r="V55" s="423">
        <v>10647824.060000001</v>
      </c>
      <c r="W55" s="423">
        <v>15655125.16</v>
      </c>
      <c r="X55" s="423">
        <v>10671567.67</v>
      </c>
      <c r="Y55" s="423">
        <v>15655125.16</v>
      </c>
      <c r="Z55" s="423">
        <v>10695311.279999999</v>
      </c>
      <c r="AA55" s="423">
        <v>15655125.16</v>
      </c>
      <c r="AB55" s="423">
        <v>10719054.890000001</v>
      </c>
      <c r="AC55" s="423">
        <v>15655125.16</v>
      </c>
      <c r="AD55" s="423">
        <v>10742798.5</v>
      </c>
      <c r="AE55" s="423">
        <f t="shared" si="4"/>
        <v>15655034.679166667</v>
      </c>
      <c r="AF55" s="423">
        <f t="shared" si="4"/>
        <v>10600337.153333334</v>
      </c>
    </row>
    <row r="56" spans="1:32">
      <c r="A56" s="35">
        <v>48</v>
      </c>
      <c r="C56" s="6" t="s">
        <v>1839</v>
      </c>
      <c r="D56" s="6" t="str">
        <f t="shared" si="5"/>
        <v>00048</v>
      </c>
      <c r="E56" s="423">
        <v>156138.81</v>
      </c>
      <c r="F56" s="423">
        <v>164120.37</v>
      </c>
      <c r="G56" s="423">
        <v>156138.81</v>
      </c>
      <c r="H56" s="423">
        <v>164173.71</v>
      </c>
      <c r="I56" s="423">
        <v>156138.81</v>
      </c>
      <c r="J56" s="423">
        <v>164227.05000000002</v>
      </c>
      <c r="K56" s="423">
        <v>156138.81</v>
      </c>
      <c r="L56" s="423">
        <v>164280.39000000001</v>
      </c>
      <c r="M56" s="423">
        <v>156138.81</v>
      </c>
      <c r="N56" s="423">
        <v>164333.73000000001</v>
      </c>
      <c r="O56" s="423">
        <v>156138.81</v>
      </c>
      <c r="P56" s="423">
        <v>164387.07</v>
      </c>
      <c r="Q56" s="423">
        <v>156138.81</v>
      </c>
      <c r="R56" s="423">
        <v>164440.41</v>
      </c>
      <c r="S56" s="423">
        <v>156138.81</v>
      </c>
      <c r="T56" s="423">
        <v>164493.75</v>
      </c>
      <c r="U56" s="423">
        <v>156138.81</v>
      </c>
      <c r="V56" s="423">
        <v>164547.09</v>
      </c>
      <c r="W56" s="423">
        <v>156138.81</v>
      </c>
      <c r="X56" s="423">
        <v>164600.43</v>
      </c>
      <c r="Y56" s="423">
        <v>156138.81</v>
      </c>
      <c r="Z56" s="423">
        <v>164653.76999999999</v>
      </c>
      <c r="AA56" s="423">
        <v>156138.81</v>
      </c>
      <c r="AB56" s="423">
        <v>164707.11000000002</v>
      </c>
      <c r="AC56" s="423">
        <v>156138.81</v>
      </c>
      <c r="AD56" s="423">
        <v>164760.45000000001</v>
      </c>
      <c r="AE56" s="423">
        <f t="shared" si="4"/>
        <v>156138.81000000003</v>
      </c>
      <c r="AF56" s="423">
        <f t="shared" si="4"/>
        <v>164440.41</v>
      </c>
    </row>
    <row r="57" spans="1:32">
      <c r="A57" s="35">
        <v>49</v>
      </c>
      <c r="C57" s="6" t="s">
        <v>1840</v>
      </c>
      <c r="D57" s="6" t="str">
        <f t="shared" si="5"/>
        <v>00048</v>
      </c>
      <c r="E57" s="423">
        <v>1922322.92</v>
      </c>
      <c r="F57" s="423">
        <v>603821.39</v>
      </c>
      <c r="G57" s="423">
        <v>1922322.92</v>
      </c>
      <c r="H57" s="423">
        <v>606833.03</v>
      </c>
      <c r="I57" s="423">
        <v>1922322.92</v>
      </c>
      <c r="J57" s="423">
        <v>609844.67000000004</v>
      </c>
      <c r="K57" s="423">
        <v>1922322.92</v>
      </c>
      <c r="L57" s="423">
        <v>612856.31000000006</v>
      </c>
      <c r="M57" s="423">
        <v>1922322.92</v>
      </c>
      <c r="N57" s="423">
        <v>615867.95000000007</v>
      </c>
      <c r="O57" s="423">
        <v>1922322.92</v>
      </c>
      <c r="P57" s="423">
        <v>618879.59</v>
      </c>
      <c r="Q57" s="423">
        <v>1922322.92</v>
      </c>
      <c r="R57" s="423">
        <v>621891.23</v>
      </c>
      <c r="S57" s="423">
        <v>1922322.92</v>
      </c>
      <c r="T57" s="423">
        <v>624902.87</v>
      </c>
      <c r="U57" s="423">
        <v>1922322.92</v>
      </c>
      <c r="V57" s="423">
        <v>627914.51</v>
      </c>
      <c r="W57" s="423">
        <v>1922322.92</v>
      </c>
      <c r="X57" s="423">
        <v>630926.15</v>
      </c>
      <c r="Y57" s="423">
        <v>1922322.92</v>
      </c>
      <c r="Z57" s="423">
        <v>633937.79</v>
      </c>
      <c r="AA57" s="423">
        <v>1922322.92</v>
      </c>
      <c r="AB57" s="423">
        <v>636949.43000000005</v>
      </c>
      <c r="AC57" s="423">
        <v>1922322.92</v>
      </c>
      <c r="AD57" s="423">
        <v>639961.07000000007</v>
      </c>
      <c r="AE57" s="423">
        <f t="shared" si="4"/>
        <v>1922322.9200000006</v>
      </c>
      <c r="AF57" s="423">
        <f t="shared" si="4"/>
        <v>621891.23</v>
      </c>
    </row>
    <row r="58" spans="1:32">
      <c r="A58" s="35">
        <v>50</v>
      </c>
      <c r="C58" s="6" t="s">
        <v>1841</v>
      </c>
      <c r="D58" s="6" t="str">
        <f t="shared" si="5"/>
        <v>00048</v>
      </c>
      <c r="E58" s="423">
        <v>248393.9</v>
      </c>
      <c r="F58" s="423">
        <v>0</v>
      </c>
      <c r="G58" s="423">
        <v>248393.9</v>
      </c>
      <c r="H58" s="423">
        <v>0</v>
      </c>
      <c r="I58" s="423">
        <v>248393.9</v>
      </c>
      <c r="J58" s="423">
        <v>0</v>
      </c>
      <c r="K58" s="423">
        <v>248393.9</v>
      </c>
      <c r="L58" s="423">
        <v>0</v>
      </c>
      <c r="M58" s="423">
        <v>248393.9</v>
      </c>
      <c r="N58" s="423">
        <v>0</v>
      </c>
      <c r="O58" s="423">
        <v>248393.9</v>
      </c>
      <c r="P58" s="423">
        <v>0</v>
      </c>
      <c r="Q58" s="423">
        <v>248393.9</v>
      </c>
      <c r="R58" s="423">
        <v>0</v>
      </c>
      <c r="S58" s="423">
        <v>248393.9</v>
      </c>
      <c r="T58" s="423">
        <v>0</v>
      </c>
      <c r="U58" s="423">
        <v>248393.9</v>
      </c>
      <c r="V58" s="423">
        <v>0</v>
      </c>
      <c r="W58" s="423">
        <v>248393.9</v>
      </c>
      <c r="X58" s="423">
        <v>0</v>
      </c>
      <c r="Y58" s="423">
        <v>248393.9</v>
      </c>
      <c r="Z58" s="423">
        <v>0</v>
      </c>
      <c r="AA58" s="423">
        <v>248393.9</v>
      </c>
      <c r="AB58" s="423">
        <v>0</v>
      </c>
      <c r="AC58" s="423">
        <v>248393.9</v>
      </c>
      <c r="AD58" s="423">
        <v>0</v>
      </c>
      <c r="AE58" s="423">
        <f t="shared" si="4"/>
        <v>248393.89999999994</v>
      </c>
      <c r="AF58" s="423">
        <f t="shared" si="4"/>
        <v>0</v>
      </c>
    </row>
    <row r="59" spans="1:32">
      <c r="A59" s="35">
        <v>51</v>
      </c>
      <c r="C59" s="6" t="s">
        <v>1842</v>
      </c>
      <c r="D59" s="6" t="str">
        <f t="shared" si="5"/>
        <v>00048</v>
      </c>
      <c r="E59" s="423">
        <v>694595.46</v>
      </c>
      <c r="F59" s="423">
        <v>650729.32000000007</v>
      </c>
      <c r="G59" s="423">
        <v>694595.46</v>
      </c>
      <c r="H59" s="423">
        <v>651435.49</v>
      </c>
      <c r="I59" s="423">
        <v>694595.46</v>
      </c>
      <c r="J59" s="423">
        <v>652141.66</v>
      </c>
      <c r="K59" s="423">
        <v>694595.46</v>
      </c>
      <c r="L59" s="423">
        <v>652847.82999999996</v>
      </c>
      <c r="M59" s="423">
        <v>694595.46</v>
      </c>
      <c r="N59" s="423">
        <v>653554</v>
      </c>
      <c r="O59" s="423">
        <v>694595.46</v>
      </c>
      <c r="P59" s="423">
        <v>654260.17000000004</v>
      </c>
      <c r="Q59" s="423">
        <v>694595.46</v>
      </c>
      <c r="R59" s="423">
        <v>654966.34</v>
      </c>
      <c r="S59" s="423">
        <v>694595.46</v>
      </c>
      <c r="T59" s="423">
        <v>655672.51</v>
      </c>
      <c r="U59" s="423">
        <v>694595.46</v>
      </c>
      <c r="V59" s="423">
        <v>656378.68000000005</v>
      </c>
      <c r="W59" s="423">
        <v>696354.23</v>
      </c>
      <c r="X59" s="423">
        <v>657084.85</v>
      </c>
      <c r="Y59" s="423">
        <v>696354.23</v>
      </c>
      <c r="Z59" s="423">
        <v>657792.81000000006</v>
      </c>
      <c r="AA59" s="423">
        <v>696354.23</v>
      </c>
      <c r="AB59" s="423">
        <v>658500.77</v>
      </c>
      <c r="AC59" s="423">
        <v>696354.23</v>
      </c>
      <c r="AD59" s="423">
        <v>659208.73</v>
      </c>
      <c r="AE59" s="423">
        <f t="shared" si="4"/>
        <v>695108.43458333344</v>
      </c>
      <c r="AF59" s="423">
        <f t="shared" si="4"/>
        <v>654967.01124999998</v>
      </c>
    </row>
    <row r="60" spans="1:32">
      <c r="A60" s="35">
        <v>52</v>
      </c>
      <c r="C60" s="6" t="s">
        <v>1843</v>
      </c>
      <c r="D60" s="6" t="str">
        <f t="shared" si="5"/>
        <v>00048</v>
      </c>
      <c r="E60" s="423">
        <v>116215505.77</v>
      </c>
      <c r="F60" s="423">
        <v>32094891.120000001</v>
      </c>
      <c r="G60" s="423">
        <v>116259430.98999999</v>
      </c>
      <c r="H60" s="423">
        <v>32222265.420000002</v>
      </c>
      <c r="I60" s="423">
        <v>116277062.5</v>
      </c>
      <c r="J60" s="423">
        <v>32333674.149999999</v>
      </c>
      <c r="K60" s="423">
        <v>116554207.98</v>
      </c>
      <c r="L60" s="423">
        <v>32396381.260000002</v>
      </c>
      <c r="M60" s="423">
        <v>116665372.44</v>
      </c>
      <c r="N60" s="423">
        <v>32517791.899999999</v>
      </c>
      <c r="O60" s="423">
        <v>116702608.93000001</v>
      </c>
      <c r="P60" s="423">
        <v>32638396.640000001</v>
      </c>
      <c r="Q60" s="423">
        <v>116465551.87</v>
      </c>
      <c r="R60" s="423">
        <v>32732611.809999999</v>
      </c>
      <c r="S60" s="423">
        <v>118516927.93000001</v>
      </c>
      <c r="T60" s="423">
        <v>32828802.34</v>
      </c>
      <c r="U60" s="423">
        <v>124516793.95</v>
      </c>
      <c r="V60" s="423">
        <v>32952257.469999999</v>
      </c>
      <c r="W60" s="423">
        <v>124078296.61</v>
      </c>
      <c r="X60" s="423">
        <v>33080472.940000001</v>
      </c>
      <c r="Y60" s="423">
        <v>126451082.04000001</v>
      </c>
      <c r="Z60" s="423">
        <v>33178731.600000001</v>
      </c>
      <c r="AA60" s="423">
        <v>126324857.81</v>
      </c>
      <c r="AB60" s="423">
        <v>33300964.210000001</v>
      </c>
      <c r="AC60" s="423">
        <v>126326841.52</v>
      </c>
      <c r="AD60" s="423">
        <v>33409444.109999999</v>
      </c>
      <c r="AE60" s="423">
        <f t="shared" si="4"/>
        <v>120006947.22458334</v>
      </c>
      <c r="AF60" s="423">
        <f t="shared" si="4"/>
        <v>32744543.112916667</v>
      </c>
    </row>
    <row r="61" spans="1:32">
      <c r="A61" s="35">
        <v>53</v>
      </c>
      <c r="C61" s="6" t="s">
        <v>1844</v>
      </c>
      <c r="D61" s="6" t="str">
        <f t="shared" si="5"/>
        <v>00048</v>
      </c>
      <c r="E61" s="423">
        <v>92694639.489999995</v>
      </c>
      <c r="F61" s="423">
        <v>23090891.559999999</v>
      </c>
      <c r="G61" s="423">
        <v>93505603.920000002</v>
      </c>
      <c r="H61" s="423">
        <v>25316342.140000001</v>
      </c>
      <c r="I61" s="423">
        <v>93924843.650000006</v>
      </c>
      <c r="J61" s="423">
        <v>25638157.260000002</v>
      </c>
      <c r="K61" s="423">
        <v>94583057.189999998</v>
      </c>
      <c r="L61" s="423">
        <v>25948415.870000001</v>
      </c>
      <c r="M61" s="423">
        <v>94966403.109999999</v>
      </c>
      <c r="N61" s="423">
        <v>26273333.899999999</v>
      </c>
      <c r="O61" s="423">
        <v>95322795.450000003</v>
      </c>
      <c r="P61" s="423">
        <v>26598699.530000001</v>
      </c>
      <c r="Q61" s="423">
        <v>95672199.230000004</v>
      </c>
      <c r="R61" s="423">
        <v>26918136.309999999</v>
      </c>
      <c r="S61" s="423">
        <v>95834826.640000001</v>
      </c>
      <c r="T61" s="423">
        <v>27245880.219999999</v>
      </c>
      <c r="U61" s="423">
        <v>98464943.840000004</v>
      </c>
      <c r="V61" s="423">
        <v>27557739.870000001</v>
      </c>
      <c r="W61" s="423">
        <v>100022193.33</v>
      </c>
      <c r="X61" s="423">
        <v>27895510.469999999</v>
      </c>
      <c r="Y61" s="423">
        <v>101207971.86</v>
      </c>
      <c r="Z61" s="423">
        <v>28236406.899999999</v>
      </c>
      <c r="AA61" s="423">
        <v>101647106.15000001</v>
      </c>
      <c r="AB61" s="423">
        <v>28577764.199999999</v>
      </c>
      <c r="AC61" s="423">
        <v>104034895.53</v>
      </c>
      <c r="AD61" s="423">
        <v>28925627.489999998</v>
      </c>
      <c r="AE61" s="423">
        <f t="shared" si="4"/>
        <v>96959725.99000001</v>
      </c>
      <c r="AF61" s="423">
        <f t="shared" si="4"/>
        <v>26851220.516249999</v>
      </c>
    </row>
    <row r="62" spans="1:32">
      <c r="A62" s="35">
        <v>54</v>
      </c>
      <c r="C62" s="6" t="s">
        <v>1845</v>
      </c>
      <c r="D62" s="6" t="str">
        <f t="shared" si="5"/>
        <v>00048</v>
      </c>
      <c r="E62" s="423">
        <v>104619049.14</v>
      </c>
      <c r="F62" s="423">
        <v>77976433.870000005</v>
      </c>
      <c r="G62" s="423">
        <v>104881883.69</v>
      </c>
      <c r="H62" s="423">
        <v>78141018.370000005</v>
      </c>
      <c r="I62" s="423">
        <v>104901019.84999999</v>
      </c>
      <c r="J62" s="423">
        <v>78311095.030000001</v>
      </c>
      <c r="K62" s="423">
        <v>105286077.40000001</v>
      </c>
      <c r="L62" s="423">
        <v>78288688.239999995</v>
      </c>
      <c r="M62" s="423">
        <v>105312542.72</v>
      </c>
      <c r="N62" s="423">
        <v>78478882.959999993</v>
      </c>
      <c r="O62" s="423">
        <v>105514592.22</v>
      </c>
      <c r="P62" s="423">
        <v>78646841.200000003</v>
      </c>
      <c r="Q62" s="423">
        <v>106209913.69</v>
      </c>
      <c r="R62" s="423">
        <v>78604607.079999998</v>
      </c>
      <c r="S62" s="423">
        <v>106513976.93000001</v>
      </c>
      <c r="T62" s="423">
        <v>78786803.459999993</v>
      </c>
      <c r="U62" s="423">
        <v>106817882.7</v>
      </c>
      <c r="V62" s="423">
        <v>78940495.859999999</v>
      </c>
      <c r="W62" s="423">
        <v>108232058.02</v>
      </c>
      <c r="X62" s="423">
        <v>79115075.980000004</v>
      </c>
      <c r="Y62" s="423">
        <v>109521330.18000001</v>
      </c>
      <c r="Z62" s="423">
        <v>79301282.829999998</v>
      </c>
      <c r="AA62" s="423">
        <v>109710368.93000001</v>
      </c>
      <c r="AB62" s="423">
        <v>79470161.739999995</v>
      </c>
      <c r="AC62" s="423">
        <v>111111541.59</v>
      </c>
      <c r="AD62" s="423">
        <v>79550518.760000005</v>
      </c>
      <c r="AE62" s="423">
        <f t="shared" si="4"/>
        <v>106730578.47458334</v>
      </c>
      <c r="AF62" s="423">
        <f t="shared" si="4"/>
        <v>78737369.088750005</v>
      </c>
    </row>
    <row r="63" spans="1:32">
      <c r="A63" s="35">
        <v>55</v>
      </c>
      <c r="C63" s="6" t="s">
        <v>1846</v>
      </c>
      <c r="D63" s="6" t="str">
        <f t="shared" si="5"/>
        <v>00048</v>
      </c>
      <c r="E63" s="423">
        <v>2097766.77</v>
      </c>
      <c r="F63" s="423">
        <v>1351826.1</v>
      </c>
      <c r="G63" s="423">
        <v>2097766.77</v>
      </c>
      <c r="H63" s="423">
        <v>1354937.79</v>
      </c>
      <c r="I63" s="423">
        <v>2097766.77</v>
      </c>
      <c r="J63" s="423">
        <v>1358049.48</v>
      </c>
      <c r="K63" s="423">
        <v>2097766.77</v>
      </c>
      <c r="L63" s="423">
        <v>1361161.17</v>
      </c>
      <c r="M63" s="423">
        <v>2097766.77</v>
      </c>
      <c r="N63" s="423">
        <v>1364272.8599999999</v>
      </c>
      <c r="O63" s="423">
        <v>2097766.77</v>
      </c>
      <c r="P63" s="423">
        <v>1367384.55</v>
      </c>
      <c r="Q63" s="423">
        <v>2097766.77</v>
      </c>
      <c r="R63" s="423">
        <v>1370496.24</v>
      </c>
      <c r="S63" s="423">
        <v>2097766.77</v>
      </c>
      <c r="T63" s="423">
        <v>1373607.93</v>
      </c>
      <c r="U63" s="423">
        <v>2097766.77</v>
      </c>
      <c r="V63" s="423">
        <v>1376719.62</v>
      </c>
      <c r="W63" s="423">
        <v>2097766.77</v>
      </c>
      <c r="X63" s="423">
        <v>1379831.31</v>
      </c>
      <c r="Y63" s="423">
        <v>2097766.77</v>
      </c>
      <c r="Z63" s="423">
        <v>1382943</v>
      </c>
      <c r="AA63" s="423">
        <v>2097766.77</v>
      </c>
      <c r="AB63" s="423">
        <v>1386054.69</v>
      </c>
      <c r="AC63" s="423">
        <v>2097766.77</v>
      </c>
      <c r="AD63" s="423">
        <v>1389166.38</v>
      </c>
      <c r="AE63" s="423">
        <f t="shared" si="4"/>
        <v>2097766.77</v>
      </c>
      <c r="AF63" s="423">
        <f t="shared" si="4"/>
        <v>1370496.24</v>
      </c>
    </row>
    <row r="64" spans="1:32">
      <c r="A64" s="35">
        <v>56</v>
      </c>
      <c r="C64" s="6" t="s">
        <v>1847</v>
      </c>
      <c r="D64" s="6" t="str">
        <f t="shared" si="5"/>
        <v>00048</v>
      </c>
      <c r="E64" s="423">
        <v>17272773.109999999</v>
      </c>
      <c r="F64" s="423">
        <v>5498340.7800000003</v>
      </c>
      <c r="G64" s="423">
        <v>17266225.050000001</v>
      </c>
      <c r="H64" s="423">
        <v>5498798.8300000001</v>
      </c>
      <c r="I64" s="423">
        <v>17285504.41</v>
      </c>
      <c r="J64" s="423">
        <v>5526293.1600000001</v>
      </c>
      <c r="K64" s="423">
        <v>17593191.02</v>
      </c>
      <c r="L64" s="423">
        <v>5528884.4400000004</v>
      </c>
      <c r="M64" s="423">
        <v>19002153.670000002</v>
      </c>
      <c r="N64" s="423">
        <v>5550117.21</v>
      </c>
      <c r="O64" s="423">
        <v>18627223.870000001</v>
      </c>
      <c r="P64" s="423">
        <v>5600586.04</v>
      </c>
      <c r="Q64" s="423">
        <v>18642629.920000002</v>
      </c>
      <c r="R64" s="423">
        <v>5608774.54</v>
      </c>
      <c r="S64" s="423">
        <v>18649072.68</v>
      </c>
      <c r="T64" s="423">
        <v>5587676.0600000005</v>
      </c>
      <c r="U64" s="423">
        <v>18939081.23</v>
      </c>
      <c r="V64" s="423">
        <v>5608120.0999999996</v>
      </c>
      <c r="W64" s="423">
        <v>19089181.18</v>
      </c>
      <c r="X64" s="423">
        <v>5633017.4299999997</v>
      </c>
      <c r="Y64" s="423">
        <v>19094039.09</v>
      </c>
      <c r="Z64" s="423">
        <v>5646871.7699999996</v>
      </c>
      <c r="AA64" s="423">
        <v>19160722.449999999</v>
      </c>
      <c r="AB64" s="423">
        <v>5668925.6799999997</v>
      </c>
      <c r="AC64" s="423">
        <v>19408480.73</v>
      </c>
      <c r="AD64" s="423">
        <v>5699582.8399999999</v>
      </c>
      <c r="AE64" s="423">
        <f t="shared" si="4"/>
        <v>18474137.624166667</v>
      </c>
      <c r="AF64" s="423">
        <f t="shared" si="4"/>
        <v>5588085.5891666664</v>
      </c>
    </row>
    <row r="65" spans="1:32">
      <c r="A65" s="35">
        <v>57</v>
      </c>
      <c r="C65" s="6" t="s">
        <v>1848</v>
      </c>
      <c r="D65" s="6" t="str">
        <f t="shared" si="5"/>
        <v>00048</v>
      </c>
      <c r="E65" s="423">
        <v>96653910.25</v>
      </c>
      <c r="F65" s="423">
        <v>35585124.18</v>
      </c>
      <c r="G65" s="423">
        <v>97100135.989999995</v>
      </c>
      <c r="H65" s="423">
        <v>37759252.689999998</v>
      </c>
      <c r="I65" s="423">
        <v>97678453.129999995</v>
      </c>
      <c r="J65" s="423">
        <v>38068092.109999999</v>
      </c>
      <c r="K65" s="423">
        <v>98245523.709999993</v>
      </c>
      <c r="L65" s="423">
        <v>38332157.579999998</v>
      </c>
      <c r="M65" s="423">
        <v>98572544.659999996</v>
      </c>
      <c r="N65" s="423">
        <v>38643447.859999999</v>
      </c>
      <c r="O65" s="423">
        <v>99114618.930000007</v>
      </c>
      <c r="P65" s="423">
        <v>38954957.719999999</v>
      </c>
      <c r="Q65" s="423">
        <v>99721922.590000004</v>
      </c>
      <c r="R65" s="423">
        <v>39261725.060000002</v>
      </c>
      <c r="S65" s="423">
        <v>100039472.84999999</v>
      </c>
      <c r="T65" s="423">
        <v>39572790.329999998</v>
      </c>
      <c r="U65" s="423">
        <v>100674248.29000001</v>
      </c>
      <c r="V65" s="423">
        <v>39876481.789999999</v>
      </c>
      <c r="W65" s="423">
        <v>101124838.45</v>
      </c>
      <c r="X65" s="423">
        <v>40196912.469999999</v>
      </c>
      <c r="Y65" s="423">
        <v>101601738.56</v>
      </c>
      <c r="Z65" s="423">
        <v>40518400.5</v>
      </c>
      <c r="AA65" s="423">
        <v>102045253.23999999</v>
      </c>
      <c r="AB65" s="423">
        <v>40834111.810000002</v>
      </c>
      <c r="AC65" s="423">
        <v>103118408.27</v>
      </c>
      <c r="AD65" s="423">
        <v>41126803.579999998</v>
      </c>
      <c r="AE65" s="423">
        <f t="shared" si="4"/>
        <v>99650409.138333336</v>
      </c>
      <c r="AF65" s="423">
        <f t="shared" si="4"/>
        <v>39197857.81666667</v>
      </c>
    </row>
    <row r="66" spans="1:32">
      <c r="A66" s="35">
        <v>58</v>
      </c>
      <c r="C66" s="6" t="s">
        <v>1849</v>
      </c>
      <c r="D66" s="6" t="str">
        <f t="shared" si="5"/>
        <v>00048</v>
      </c>
      <c r="E66" s="423">
        <v>62682144.079999998</v>
      </c>
      <c r="F66" s="423">
        <v>90197398.549999997</v>
      </c>
      <c r="G66" s="423">
        <v>62676251.93</v>
      </c>
      <c r="H66" s="423">
        <v>90308243.879999995</v>
      </c>
      <c r="I66" s="423">
        <v>62671819.130000003</v>
      </c>
      <c r="J66" s="423">
        <v>90424601.980000004</v>
      </c>
      <c r="K66" s="423">
        <v>62631056.32</v>
      </c>
      <c r="L66" s="423">
        <v>90416027.969999999</v>
      </c>
      <c r="M66" s="423">
        <v>62635881.340000004</v>
      </c>
      <c r="N66" s="423">
        <v>90550565.489999995</v>
      </c>
      <c r="O66" s="423">
        <v>62655086.25</v>
      </c>
      <c r="P66" s="423">
        <v>90682565.650000006</v>
      </c>
      <c r="Q66" s="423">
        <v>62601366.740000002</v>
      </c>
      <c r="R66" s="423">
        <v>90751438.930000007</v>
      </c>
      <c r="S66" s="423">
        <v>62593850.630000003</v>
      </c>
      <c r="T66" s="423">
        <v>90867785.560000002</v>
      </c>
      <c r="U66" s="423">
        <v>62579065.420000002</v>
      </c>
      <c r="V66" s="423">
        <v>90958949.069999993</v>
      </c>
      <c r="W66" s="423">
        <v>62517414.43</v>
      </c>
      <c r="X66" s="423">
        <v>90893055.010000005</v>
      </c>
      <c r="Y66" s="423">
        <v>62498182.07</v>
      </c>
      <c r="Z66" s="423">
        <v>91001452.140000001</v>
      </c>
      <c r="AA66" s="423">
        <v>62511307.030000001</v>
      </c>
      <c r="AB66" s="423">
        <v>91089817.930000007</v>
      </c>
      <c r="AC66" s="423">
        <v>62481619.82</v>
      </c>
      <c r="AD66" s="423">
        <v>91189844.709999993</v>
      </c>
      <c r="AE66" s="423">
        <f t="shared" si="4"/>
        <v>62596096.936666675</v>
      </c>
      <c r="AF66" s="423">
        <f t="shared" si="4"/>
        <v>90719843.769999981</v>
      </c>
    </row>
    <row r="67" spans="1:32">
      <c r="A67" s="35">
        <v>59</v>
      </c>
      <c r="C67" s="6" t="s">
        <v>1850</v>
      </c>
      <c r="D67" s="6" t="str">
        <f t="shared" si="5"/>
        <v>00048</v>
      </c>
      <c r="E67" s="423">
        <v>0</v>
      </c>
      <c r="F67" s="423">
        <v>0.01</v>
      </c>
      <c r="G67" s="423">
        <v>0</v>
      </c>
      <c r="H67" s="423">
        <v>0</v>
      </c>
      <c r="I67" s="423">
        <v>0</v>
      </c>
      <c r="J67" s="423">
        <v>0</v>
      </c>
      <c r="K67" s="423">
        <v>0</v>
      </c>
      <c r="L67" s="423">
        <v>0</v>
      </c>
      <c r="M67" s="423">
        <v>84.22</v>
      </c>
      <c r="N67" s="423">
        <v>0</v>
      </c>
      <c r="O67" s="423">
        <v>266.74</v>
      </c>
      <c r="P67" s="423">
        <v>0</v>
      </c>
      <c r="Q67" s="423">
        <v>8.2900000000000009</v>
      </c>
      <c r="R67" s="423">
        <v>0</v>
      </c>
      <c r="S67" s="423">
        <v>8.2900000000000009</v>
      </c>
      <c r="T67" s="423">
        <v>0</v>
      </c>
      <c r="U67" s="423">
        <v>8.2900000000000009</v>
      </c>
      <c r="V67" s="423">
        <v>0</v>
      </c>
      <c r="W67" s="423">
        <v>0</v>
      </c>
      <c r="X67" s="423">
        <v>0</v>
      </c>
      <c r="Y67" s="423">
        <v>0</v>
      </c>
      <c r="Z67" s="423">
        <v>0</v>
      </c>
      <c r="AA67" s="423">
        <v>0</v>
      </c>
      <c r="AB67" s="423">
        <v>0</v>
      </c>
      <c r="AC67" s="423">
        <v>0</v>
      </c>
      <c r="AD67" s="423">
        <v>0</v>
      </c>
      <c r="AE67" s="423">
        <f t="shared" si="4"/>
        <v>31.319166666666675</v>
      </c>
      <c r="AF67" s="423">
        <f t="shared" si="4"/>
        <v>4.1666666666666669E-4</v>
      </c>
    </row>
    <row r="68" spans="1:32">
      <c r="A68" s="35">
        <v>60</v>
      </c>
      <c r="C68" s="6" t="s">
        <v>1851</v>
      </c>
      <c r="D68" s="6" t="str">
        <f t="shared" si="5"/>
        <v>00048</v>
      </c>
      <c r="E68" s="423">
        <v>22396766.760000002</v>
      </c>
      <c r="F68" s="423">
        <v>10064163.189999999</v>
      </c>
      <c r="G68" s="423">
        <v>22422726.420000002</v>
      </c>
      <c r="H68" s="423">
        <v>10089605.369999999</v>
      </c>
      <c r="I68" s="423">
        <v>22477744.91</v>
      </c>
      <c r="J68" s="423">
        <v>10123556.560000001</v>
      </c>
      <c r="K68" s="423">
        <v>22505631.300000001</v>
      </c>
      <c r="L68" s="423">
        <v>10156190.449999999</v>
      </c>
      <c r="M68" s="423">
        <v>22545845.949999999</v>
      </c>
      <c r="N68" s="423">
        <v>10188689.130000001</v>
      </c>
      <c r="O68" s="423">
        <v>22563095.640000001</v>
      </c>
      <c r="P68" s="423">
        <v>10216471.189999999</v>
      </c>
      <c r="Q68" s="423">
        <v>22573355.190000001</v>
      </c>
      <c r="R68" s="423">
        <v>10242765.01</v>
      </c>
      <c r="S68" s="423">
        <v>22601346.260000002</v>
      </c>
      <c r="T68" s="423">
        <v>10271850.640000001</v>
      </c>
      <c r="U68" s="423">
        <v>22639692.629999999</v>
      </c>
      <c r="V68" s="423">
        <v>10303384.59</v>
      </c>
      <c r="W68" s="423">
        <v>22684900.82</v>
      </c>
      <c r="X68" s="423">
        <v>10337027.880000001</v>
      </c>
      <c r="Y68" s="423">
        <v>22735612.050000001</v>
      </c>
      <c r="Z68" s="423">
        <v>10371238.060000001</v>
      </c>
      <c r="AA68" s="423">
        <v>22771682.199999999</v>
      </c>
      <c r="AB68" s="423">
        <v>10392819.869999999</v>
      </c>
      <c r="AC68" s="423">
        <v>22894603.239999998</v>
      </c>
      <c r="AD68" s="423">
        <v>10424710.199999999</v>
      </c>
      <c r="AE68" s="423">
        <f t="shared" si="4"/>
        <v>22597276.530833334</v>
      </c>
      <c r="AF68" s="423">
        <f t="shared" si="4"/>
        <v>10244836.287083333</v>
      </c>
    </row>
    <row r="69" spans="1:32">
      <c r="A69" s="35">
        <v>61</v>
      </c>
      <c r="C69" s="6" t="s">
        <v>1852</v>
      </c>
      <c r="D69" s="6" t="str">
        <f t="shared" si="5"/>
        <v>00048</v>
      </c>
      <c r="E69" s="423">
        <v>7893079.4900000002</v>
      </c>
      <c r="F69" s="423">
        <v>3461142.49</v>
      </c>
      <c r="G69" s="423">
        <v>7898819.6699999999</v>
      </c>
      <c r="H69" s="423">
        <v>3475341.77</v>
      </c>
      <c r="I69" s="423">
        <v>7906988.7000000002</v>
      </c>
      <c r="J69" s="423">
        <v>3489691.29</v>
      </c>
      <c r="K69" s="423">
        <v>7906423.9800000004</v>
      </c>
      <c r="L69" s="423">
        <v>3501688.89</v>
      </c>
      <c r="M69" s="423">
        <v>7952697.8499999996</v>
      </c>
      <c r="N69" s="423">
        <v>3516639.6</v>
      </c>
      <c r="O69" s="423">
        <v>7955859.4000000004</v>
      </c>
      <c r="P69" s="423">
        <v>3531263.85</v>
      </c>
      <c r="Q69" s="423">
        <v>7970526.0099999998</v>
      </c>
      <c r="R69" s="423">
        <v>3546255.4</v>
      </c>
      <c r="S69" s="423">
        <v>7983826.5</v>
      </c>
      <c r="T69" s="423">
        <v>3564945.13</v>
      </c>
      <c r="U69" s="423">
        <v>7993577.25</v>
      </c>
      <c r="V69" s="423">
        <v>3563768.7199999997</v>
      </c>
      <c r="W69" s="423">
        <v>8053174.6200000001</v>
      </c>
      <c r="X69" s="423">
        <v>3570588.37</v>
      </c>
      <c r="Y69" s="423">
        <v>8107872.7300000004</v>
      </c>
      <c r="Z69" s="423">
        <v>3585218.3</v>
      </c>
      <c r="AA69" s="423">
        <v>8155184.9199999999</v>
      </c>
      <c r="AB69" s="423">
        <v>3608551.79</v>
      </c>
      <c r="AC69" s="423">
        <v>8205835.1900000004</v>
      </c>
      <c r="AD69" s="423">
        <v>3618348.63</v>
      </c>
      <c r="AE69" s="423">
        <f t="shared" si="4"/>
        <v>7994534.0808333345</v>
      </c>
      <c r="AF69" s="423">
        <f t="shared" si="4"/>
        <v>3541141.5558333336</v>
      </c>
    </row>
    <row r="70" spans="1:32">
      <c r="A70" s="35">
        <v>62</v>
      </c>
      <c r="C70" s="6" t="s">
        <v>1853</v>
      </c>
      <c r="D70" s="6" t="str">
        <f t="shared" si="5"/>
        <v>00048</v>
      </c>
      <c r="E70" s="423">
        <v>0</v>
      </c>
      <c r="F70" s="423">
        <v>-305.76</v>
      </c>
      <c r="G70" s="423">
        <v>0</v>
      </c>
      <c r="H70" s="423">
        <v>-305.76</v>
      </c>
      <c r="I70" s="423">
        <v>0</v>
      </c>
      <c r="J70" s="423">
        <v>-305.76</v>
      </c>
      <c r="K70" s="423">
        <v>0</v>
      </c>
      <c r="L70" s="423">
        <v>-305.76</v>
      </c>
      <c r="M70" s="423">
        <v>0</v>
      </c>
      <c r="N70" s="423">
        <v>-305.76</v>
      </c>
      <c r="O70" s="423">
        <v>0</v>
      </c>
      <c r="P70" s="423">
        <v>-305.76</v>
      </c>
      <c r="Q70" s="423">
        <v>0</v>
      </c>
      <c r="R70" s="423">
        <v>-305.76</v>
      </c>
      <c r="S70" s="423">
        <v>0</v>
      </c>
      <c r="T70" s="423">
        <v>-305.76</v>
      </c>
      <c r="U70" s="423">
        <v>0</v>
      </c>
      <c r="V70" s="423">
        <v>-305.76</v>
      </c>
      <c r="W70" s="423">
        <v>0</v>
      </c>
      <c r="X70" s="423">
        <v>-305.76</v>
      </c>
      <c r="Y70" s="423">
        <v>0</v>
      </c>
      <c r="Z70" s="423">
        <v>-305.76</v>
      </c>
      <c r="AA70" s="423">
        <v>0</v>
      </c>
      <c r="AB70" s="423">
        <v>-305.76</v>
      </c>
      <c r="AC70" s="423">
        <v>0</v>
      </c>
      <c r="AD70" s="423">
        <v>-305.76</v>
      </c>
      <c r="AE70" s="423">
        <f t="shared" si="4"/>
        <v>0</v>
      </c>
      <c r="AF70" s="423">
        <f t="shared" si="4"/>
        <v>-305.76000000000005</v>
      </c>
    </row>
    <row r="71" spans="1:32">
      <c r="A71" s="35">
        <v>63</v>
      </c>
      <c r="C71" s="6" t="s">
        <v>1854</v>
      </c>
      <c r="D71" s="6" t="str">
        <f t="shared" si="5"/>
        <v>00048</v>
      </c>
      <c r="E71" s="423">
        <v>2020069.02</v>
      </c>
      <c r="F71" s="423">
        <v>0</v>
      </c>
      <c r="G71" s="423">
        <v>2020069.02</v>
      </c>
      <c r="H71" s="423">
        <v>0</v>
      </c>
      <c r="I71" s="423">
        <v>2020069.02</v>
      </c>
      <c r="J71" s="423">
        <v>0</v>
      </c>
      <c r="K71" s="423">
        <v>2020069.02</v>
      </c>
      <c r="L71" s="423">
        <v>0</v>
      </c>
      <c r="M71" s="423">
        <v>2020069.02</v>
      </c>
      <c r="N71" s="423">
        <v>0</v>
      </c>
      <c r="O71" s="423">
        <v>2020069.02</v>
      </c>
      <c r="P71" s="423">
        <v>0</v>
      </c>
      <c r="Q71" s="423">
        <v>2020069.02</v>
      </c>
      <c r="R71" s="423">
        <v>0</v>
      </c>
      <c r="S71" s="423">
        <v>2020069.02</v>
      </c>
      <c r="T71" s="423">
        <v>0</v>
      </c>
      <c r="U71" s="423">
        <v>2020069.02</v>
      </c>
      <c r="V71" s="423">
        <v>0</v>
      </c>
      <c r="W71" s="423">
        <v>2020069.02</v>
      </c>
      <c r="X71" s="423">
        <v>0</v>
      </c>
      <c r="Y71" s="423">
        <v>2020069.02</v>
      </c>
      <c r="Z71" s="423">
        <v>0</v>
      </c>
      <c r="AA71" s="423">
        <v>2020069.02</v>
      </c>
      <c r="AB71" s="423">
        <v>0</v>
      </c>
      <c r="AC71" s="423">
        <v>2020069.02</v>
      </c>
      <c r="AD71" s="423">
        <v>0</v>
      </c>
      <c r="AE71" s="423">
        <f t="shared" si="4"/>
        <v>2020069.0199999998</v>
      </c>
      <c r="AF71" s="423">
        <f t="shared" si="4"/>
        <v>0</v>
      </c>
    </row>
    <row r="72" spans="1:32">
      <c r="A72" s="35">
        <v>64</v>
      </c>
      <c r="C72" s="6" t="s">
        <v>1855</v>
      </c>
      <c r="D72" s="6" t="str">
        <f t="shared" si="5"/>
        <v>00048</v>
      </c>
      <c r="E72" s="423">
        <v>0</v>
      </c>
      <c r="F72" s="423">
        <v>4703.88</v>
      </c>
      <c r="G72" s="423">
        <v>0</v>
      </c>
      <c r="H72" s="423">
        <v>4703.88</v>
      </c>
      <c r="I72" s="423">
        <v>0</v>
      </c>
      <c r="J72" s="423">
        <v>4703.88</v>
      </c>
      <c r="K72" s="423">
        <v>0</v>
      </c>
      <c r="L72" s="423">
        <v>4703.88</v>
      </c>
      <c r="M72" s="423">
        <v>0</v>
      </c>
      <c r="N72" s="423">
        <v>4703.88</v>
      </c>
      <c r="O72" s="423">
        <v>0</v>
      </c>
      <c r="P72" s="423">
        <v>4703.88</v>
      </c>
      <c r="Q72" s="423">
        <v>7933.28</v>
      </c>
      <c r="R72" s="423">
        <v>4703.88</v>
      </c>
      <c r="S72" s="423">
        <v>7933.28</v>
      </c>
      <c r="T72" s="423">
        <v>4703.88</v>
      </c>
      <c r="U72" s="423">
        <v>7933.28</v>
      </c>
      <c r="V72" s="423">
        <v>4703.88</v>
      </c>
      <c r="W72" s="423">
        <v>7933.28</v>
      </c>
      <c r="X72" s="423">
        <v>4703.88</v>
      </c>
      <c r="Y72" s="423">
        <v>7933.28</v>
      </c>
      <c r="Z72" s="423">
        <v>4703.88</v>
      </c>
      <c r="AA72" s="423">
        <v>7933.28</v>
      </c>
      <c r="AB72" s="423">
        <v>4703.88</v>
      </c>
      <c r="AC72" s="423">
        <v>7933.28</v>
      </c>
      <c r="AD72" s="423">
        <v>4703.88</v>
      </c>
      <c r="AE72" s="423">
        <f t="shared" si="4"/>
        <v>4297.1933333333336</v>
      </c>
      <c r="AF72" s="423">
        <f t="shared" si="4"/>
        <v>4703.8799999999992</v>
      </c>
    </row>
    <row r="73" spans="1:32">
      <c r="A73" s="35">
        <v>65</v>
      </c>
      <c r="C73" s="6" t="s">
        <v>1856</v>
      </c>
      <c r="D73" s="6" t="str">
        <f t="shared" si="5"/>
        <v>00048</v>
      </c>
      <c r="E73" s="423">
        <v>9058502.9499999993</v>
      </c>
      <c r="F73" s="423">
        <v>4768990.34</v>
      </c>
      <c r="G73" s="423">
        <v>9061443.8399999999</v>
      </c>
      <c r="H73" s="423">
        <v>4778350.79</v>
      </c>
      <c r="I73" s="423">
        <v>9088752.9399999995</v>
      </c>
      <c r="J73" s="423">
        <v>4787714.28</v>
      </c>
      <c r="K73" s="423">
        <v>9088752.9399999995</v>
      </c>
      <c r="L73" s="423">
        <v>4797105.99</v>
      </c>
      <c r="M73" s="423">
        <v>9089973.9100000001</v>
      </c>
      <c r="N73" s="423">
        <v>4806497.7</v>
      </c>
      <c r="O73" s="423">
        <v>9089973.9100000001</v>
      </c>
      <c r="P73" s="423">
        <v>4815890.67</v>
      </c>
      <c r="Q73" s="423">
        <v>9089973.9100000001</v>
      </c>
      <c r="R73" s="423">
        <v>4825283.6399999997</v>
      </c>
      <c r="S73" s="423">
        <v>9089973.9100000001</v>
      </c>
      <c r="T73" s="423">
        <v>4834676.6100000003</v>
      </c>
      <c r="U73" s="423">
        <v>9089973.9100000001</v>
      </c>
      <c r="V73" s="423">
        <v>4844069.58</v>
      </c>
      <c r="W73" s="423">
        <v>9089973.9100000001</v>
      </c>
      <c r="X73" s="423">
        <v>4853462.55</v>
      </c>
      <c r="Y73" s="423">
        <v>9114642.0399999991</v>
      </c>
      <c r="Z73" s="423">
        <v>4862855.5199999996</v>
      </c>
      <c r="AA73" s="423">
        <v>9114642.0399999991</v>
      </c>
      <c r="AB73" s="423">
        <v>4872273.9800000004</v>
      </c>
      <c r="AC73" s="423">
        <v>9154112.3399999999</v>
      </c>
      <c r="AD73" s="423">
        <v>4881692.4400000004</v>
      </c>
      <c r="AE73" s="423">
        <f t="shared" si="4"/>
        <v>9092865.4087499958</v>
      </c>
      <c r="AF73" s="423">
        <f t="shared" si="4"/>
        <v>4825293.5583333336</v>
      </c>
    </row>
    <row r="74" spans="1:32">
      <c r="A74" s="35">
        <v>66</v>
      </c>
      <c r="C74" s="6" t="s">
        <v>1857</v>
      </c>
      <c r="D74" s="6" t="str">
        <f t="shared" si="5"/>
        <v>00048</v>
      </c>
      <c r="E74" s="423">
        <v>156603.45000000001</v>
      </c>
      <c r="F74" s="423">
        <v>49359.15</v>
      </c>
      <c r="G74" s="423">
        <v>111436.64</v>
      </c>
      <c r="H74" s="423">
        <v>6459.17</v>
      </c>
      <c r="I74" s="423">
        <v>111436.64</v>
      </c>
      <c r="J74" s="423">
        <v>8072.22</v>
      </c>
      <c r="K74" s="423">
        <v>108088.64</v>
      </c>
      <c r="L74" s="423">
        <v>6337.27</v>
      </c>
      <c r="M74" s="423">
        <v>108088.64</v>
      </c>
      <c r="N74" s="423">
        <v>7901.85</v>
      </c>
      <c r="O74" s="423">
        <v>109957.52</v>
      </c>
      <c r="P74" s="423">
        <v>9466.43</v>
      </c>
      <c r="Q74" s="423">
        <v>98185.52</v>
      </c>
      <c r="R74" s="423">
        <v>-713.93000000000006</v>
      </c>
      <c r="S74" s="423">
        <v>98185.52</v>
      </c>
      <c r="T74" s="423">
        <v>707.31000000000006</v>
      </c>
      <c r="U74" s="423">
        <v>98185.52</v>
      </c>
      <c r="V74" s="423">
        <v>2128.5500000000002</v>
      </c>
      <c r="W74" s="423">
        <v>98185.52</v>
      </c>
      <c r="X74" s="423">
        <v>3549.79</v>
      </c>
      <c r="Y74" s="423">
        <v>98185.52</v>
      </c>
      <c r="Z74" s="423">
        <v>4971.03</v>
      </c>
      <c r="AA74" s="423">
        <v>98185.52</v>
      </c>
      <c r="AB74" s="423">
        <v>6392.27</v>
      </c>
      <c r="AC74" s="423">
        <v>98185.52</v>
      </c>
      <c r="AD74" s="423">
        <v>7813.51</v>
      </c>
      <c r="AE74" s="423">
        <f t="shared" si="4"/>
        <v>105459.64041666668</v>
      </c>
      <c r="AF74" s="423">
        <f t="shared" si="4"/>
        <v>6988.190833333334</v>
      </c>
    </row>
    <row r="75" spans="1:32">
      <c r="A75" s="35">
        <v>67</v>
      </c>
      <c r="C75" s="6" t="s">
        <v>1858</v>
      </c>
      <c r="D75" s="6" t="str">
        <f t="shared" si="5"/>
        <v>00048</v>
      </c>
      <c r="E75" s="423">
        <v>405458.97000000003</v>
      </c>
      <c r="F75" s="423">
        <v>78546.759999999995</v>
      </c>
      <c r="G75" s="423">
        <v>390507.36</v>
      </c>
      <c r="H75" s="423">
        <v>65277.8</v>
      </c>
      <c r="I75" s="423">
        <v>390507.36</v>
      </c>
      <c r="J75" s="423">
        <v>66898.41</v>
      </c>
      <c r="K75" s="423">
        <v>390507.36</v>
      </c>
      <c r="L75" s="423">
        <v>68519.02</v>
      </c>
      <c r="M75" s="423">
        <v>390507.36</v>
      </c>
      <c r="N75" s="423">
        <v>70139.63</v>
      </c>
      <c r="O75" s="423">
        <v>390507.36</v>
      </c>
      <c r="P75" s="423">
        <v>71760.240000000005</v>
      </c>
      <c r="Q75" s="423">
        <v>416985.31</v>
      </c>
      <c r="R75" s="423">
        <v>73078.86</v>
      </c>
      <c r="S75" s="423">
        <v>416985.31</v>
      </c>
      <c r="T75" s="423">
        <v>74809.350000000006</v>
      </c>
      <c r="U75" s="423">
        <v>416985.31</v>
      </c>
      <c r="V75" s="423">
        <v>76539.839999999997</v>
      </c>
      <c r="W75" s="423">
        <v>416985.31</v>
      </c>
      <c r="X75" s="423">
        <v>78270.33</v>
      </c>
      <c r="Y75" s="423">
        <v>416985.31</v>
      </c>
      <c r="Z75" s="423">
        <v>80000.820000000007</v>
      </c>
      <c r="AA75" s="423">
        <v>416985.31</v>
      </c>
      <c r="AB75" s="423">
        <v>81731.31</v>
      </c>
      <c r="AC75" s="423">
        <v>416985.31</v>
      </c>
      <c r="AD75" s="423">
        <v>83461.8</v>
      </c>
      <c r="AE75" s="423">
        <f t="shared" si="4"/>
        <v>405472.56666666665</v>
      </c>
      <c r="AF75" s="423">
        <f t="shared" si="4"/>
        <v>74002.490833333344</v>
      </c>
    </row>
    <row r="76" spans="1:32">
      <c r="A76" s="35">
        <v>68</v>
      </c>
      <c r="C76" s="6" t="s">
        <v>1859</v>
      </c>
      <c r="D76" s="6" t="str">
        <f t="shared" si="5"/>
        <v>00048</v>
      </c>
      <c r="E76" s="423">
        <v>229070.62</v>
      </c>
      <c r="F76" s="423">
        <v>97535.14</v>
      </c>
      <c r="G76" s="423">
        <v>229070.62</v>
      </c>
      <c r="H76" s="423">
        <v>98136.45</v>
      </c>
      <c r="I76" s="423">
        <v>229070.62</v>
      </c>
      <c r="J76" s="423">
        <v>98737.760000000009</v>
      </c>
      <c r="K76" s="423">
        <v>229070.62</v>
      </c>
      <c r="L76" s="423">
        <v>99339.07</v>
      </c>
      <c r="M76" s="423">
        <v>229070.62</v>
      </c>
      <c r="N76" s="423">
        <v>99940.38</v>
      </c>
      <c r="O76" s="423">
        <v>229070.62</v>
      </c>
      <c r="P76" s="423">
        <v>100541.69</v>
      </c>
      <c r="Q76" s="423">
        <v>229070.62</v>
      </c>
      <c r="R76" s="423">
        <v>101143</v>
      </c>
      <c r="S76" s="423">
        <v>229070.62</v>
      </c>
      <c r="T76" s="423">
        <v>101744.31</v>
      </c>
      <c r="U76" s="423">
        <v>229070.62</v>
      </c>
      <c r="V76" s="423">
        <v>102345.62</v>
      </c>
      <c r="W76" s="423">
        <v>213725.31</v>
      </c>
      <c r="X76" s="423">
        <v>87601.62</v>
      </c>
      <c r="Y76" s="423">
        <v>213725.31</v>
      </c>
      <c r="Z76" s="423">
        <v>88162.650000000009</v>
      </c>
      <c r="AA76" s="423">
        <v>213725.31</v>
      </c>
      <c r="AB76" s="423">
        <v>88723.680000000008</v>
      </c>
      <c r="AC76" s="423">
        <v>213725.31</v>
      </c>
      <c r="AD76" s="423">
        <v>89284.71</v>
      </c>
      <c r="AE76" s="423">
        <f t="shared" si="4"/>
        <v>224594.90458333338</v>
      </c>
      <c r="AF76" s="423">
        <f t="shared" si="4"/>
        <v>96652.17958333336</v>
      </c>
    </row>
    <row r="77" spans="1:32">
      <c r="A77" s="35">
        <v>69</v>
      </c>
      <c r="C77" s="6" t="s">
        <v>1860</v>
      </c>
      <c r="D77" s="6" t="str">
        <f t="shared" si="5"/>
        <v>00048</v>
      </c>
      <c r="E77" s="423">
        <v>8760593.6600000001</v>
      </c>
      <c r="F77" s="423">
        <v>3138126.48</v>
      </c>
      <c r="G77" s="423">
        <v>8818649.2400000002</v>
      </c>
      <c r="H77" s="423">
        <v>3183024.52</v>
      </c>
      <c r="I77" s="423">
        <v>8868940.7200000007</v>
      </c>
      <c r="J77" s="423">
        <v>3211362</v>
      </c>
      <c r="K77" s="423">
        <v>8750125.9000000004</v>
      </c>
      <c r="L77" s="423">
        <v>3113550.25</v>
      </c>
      <c r="M77" s="423">
        <v>8805451.2899999991</v>
      </c>
      <c r="N77" s="423">
        <v>3111198.95</v>
      </c>
      <c r="O77" s="423">
        <v>8921776.3699999992</v>
      </c>
      <c r="P77" s="423">
        <v>3166426.89</v>
      </c>
      <c r="Q77" s="423">
        <v>9083479.9000000004</v>
      </c>
      <c r="R77" s="423">
        <v>3212503.31</v>
      </c>
      <c r="S77" s="423">
        <v>9223031.8399999999</v>
      </c>
      <c r="T77" s="423">
        <v>3242782.82</v>
      </c>
      <c r="U77" s="423">
        <v>9494482.4299999997</v>
      </c>
      <c r="V77" s="423">
        <v>3270750.74</v>
      </c>
      <c r="W77" s="423">
        <v>9417208.1799999997</v>
      </c>
      <c r="X77" s="423">
        <v>3263819.7800000003</v>
      </c>
      <c r="Y77" s="423">
        <v>9352511.5899999999</v>
      </c>
      <c r="Z77" s="423">
        <v>3274068.69</v>
      </c>
      <c r="AA77" s="423">
        <v>9460510.1699999999</v>
      </c>
      <c r="AB77" s="423">
        <v>3314102.13</v>
      </c>
      <c r="AC77" s="423">
        <v>9743723.7799999993</v>
      </c>
      <c r="AD77" s="423">
        <v>3362587.25</v>
      </c>
      <c r="AE77" s="423">
        <f t="shared" si="4"/>
        <v>9120693.8625000007</v>
      </c>
      <c r="AF77" s="423">
        <f t="shared" si="4"/>
        <v>3217828.9120833334</v>
      </c>
    </row>
    <row r="78" spans="1:32">
      <c r="A78" s="35">
        <v>70</v>
      </c>
      <c r="C78" s="6" t="s">
        <v>1861</v>
      </c>
      <c r="D78" s="6" t="str">
        <f t="shared" si="5"/>
        <v>00048</v>
      </c>
      <c r="E78" s="423">
        <v>23837.02</v>
      </c>
      <c r="F78" s="423">
        <v>7873.37</v>
      </c>
      <c r="G78" s="423">
        <v>23837.02</v>
      </c>
      <c r="H78" s="423">
        <v>7979.4400000000005</v>
      </c>
      <c r="I78" s="423">
        <v>23837.02</v>
      </c>
      <c r="J78" s="423">
        <v>8085.51</v>
      </c>
      <c r="K78" s="423">
        <v>23837.02</v>
      </c>
      <c r="L78" s="423">
        <v>8191.58</v>
      </c>
      <c r="M78" s="423">
        <v>23837.02</v>
      </c>
      <c r="N78" s="423">
        <v>8297.65</v>
      </c>
      <c r="O78" s="423">
        <v>23837.02</v>
      </c>
      <c r="P78" s="423">
        <v>8403.7199999999993</v>
      </c>
      <c r="Q78" s="423">
        <v>23837.02</v>
      </c>
      <c r="R78" s="423">
        <v>8509.7900000000009</v>
      </c>
      <c r="S78" s="423">
        <v>23837.02</v>
      </c>
      <c r="T78" s="423">
        <v>8615.86</v>
      </c>
      <c r="U78" s="423">
        <v>23837.02</v>
      </c>
      <c r="V78" s="423">
        <v>8721.93</v>
      </c>
      <c r="W78" s="423">
        <v>23837.02</v>
      </c>
      <c r="X78" s="423">
        <v>8828</v>
      </c>
      <c r="Y78" s="423">
        <v>23837.02</v>
      </c>
      <c r="Z78" s="423">
        <v>8934.07</v>
      </c>
      <c r="AA78" s="423">
        <v>23837.02</v>
      </c>
      <c r="AB78" s="423">
        <v>9040.14</v>
      </c>
      <c r="AC78" s="423">
        <v>23837.02</v>
      </c>
      <c r="AD78" s="423">
        <v>9146.2100000000009</v>
      </c>
      <c r="AE78" s="423">
        <f t="shared" si="4"/>
        <v>23837.02</v>
      </c>
      <c r="AF78" s="423">
        <f t="shared" si="4"/>
        <v>8509.7900000000009</v>
      </c>
    </row>
    <row r="79" spans="1:32">
      <c r="A79" s="35">
        <v>71</v>
      </c>
      <c r="C79" s="6" t="s">
        <v>1862</v>
      </c>
      <c r="D79" s="6" t="str">
        <f t="shared" si="5"/>
        <v>00048</v>
      </c>
      <c r="E79" s="423">
        <v>3971799.3200000003</v>
      </c>
      <c r="F79" s="423">
        <v>1312806.96</v>
      </c>
      <c r="G79" s="423">
        <v>3863493.63</v>
      </c>
      <c r="H79" s="423">
        <v>1194522.3</v>
      </c>
      <c r="I79" s="423">
        <v>3878926.6</v>
      </c>
      <c r="J79" s="423">
        <v>1205984</v>
      </c>
      <c r="K79" s="423">
        <v>3849269.2199999997</v>
      </c>
      <c r="L79" s="423">
        <v>1142869.51</v>
      </c>
      <c r="M79" s="423">
        <v>3872066.56</v>
      </c>
      <c r="N79" s="423">
        <v>1154589.01</v>
      </c>
      <c r="O79" s="423">
        <v>3874271.3</v>
      </c>
      <c r="P79" s="423">
        <v>1166076.1400000001</v>
      </c>
      <c r="Q79" s="423">
        <v>3850816.8</v>
      </c>
      <c r="R79" s="423">
        <v>1141452.55</v>
      </c>
      <c r="S79" s="423">
        <v>3849567.26</v>
      </c>
      <c r="T79" s="423">
        <v>1152876.6400000001</v>
      </c>
      <c r="U79" s="423">
        <v>3894827.79</v>
      </c>
      <c r="V79" s="423">
        <v>1164297.02</v>
      </c>
      <c r="W79" s="423">
        <v>3936679.34</v>
      </c>
      <c r="X79" s="423">
        <v>1175851.68</v>
      </c>
      <c r="Y79" s="423">
        <v>4028179.52</v>
      </c>
      <c r="Z79" s="423">
        <v>1187530.5</v>
      </c>
      <c r="AA79" s="423">
        <v>4030331.48</v>
      </c>
      <c r="AB79" s="423">
        <v>1199480.77</v>
      </c>
      <c r="AC79" s="423">
        <v>4107335.77</v>
      </c>
      <c r="AD79" s="423">
        <v>1211437.42</v>
      </c>
      <c r="AE79" s="423">
        <f t="shared" si="4"/>
        <v>3913999.7537500001</v>
      </c>
      <c r="AF79" s="423">
        <f t="shared" si="4"/>
        <v>1178971.0258333331</v>
      </c>
    </row>
    <row r="80" spans="1:32">
      <c r="A80" s="35">
        <v>72</v>
      </c>
      <c r="C80" s="6" t="s">
        <v>1863</v>
      </c>
      <c r="D80" s="6" t="str">
        <f t="shared" si="5"/>
        <v>00048</v>
      </c>
      <c r="E80" s="423">
        <v>127444.74</v>
      </c>
      <c r="F80" s="423">
        <v>113108.3</v>
      </c>
      <c r="G80" s="423">
        <v>127444.74</v>
      </c>
      <c r="H80" s="423">
        <v>113303.72</v>
      </c>
      <c r="I80" s="423">
        <v>127444.74</v>
      </c>
      <c r="J80" s="423">
        <v>113499.14</v>
      </c>
      <c r="K80" s="423">
        <v>127444.74</v>
      </c>
      <c r="L80" s="423">
        <v>113694.56</v>
      </c>
      <c r="M80" s="423">
        <v>127444.74</v>
      </c>
      <c r="N80" s="423">
        <v>113889.98</v>
      </c>
      <c r="O80" s="423">
        <v>127444.74</v>
      </c>
      <c r="P80" s="423">
        <v>114085.40000000001</v>
      </c>
      <c r="Q80" s="423">
        <v>127444.74</v>
      </c>
      <c r="R80" s="423">
        <v>114280.82</v>
      </c>
      <c r="S80" s="423">
        <v>127444.74</v>
      </c>
      <c r="T80" s="423">
        <v>114476.24</v>
      </c>
      <c r="U80" s="423">
        <v>127444.74</v>
      </c>
      <c r="V80" s="423">
        <v>114671.66</v>
      </c>
      <c r="W80" s="423">
        <v>127444.74</v>
      </c>
      <c r="X80" s="423">
        <v>114867.08</v>
      </c>
      <c r="Y80" s="423">
        <v>127444.74</v>
      </c>
      <c r="Z80" s="423">
        <v>115062.5</v>
      </c>
      <c r="AA80" s="423">
        <v>131231.01999999999</v>
      </c>
      <c r="AB80" s="423">
        <v>115257.92</v>
      </c>
      <c r="AC80" s="423">
        <v>131231.01999999999</v>
      </c>
      <c r="AD80" s="423">
        <v>115459.14</v>
      </c>
      <c r="AE80" s="423">
        <f t="shared" si="4"/>
        <v>127918.02500000002</v>
      </c>
      <c r="AF80" s="423">
        <f t="shared" si="4"/>
        <v>114281.06166666665</v>
      </c>
    </row>
    <row r="81" spans="1:32">
      <c r="A81" s="35">
        <v>73</v>
      </c>
      <c r="C81" s="6" t="s">
        <v>1864</v>
      </c>
      <c r="D81" s="6" t="str">
        <f t="shared" si="5"/>
        <v>00048</v>
      </c>
      <c r="E81" s="423">
        <v>29277.34</v>
      </c>
      <c r="F81" s="423">
        <v>17773.5</v>
      </c>
      <c r="G81" s="423">
        <v>29277.34</v>
      </c>
      <c r="H81" s="423">
        <v>17885.73</v>
      </c>
      <c r="I81" s="423">
        <v>29277.34</v>
      </c>
      <c r="J81" s="423">
        <v>17997.96</v>
      </c>
      <c r="K81" s="423">
        <v>29277.34</v>
      </c>
      <c r="L81" s="423">
        <v>18110.189999999999</v>
      </c>
      <c r="M81" s="423">
        <v>29277.34</v>
      </c>
      <c r="N81" s="423">
        <v>18222.420000000002</v>
      </c>
      <c r="O81" s="423">
        <v>29277.34</v>
      </c>
      <c r="P81" s="423">
        <v>18334.650000000001</v>
      </c>
      <c r="Q81" s="423">
        <v>29277.34</v>
      </c>
      <c r="R81" s="423">
        <v>18446.88</v>
      </c>
      <c r="S81" s="423">
        <v>29277.34</v>
      </c>
      <c r="T81" s="423">
        <v>18559.11</v>
      </c>
      <c r="U81" s="423">
        <v>29277.34</v>
      </c>
      <c r="V81" s="423">
        <v>18671.34</v>
      </c>
      <c r="W81" s="423">
        <v>29277.34</v>
      </c>
      <c r="X81" s="423">
        <v>18783.57</v>
      </c>
      <c r="Y81" s="423">
        <v>29277.34</v>
      </c>
      <c r="Z81" s="423">
        <v>18895.8</v>
      </c>
      <c r="AA81" s="423">
        <v>29277.34</v>
      </c>
      <c r="AB81" s="423">
        <v>19008.03</v>
      </c>
      <c r="AC81" s="423">
        <v>29277.34</v>
      </c>
      <c r="AD81" s="423">
        <v>19120.260000000002</v>
      </c>
      <c r="AE81" s="423">
        <f t="shared" si="4"/>
        <v>29277.340000000007</v>
      </c>
      <c r="AF81" s="423">
        <f t="shared" si="4"/>
        <v>18446.88</v>
      </c>
    </row>
    <row r="82" spans="1:32">
      <c r="A82" s="35">
        <v>74</v>
      </c>
      <c r="C82" s="6" t="s">
        <v>1865</v>
      </c>
      <c r="D82" s="6" t="str">
        <f t="shared" si="5"/>
        <v>00048</v>
      </c>
      <c r="E82" s="423">
        <v>2049363.37</v>
      </c>
      <c r="F82" s="423">
        <v>-57559.61</v>
      </c>
      <c r="G82" s="423">
        <v>2046909.69</v>
      </c>
      <c r="H82" s="423">
        <v>-47789.93</v>
      </c>
      <c r="I82" s="423">
        <v>2046909.69</v>
      </c>
      <c r="J82" s="423">
        <v>-38954.1</v>
      </c>
      <c r="K82" s="423">
        <v>2049564.57</v>
      </c>
      <c r="L82" s="423">
        <v>-30118.27</v>
      </c>
      <c r="M82" s="423">
        <v>2171182.4</v>
      </c>
      <c r="N82" s="423">
        <v>-20938.61</v>
      </c>
      <c r="O82" s="423">
        <v>2157237.2999999998</v>
      </c>
      <c r="P82" s="423">
        <v>-21649.010000000002</v>
      </c>
      <c r="Q82" s="423">
        <v>2009336.78</v>
      </c>
      <c r="R82" s="423">
        <v>-12336.94</v>
      </c>
      <c r="S82" s="423">
        <v>2013824.82</v>
      </c>
      <c r="T82" s="423">
        <v>-3663.3</v>
      </c>
      <c r="U82" s="423">
        <v>2013673.54</v>
      </c>
      <c r="V82" s="423">
        <v>-32883.51</v>
      </c>
      <c r="W82" s="423">
        <v>2013673.54</v>
      </c>
      <c r="X82" s="423">
        <v>-24191.16</v>
      </c>
      <c r="Y82" s="423">
        <v>2025302.52</v>
      </c>
      <c r="Z82" s="423">
        <v>-15498.81</v>
      </c>
      <c r="AA82" s="423">
        <v>2050850.76</v>
      </c>
      <c r="AB82" s="423">
        <v>-51808.15</v>
      </c>
      <c r="AC82" s="423">
        <v>2034522.57</v>
      </c>
      <c r="AD82" s="423">
        <v>-169172.19</v>
      </c>
      <c r="AE82" s="423">
        <f t="shared" si="4"/>
        <v>2053367.3816666666</v>
      </c>
      <c r="AF82" s="423">
        <f t="shared" si="4"/>
        <v>-34433.140833333338</v>
      </c>
    </row>
    <row r="83" spans="1:32">
      <c r="A83" s="35">
        <v>75</v>
      </c>
      <c r="C83" s="6" t="s">
        <v>1866</v>
      </c>
      <c r="D83" s="6" t="str">
        <f t="shared" si="5"/>
        <v>00048</v>
      </c>
      <c r="E83" s="423">
        <v>545338.96</v>
      </c>
      <c r="F83" s="423">
        <v>127285.94</v>
      </c>
      <c r="G83" s="423">
        <v>546461.77</v>
      </c>
      <c r="H83" s="423">
        <v>128703.82</v>
      </c>
      <c r="I83" s="423">
        <v>546461.77</v>
      </c>
      <c r="J83" s="423">
        <v>130124.62000000001</v>
      </c>
      <c r="K83" s="423">
        <v>546461.77</v>
      </c>
      <c r="L83" s="423">
        <v>131545.42000000001</v>
      </c>
      <c r="M83" s="423">
        <v>546461.77</v>
      </c>
      <c r="N83" s="423">
        <v>132966.22</v>
      </c>
      <c r="O83" s="423">
        <v>579833.59</v>
      </c>
      <c r="P83" s="423">
        <v>134387.01999999999</v>
      </c>
      <c r="Q83" s="423">
        <v>579833.59</v>
      </c>
      <c r="R83" s="423">
        <v>135894.59</v>
      </c>
      <c r="S83" s="423">
        <v>579833.59</v>
      </c>
      <c r="T83" s="423">
        <v>137402.16</v>
      </c>
      <c r="U83" s="423">
        <v>579833.59</v>
      </c>
      <c r="V83" s="423">
        <v>138909.73000000001</v>
      </c>
      <c r="W83" s="423">
        <v>579833.59</v>
      </c>
      <c r="X83" s="423">
        <v>141167.30000000002</v>
      </c>
      <c r="Y83" s="423">
        <v>579833.59</v>
      </c>
      <c r="Z83" s="423">
        <v>142674.87</v>
      </c>
      <c r="AA83" s="423">
        <v>579833.59</v>
      </c>
      <c r="AB83" s="423">
        <v>144182.44</v>
      </c>
      <c r="AC83" s="423">
        <v>579833.59</v>
      </c>
      <c r="AD83" s="423">
        <v>145690.01</v>
      </c>
      <c r="AE83" s="423">
        <f t="shared" si="4"/>
        <v>567272.37374999991</v>
      </c>
      <c r="AF83" s="423">
        <f t="shared" si="4"/>
        <v>136203.84708333333</v>
      </c>
    </row>
    <row r="84" spans="1:32">
      <c r="A84" s="35">
        <v>76</v>
      </c>
      <c r="C84" s="6" t="s">
        <v>1867</v>
      </c>
      <c r="D84" s="6" t="str">
        <f t="shared" si="5"/>
        <v>00048</v>
      </c>
      <c r="E84" s="423">
        <v>201807.75</v>
      </c>
      <c r="F84" s="423">
        <v>102554</v>
      </c>
      <c r="G84" s="423">
        <v>201807.75</v>
      </c>
      <c r="H84" s="423">
        <v>103320.87</v>
      </c>
      <c r="I84" s="423">
        <v>201807.75</v>
      </c>
      <c r="J84" s="423">
        <v>104087.74</v>
      </c>
      <c r="K84" s="423">
        <v>201807.75</v>
      </c>
      <c r="L84" s="423">
        <v>104854.61</v>
      </c>
      <c r="M84" s="423">
        <v>201807.75</v>
      </c>
      <c r="N84" s="423">
        <v>105621.48</v>
      </c>
      <c r="O84" s="423">
        <v>201807.75</v>
      </c>
      <c r="P84" s="423">
        <v>106388.35</v>
      </c>
      <c r="Q84" s="423">
        <v>194646.76</v>
      </c>
      <c r="R84" s="423">
        <v>99994.23</v>
      </c>
      <c r="S84" s="423">
        <v>194646.76</v>
      </c>
      <c r="T84" s="423">
        <v>100733.89</v>
      </c>
      <c r="U84" s="423">
        <v>194646.76</v>
      </c>
      <c r="V84" s="423">
        <v>101473.55</v>
      </c>
      <c r="W84" s="423">
        <v>194646.76</v>
      </c>
      <c r="X84" s="423">
        <v>102213.21</v>
      </c>
      <c r="Y84" s="423">
        <v>194646.76</v>
      </c>
      <c r="Z84" s="423">
        <v>102952.87</v>
      </c>
      <c r="AA84" s="423">
        <v>194646.76</v>
      </c>
      <c r="AB84" s="423">
        <v>103692.53</v>
      </c>
      <c r="AC84" s="423">
        <v>194646.76</v>
      </c>
      <c r="AD84" s="423">
        <v>104432.19</v>
      </c>
      <c r="AE84" s="423">
        <f t="shared" si="4"/>
        <v>197928.88041666665</v>
      </c>
      <c r="AF84" s="423">
        <f t="shared" si="4"/>
        <v>103235.53541666665</v>
      </c>
    </row>
    <row r="85" spans="1:32">
      <c r="A85" s="35">
        <v>77</v>
      </c>
      <c r="C85" s="6" t="s">
        <v>1868</v>
      </c>
      <c r="D85" s="6" t="str">
        <f t="shared" si="5"/>
        <v>00048</v>
      </c>
      <c r="E85" s="423">
        <v>927395.86</v>
      </c>
      <c r="F85" s="423">
        <v>47660.840000000004</v>
      </c>
      <c r="G85" s="423">
        <v>924527.73</v>
      </c>
      <c r="H85" s="423">
        <v>52034.130000000005</v>
      </c>
      <c r="I85" s="423">
        <v>924527.73</v>
      </c>
      <c r="J85" s="423">
        <v>59253.15</v>
      </c>
      <c r="K85" s="423">
        <v>924527.73</v>
      </c>
      <c r="L85" s="423">
        <v>66472.17</v>
      </c>
      <c r="M85" s="423">
        <v>924527.73</v>
      </c>
      <c r="N85" s="423">
        <v>73691.19</v>
      </c>
      <c r="O85" s="423">
        <v>924527.73</v>
      </c>
      <c r="P85" s="423">
        <v>80910.210000000006</v>
      </c>
      <c r="Q85" s="423">
        <v>924527.73</v>
      </c>
      <c r="R85" s="423">
        <v>88129.23</v>
      </c>
      <c r="S85" s="423">
        <v>924527.73</v>
      </c>
      <c r="T85" s="423">
        <v>95348.25</v>
      </c>
      <c r="U85" s="423">
        <v>924527.73</v>
      </c>
      <c r="V85" s="423">
        <v>102567.27</v>
      </c>
      <c r="W85" s="423">
        <v>927875.3</v>
      </c>
      <c r="X85" s="423">
        <v>109786.29000000001</v>
      </c>
      <c r="Y85" s="423">
        <v>927875.3</v>
      </c>
      <c r="Z85" s="423">
        <v>117031.45</v>
      </c>
      <c r="AA85" s="423">
        <v>934040.91</v>
      </c>
      <c r="AB85" s="423">
        <v>124276.61</v>
      </c>
      <c r="AC85" s="423">
        <v>934040.91</v>
      </c>
      <c r="AD85" s="423">
        <v>131569.91</v>
      </c>
      <c r="AE85" s="423">
        <f t="shared" si="4"/>
        <v>926394.31125000014</v>
      </c>
      <c r="AF85" s="423">
        <f t="shared" si="4"/>
        <v>88259.610416666663</v>
      </c>
    </row>
    <row r="86" spans="1:32">
      <c r="A86" s="35">
        <v>78</v>
      </c>
      <c r="C86" s="6" t="s">
        <v>1869</v>
      </c>
      <c r="D86" s="6" t="str">
        <f t="shared" si="5"/>
        <v>00048</v>
      </c>
      <c r="E86" s="423">
        <v>3110302.22</v>
      </c>
      <c r="F86" s="423">
        <v>2475171.79</v>
      </c>
      <c r="G86" s="423">
        <v>3110302.22</v>
      </c>
      <c r="H86" s="423">
        <v>2475508.7400000002</v>
      </c>
      <c r="I86" s="423">
        <v>3110436.9</v>
      </c>
      <c r="J86" s="423">
        <v>2475845.69</v>
      </c>
      <c r="K86" s="423">
        <v>3111725.53</v>
      </c>
      <c r="L86" s="423">
        <v>2476182.65</v>
      </c>
      <c r="M86" s="423">
        <v>3111725.53</v>
      </c>
      <c r="N86" s="423">
        <v>2476519.75</v>
      </c>
      <c r="O86" s="423">
        <v>3111603.35</v>
      </c>
      <c r="P86" s="423">
        <v>2476856.85</v>
      </c>
      <c r="Q86" s="423">
        <v>3111603.35</v>
      </c>
      <c r="R86" s="423">
        <v>2477193.94</v>
      </c>
      <c r="S86" s="423">
        <v>3111603.35</v>
      </c>
      <c r="T86" s="423">
        <v>2477531.0300000003</v>
      </c>
      <c r="U86" s="423">
        <v>3117022.37</v>
      </c>
      <c r="V86" s="423">
        <v>2477868.12</v>
      </c>
      <c r="W86" s="423">
        <v>3121124.58</v>
      </c>
      <c r="X86" s="423">
        <v>2478205.7999999998</v>
      </c>
      <c r="Y86" s="423">
        <v>3121124.58</v>
      </c>
      <c r="Z86" s="423">
        <v>2478543.92</v>
      </c>
      <c r="AA86" s="423">
        <v>3121124.58</v>
      </c>
      <c r="AB86" s="423">
        <v>2478882.04</v>
      </c>
      <c r="AC86" s="423">
        <v>3154329.2</v>
      </c>
      <c r="AD86" s="423">
        <v>2479220.16</v>
      </c>
      <c r="AE86" s="423">
        <f t="shared" si="4"/>
        <v>3115976.0041666664</v>
      </c>
      <c r="AF86" s="423">
        <f t="shared" si="4"/>
        <v>2477194.5420833337</v>
      </c>
    </row>
    <row r="87" spans="1:32">
      <c r="A87" s="35">
        <v>79</v>
      </c>
      <c r="C87" s="6" t="s">
        <v>1870</v>
      </c>
      <c r="D87" s="6" t="str">
        <f t="shared" si="5"/>
        <v>00048</v>
      </c>
      <c r="E87" s="423">
        <v>550206.34</v>
      </c>
      <c r="F87" s="423">
        <v>320770.28000000003</v>
      </c>
      <c r="G87" s="423">
        <v>550206.34</v>
      </c>
      <c r="H87" s="423">
        <v>324979.36</v>
      </c>
      <c r="I87" s="423">
        <v>550206.34</v>
      </c>
      <c r="J87" s="423">
        <v>329188.44</v>
      </c>
      <c r="K87" s="423">
        <v>550206.34</v>
      </c>
      <c r="L87" s="423">
        <v>333397.52</v>
      </c>
      <c r="M87" s="423">
        <v>550206.34</v>
      </c>
      <c r="N87" s="423">
        <v>337606.60000000003</v>
      </c>
      <c r="O87" s="423">
        <v>550206.34</v>
      </c>
      <c r="P87" s="423">
        <v>341815.68</v>
      </c>
      <c r="Q87" s="423">
        <v>525951.92000000004</v>
      </c>
      <c r="R87" s="423">
        <v>321770.34000000003</v>
      </c>
      <c r="S87" s="423">
        <v>525951.92000000004</v>
      </c>
      <c r="T87" s="423">
        <v>325793.87</v>
      </c>
      <c r="U87" s="423">
        <v>525951.92000000004</v>
      </c>
      <c r="V87" s="423">
        <v>329817.40000000002</v>
      </c>
      <c r="W87" s="423">
        <v>525951.92000000004</v>
      </c>
      <c r="X87" s="423">
        <v>333840.93</v>
      </c>
      <c r="Y87" s="423">
        <v>525951.92000000004</v>
      </c>
      <c r="Z87" s="423">
        <v>337864.46</v>
      </c>
      <c r="AA87" s="423">
        <v>525951.92000000004</v>
      </c>
      <c r="AB87" s="423">
        <v>341887.99</v>
      </c>
      <c r="AC87" s="423">
        <v>525951.92000000004</v>
      </c>
      <c r="AD87" s="423">
        <v>345911.52</v>
      </c>
      <c r="AE87" s="423">
        <f t="shared" si="4"/>
        <v>537068.52916666667</v>
      </c>
      <c r="AF87" s="423">
        <f t="shared" si="4"/>
        <v>332608.62416666665</v>
      </c>
    </row>
    <row r="88" spans="1:32">
      <c r="A88" s="35">
        <v>80</v>
      </c>
      <c r="C88" s="6" t="s">
        <v>1871</v>
      </c>
      <c r="D88" s="6" t="str">
        <f t="shared" si="5"/>
        <v>00048</v>
      </c>
      <c r="E88" s="423">
        <v>10888.06</v>
      </c>
      <c r="F88" s="423">
        <v>-4395.76</v>
      </c>
      <c r="G88" s="423">
        <v>10888.06</v>
      </c>
      <c r="H88" s="423">
        <v>-4300.3999999999996</v>
      </c>
      <c r="I88" s="423">
        <v>10888.06</v>
      </c>
      <c r="J88" s="423">
        <v>-4205.04</v>
      </c>
      <c r="K88" s="423">
        <v>10888.06</v>
      </c>
      <c r="L88" s="423">
        <v>-4109.68</v>
      </c>
      <c r="M88" s="423">
        <v>10888.06</v>
      </c>
      <c r="N88" s="423">
        <v>-4014.32</v>
      </c>
      <c r="O88" s="423">
        <v>12985.710000000001</v>
      </c>
      <c r="P88" s="423">
        <v>-3918.96</v>
      </c>
      <c r="Q88" s="423">
        <v>12985.710000000001</v>
      </c>
      <c r="R88" s="423">
        <v>-3805.23</v>
      </c>
      <c r="S88" s="423">
        <v>12985.710000000001</v>
      </c>
      <c r="T88" s="423">
        <v>-3691.5</v>
      </c>
      <c r="U88" s="423">
        <v>12985.710000000001</v>
      </c>
      <c r="V88" s="423">
        <v>-3577.77</v>
      </c>
      <c r="W88" s="423">
        <v>12985.710000000001</v>
      </c>
      <c r="X88" s="423">
        <v>-3464.04</v>
      </c>
      <c r="Y88" s="423">
        <v>12985.710000000001</v>
      </c>
      <c r="Z88" s="423">
        <v>-3350.31</v>
      </c>
      <c r="AA88" s="423">
        <v>12985.710000000001</v>
      </c>
      <c r="AB88" s="423">
        <v>-3236.58</v>
      </c>
      <c r="AC88" s="423">
        <v>12985.710000000001</v>
      </c>
      <c r="AD88" s="423">
        <v>-3122.85</v>
      </c>
      <c r="AE88" s="423">
        <f t="shared" si="4"/>
        <v>12199.091250000003</v>
      </c>
      <c r="AF88" s="423">
        <f t="shared" si="4"/>
        <v>-3786.094583333333</v>
      </c>
    </row>
    <row r="89" spans="1:32">
      <c r="A89" s="35">
        <v>81</v>
      </c>
      <c r="B89" s="425" t="s">
        <v>112</v>
      </c>
      <c r="C89" s="426"/>
      <c r="D89" s="425" t="s">
        <v>1872</v>
      </c>
      <c r="E89" s="427">
        <f t="shared" ref="E89:AF89" si="6">SUBTOTAL(9,E48:E88)</f>
        <v>576210019.71000016</v>
      </c>
      <c r="F89" s="427">
        <f t="shared" si="6"/>
        <v>304692694.86999989</v>
      </c>
      <c r="G89" s="427">
        <f t="shared" si="6"/>
        <v>577681602.6400001</v>
      </c>
      <c r="H89" s="427">
        <f t="shared" si="6"/>
        <v>309480837.00000012</v>
      </c>
      <c r="I89" s="427">
        <f t="shared" si="6"/>
        <v>578887129.49000013</v>
      </c>
      <c r="J89" s="427">
        <f t="shared" si="6"/>
        <v>310705295.72999996</v>
      </c>
      <c r="K89" s="427">
        <f t="shared" si="6"/>
        <v>580920985.41999996</v>
      </c>
      <c r="L89" s="427">
        <f t="shared" si="6"/>
        <v>311239204.5999999</v>
      </c>
      <c r="M89" s="427">
        <f t="shared" si="6"/>
        <v>583272418.28999996</v>
      </c>
      <c r="N89" s="427">
        <f t="shared" si="6"/>
        <v>312471439.2100001</v>
      </c>
      <c r="O89" s="427">
        <f t="shared" si="6"/>
        <v>584216840.6500001</v>
      </c>
      <c r="P89" s="427">
        <f t="shared" si="6"/>
        <v>313749995.52000004</v>
      </c>
      <c r="Q89" s="427">
        <f t="shared" si="6"/>
        <v>585599739.0799998</v>
      </c>
      <c r="R89" s="427">
        <f t="shared" si="6"/>
        <v>314596173.39999992</v>
      </c>
      <c r="S89" s="427">
        <f t="shared" si="6"/>
        <v>588618364.70000005</v>
      </c>
      <c r="T89" s="427">
        <f t="shared" si="6"/>
        <v>315768871.25</v>
      </c>
      <c r="U89" s="427">
        <f t="shared" si="6"/>
        <v>598832328.44999993</v>
      </c>
      <c r="V89" s="427">
        <f t="shared" si="6"/>
        <v>316875748.73000002</v>
      </c>
      <c r="W89" s="427">
        <f t="shared" si="6"/>
        <v>601967532.84999979</v>
      </c>
      <c r="X89" s="427">
        <f t="shared" si="6"/>
        <v>317897034.14999998</v>
      </c>
      <c r="Y89" s="427">
        <f t="shared" si="6"/>
        <v>607446404.66999972</v>
      </c>
      <c r="Z89" s="427">
        <f t="shared" si="6"/>
        <v>319107740.81999993</v>
      </c>
      <c r="AA89" s="427">
        <f t="shared" si="6"/>
        <v>608700709.48999977</v>
      </c>
      <c r="AB89" s="427">
        <f t="shared" si="6"/>
        <v>320289045.50000006</v>
      </c>
      <c r="AC89" s="427">
        <f t="shared" si="6"/>
        <v>614373017.27999997</v>
      </c>
      <c r="AD89" s="427">
        <f t="shared" si="6"/>
        <v>321296055.43999994</v>
      </c>
      <c r="AE89" s="427">
        <f t="shared" si="6"/>
        <v>590952964.51874983</v>
      </c>
      <c r="AF89" s="427">
        <f t="shared" si="6"/>
        <v>314597980.08874995</v>
      </c>
    </row>
    <row r="90" spans="1:32">
      <c r="A90" s="35">
        <v>82</v>
      </c>
      <c r="B90" s="421" t="s">
        <v>1873</v>
      </c>
      <c r="C90" s="421" t="s">
        <v>1874</v>
      </c>
      <c r="D90" s="428"/>
      <c r="E90" s="429"/>
      <c r="F90" s="429"/>
      <c r="G90" s="429"/>
      <c r="H90" s="429"/>
      <c r="I90" s="429"/>
      <c r="J90" s="429"/>
      <c r="K90" s="429"/>
      <c r="L90" s="429"/>
      <c r="M90" s="429"/>
      <c r="N90" s="429"/>
      <c r="O90" s="429"/>
      <c r="P90" s="429"/>
      <c r="Q90" s="429"/>
      <c r="R90" s="429"/>
      <c r="S90" s="429"/>
      <c r="T90" s="429"/>
      <c r="U90" s="429"/>
      <c r="V90" s="429"/>
      <c r="W90" s="429"/>
      <c r="X90" s="429"/>
      <c r="Y90" s="429"/>
      <c r="Z90" s="429"/>
      <c r="AA90" s="429"/>
      <c r="AB90" s="429"/>
      <c r="AC90" s="429"/>
      <c r="AD90" s="429"/>
      <c r="AE90" s="429"/>
      <c r="AF90" s="429"/>
    </row>
    <row r="91" spans="1:32">
      <c r="A91" s="35">
        <v>83</v>
      </c>
      <c r="C91" s="6" t="s">
        <v>1875</v>
      </c>
      <c r="D91" s="6" t="str">
        <f>RIGHT(C91,5)</f>
        <v>00100</v>
      </c>
      <c r="E91" s="423">
        <v>152066.08000000002</v>
      </c>
      <c r="F91" s="423">
        <v>0</v>
      </c>
      <c r="G91" s="423">
        <v>152066.08000000002</v>
      </c>
      <c r="H91" s="423">
        <v>0</v>
      </c>
      <c r="I91" s="423">
        <v>152066.08000000002</v>
      </c>
      <c r="J91" s="423">
        <v>0</v>
      </c>
      <c r="K91" s="423">
        <v>152066.08000000002</v>
      </c>
      <c r="L91" s="423">
        <v>0</v>
      </c>
      <c r="M91" s="423">
        <v>152066.08000000002</v>
      </c>
      <c r="N91" s="423">
        <v>0</v>
      </c>
      <c r="O91" s="423">
        <v>152066.08000000002</v>
      </c>
      <c r="P91" s="423">
        <v>0</v>
      </c>
      <c r="Q91" s="423">
        <v>152066.08000000002</v>
      </c>
      <c r="R91" s="423">
        <v>0</v>
      </c>
      <c r="S91" s="423">
        <v>152066.08000000002</v>
      </c>
      <c r="T91" s="423">
        <v>0</v>
      </c>
      <c r="U91" s="423">
        <v>152066.08000000002</v>
      </c>
      <c r="V91" s="423">
        <v>0</v>
      </c>
      <c r="W91" s="423">
        <v>152066.08000000002</v>
      </c>
      <c r="X91" s="423">
        <v>0</v>
      </c>
      <c r="Y91" s="423">
        <v>152066.08000000002</v>
      </c>
      <c r="Z91" s="423">
        <v>0</v>
      </c>
      <c r="AA91" s="423">
        <v>152066.08000000002</v>
      </c>
      <c r="AB91" s="423">
        <v>0</v>
      </c>
      <c r="AC91" s="423">
        <v>152066.08000000002</v>
      </c>
      <c r="AD91" s="423">
        <v>0</v>
      </c>
      <c r="AE91" s="423">
        <f t="shared" ref="AE91:AF129" si="7">+(E91+AC91+(+G91+I91+K91+M91+O91+Q91+S91+U91+W91+Y91+AA91)*2)/24</f>
        <v>152066.08000000005</v>
      </c>
      <c r="AF91" s="423">
        <f t="shared" si="7"/>
        <v>0</v>
      </c>
    </row>
    <row r="92" spans="1:32">
      <c r="A92" s="35">
        <v>84</v>
      </c>
      <c r="C92" s="6" t="s">
        <v>1876</v>
      </c>
      <c r="D92" s="424" t="s">
        <v>1877</v>
      </c>
      <c r="E92" s="423">
        <v>0</v>
      </c>
      <c r="F92" s="423">
        <v>0</v>
      </c>
      <c r="G92" s="423">
        <v>0</v>
      </c>
      <c r="H92" s="423">
        <v>0</v>
      </c>
      <c r="I92" s="423">
        <v>0</v>
      </c>
      <c r="J92" s="423">
        <v>0</v>
      </c>
      <c r="K92" s="423">
        <v>0</v>
      </c>
      <c r="L92" s="423">
        <v>0</v>
      </c>
      <c r="M92" s="423">
        <v>0</v>
      </c>
      <c r="N92" s="423">
        <v>0</v>
      </c>
      <c r="O92" s="423">
        <v>0</v>
      </c>
      <c r="P92" s="423">
        <v>0</v>
      </c>
      <c r="Q92" s="423">
        <v>0</v>
      </c>
      <c r="R92" s="423">
        <v>0</v>
      </c>
      <c r="S92" s="423">
        <v>1826757.9</v>
      </c>
      <c r="T92" s="423">
        <v>578418.15</v>
      </c>
      <c r="U92" s="423">
        <v>1826757.9</v>
      </c>
      <c r="V92" s="423">
        <v>593641.13</v>
      </c>
      <c r="W92" s="423">
        <v>1826757.9</v>
      </c>
      <c r="X92" s="423">
        <v>608864.11</v>
      </c>
      <c r="Y92" s="423">
        <v>1826757.9</v>
      </c>
      <c r="Z92" s="423">
        <v>624087.09</v>
      </c>
      <c r="AA92" s="423">
        <v>1826757.9</v>
      </c>
      <c r="AB92" s="423">
        <v>639310.07000000007</v>
      </c>
      <c r="AC92" s="423">
        <v>1826757.9</v>
      </c>
      <c r="AD92" s="423">
        <v>654533.05000000005</v>
      </c>
      <c r="AE92" s="423">
        <f t="shared" si="7"/>
        <v>837264.03749999998</v>
      </c>
      <c r="AF92" s="423">
        <f t="shared" si="7"/>
        <v>280965.58958333329</v>
      </c>
    </row>
    <row r="93" spans="1:32">
      <c r="A93" s="35">
        <v>85</v>
      </c>
      <c r="C93" s="6" t="s">
        <v>1878</v>
      </c>
      <c r="D93" s="424" t="s">
        <v>1877</v>
      </c>
      <c r="E93" s="423">
        <v>0</v>
      </c>
      <c r="F93" s="423">
        <v>0</v>
      </c>
      <c r="G93" s="423">
        <v>0</v>
      </c>
      <c r="H93" s="423">
        <v>0</v>
      </c>
      <c r="I93" s="423">
        <v>0</v>
      </c>
      <c r="J93" s="423">
        <v>0</v>
      </c>
      <c r="K93" s="423">
        <v>0</v>
      </c>
      <c r="L93" s="423">
        <v>0</v>
      </c>
      <c r="M93" s="423">
        <v>0</v>
      </c>
      <c r="N93" s="423">
        <v>0</v>
      </c>
      <c r="O93" s="423">
        <v>0</v>
      </c>
      <c r="P93" s="423">
        <v>0</v>
      </c>
      <c r="Q93" s="423">
        <v>0</v>
      </c>
      <c r="R93" s="423">
        <v>0</v>
      </c>
      <c r="S93" s="423">
        <v>2070368.79</v>
      </c>
      <c r="T93" s="423">
        <v>183036.69</v>
      </c>
      <c r="U93" s="423">
        <v>2070368.79</v>
      </c>
      <c r="V93" s="423">
        <v>200289.76</v>
      </c>
      <c r="W93" s="423">
        <v>2070368.79</v>
      </c>
      <c r="X93" s="423">
        <v>217542.83000000002</v>
      </c>
      <c r="Y93" s="423">
        <v>2070368.79</v>
      </c>
      <c r="Z93" s="423">
        <v>234795.9</v>
      </c>
      <c r="AA93" s="423">
        <v>2076102.74</v>
      </c>
      <c r="AB93" s="423">
        <v>252611.99000000002</v>
      </c>
      <c r="AC93" s="423">
        <v>2077384.42</v>
      </c>
      <c r="AD93" s="423">
        <v>269912.84999999998</v>
      </c>
      <c r="AE93" s="423">
        <f t="shared" si="7"/>
        <v>949689.17583333328</v>
      </c>
      <c r="AF93" s="423">
        <f t="shared" si="7"/>
        <v>101936.13291666668</v>
      </c>
    </row>
    <row r="94" spans="1:32">
      <c r="A94" s="35">
        <v>86</v>
      </c>
      <c r="C94" s="6" t="s">
        <v>1879</v>
      </c>
      <c r="D94" s="424" t="s">
        <v>1877</v>
      </c>
      <c r="E94" s="423">
        <v>0</v>
      </c>
      <c r="F94" s="423">
        <v>0</v>
      </c>
      <c r="G94" s="423">
        <v>0</v>
      </c>
      <c r="H94" s="423">
        <v>0</v>
      </c>
      <c r="I94" s="423">
        <v>0</v>
      </c>
      <c r="J94" s="423">
        <v>0</v>
      </c>
      <c r="K94" s="423">
        <v>0</v>
      </c>
      <c r="L94" s="423">
        <v>0</v>
      </c>
      <c r="M94" s="423">
        <v>0</v>
      </c>
      <c r="N94" s="423">
        <v>0</v>
      </c>
      <c r="O94" s="423">
        <v>0</v>
      </c>
      <c r="P94" s="423">
        <v>0</v>
      </c>
      <c r="Q94" s="423">
        <v>0</v>
      </c>
      <c r="R94" s="423">
        <v>0</v>
      </c>
      <c r="S94" s="423">
        <v>0</v>
      </c>
      <c r="T94" s="423">
        <v>0</v>
      </c>
      <c r="U94" s="423">
        <v>0</v>
      </c>
      <c r="V94" s="423">
        <v>0</v>
      </c>
      <c r="W94" s="423">
        <v>0</v>
      </c>
      <c r="X94" s="423">
        <v>0</v>
      </c>
      <c r="Y94" s="423">
        <v>0</v>
      </c>
      <c r="Z94" s="423">
        <v>0</v>
      </c>
      <c r="AA94" s="423">
        <v>0</v>
      </c>
      <c r="AB94" s="423">
        <v>0</v>
      </c>
      <c r="AC94" s="423">
        <v>0</v>
      </c>
      <c r="AD94" s="423">
        <v>0</v>
      </c>
      <c r="AE94" s="423">
        <f t="shared" si="7"/>
        <v>0</v>
      </c>
      <c r="AF94" s="423">
        <f t="shared" si="7"/>
        <v>0</v>
      </c>
    </row>
    <row r="95" spans="1:32">
      <c r="A95" s="35">
        <v>87</v>
      </c>
      <c r="C95" s="6" t="s">
        <v>1880</v>
      </c>
      <c r="D95" s="424" t="s">
        <v>1877</v>
      </c>
      <c r="E95" s="423">
        <v>0</v>
      </c>
      <c r="F95" s="423">
        <v>0</v>
      </c>
      <c r="G95" s="423">
        <v>0</v>
      </c>
      <c r="H95" s="423">
        <v>0</v>
      </c>
      <c r="I95" s="423">
        <v>0</v>
      </c>
      <c r="J95" s="423">
        <v>0</v>
      </c>
      <c r="K95" s="423">
        <v>0</v>
      </c>
      <c r="L95" s="423">
        <v>0</v>
      </c>
      <c r="M95" s="423">
        <v>0</v>
      </c>
      <c r="N95" s="423">
        <v>0</v>
      </c>
      <c r="O95" s="423">
        <v>0</v>
      </c>
      <c r="P95" s="423">
        <v>0</v>
      </c>
      <c r="Q95" s="423">
        <v>0</v>
      </c>
      <c r="R95" s="423">
        <v>0</v>
      </c>
      <c r="S95" s="423">
        <v>4188146.93</v>
      </c>
      <c r="T95" s="423">
        <v>1247308.1499999999</v>
      </c>
      <c r="U95" s="423">
        <v>4188146.93</v>
      </c>
      <c r="V95" s="423">
        <v>1274147.19</v>
      </c>
      <c r="W95" s="423">
        <v>4188146.93</v>
      </c>
      <c r="X95" s="423">
        <v>1300986.23</v>
      </c>
      <c r="Y95" s="423">
        <v>4188146.93</v>
      </c>
      <c r="Z95" s="423">
        <v>1327825.27</v>
      </c>
      <c r="AA95" s="423">
        <v>4188146.93</v>
      </c>
      <c r="AB95" s="423">
        <v>1354664.31</v>
      </c>
      <c r="AC95" s="423">
        <v>4188146.93</v>
      </c>
      <c r="AD95" s="423">
        <v>1381503.35</v>
      </c>
      <c r="AE95" s="423">
        <f t="shared" si="7"/>
        <v>1919567.3429166668</v>
      </c>
      <c r="AF95" s="423">
        <f t="shared" si="7"/>
        <v>599640.23541666672</v>
      </c>
    </row>
    <row r="96" spans="1:32">
      <c r="A96" s="35">
        <v>88</v>
      </c>
      <c r="C96" s="6" t="s">
        <v>1881</v>
      </c>
      <c r="D96" s="424" t="s">
        <v>1877</v>
      </c>
      <c r="E96" s="423">
        <v>0</v>
      </c>
      <c r="F96" s="423">
        <v>0</v>
      </c>
      <c r="G96" s="423">
        <v>0</v>
      </c>
      <c r="H96" s="423">
        <v>0</v>
      </c>
      <c r="I96" s="423">
        <v>0</v>
      </c>
      <c r="J96" s="423">
        <v>0</v>
      </c>
      <c r="K96" s="423">
        <v>0</v>
      </c>
      <c r="L96" s="423">
        <v>0</v>
      </c>
      <c r="M96" s="423">
        <v>0</v>
      </c>
      <c r="N96" s="423">
        <v>0</v>
      </c>
      <c r="O96" s="423">
        <v>0</v>
      </c>
      <c r="P96" s="423">
        <v>0</v>
      </c>
      <c r="Q96" s="423">
        <v>0</v>
      </c>
      <c r="R96" s="423">
        <v>0</v>
      </c>
      <c r="S96" s="423">
        <v>695173.17</v>
      </c>
      <c r="T96" s="423">
        <v>266316</v>
      </c>
      <c r="U96" s="423">
        <v>695173.17</v>
      </c>
      <c r="V96" s="423">
        <v>270452.28000000003</v>
      </c>
      <c r="W96" s="423">
        <v>695173.17</v>
      </c>
      <c r="X96" s="423">
        <v>274588.56</v>
      </c>
      <c r="Y96" s="423">
        <v>695173.17</v>
      </c>
      <c r="Z96" s="423">
        <v>278724.84000000003</v>
      </c>
      <c r="AA96" s="423">
        <v>695173.17</v>
      </c>
      <c r="AB96" s="423">
        <v>282861.12</v>
      </c>
      <c r="AC96" s="423">
        <v>695173.17</v>
      </c>
      <c r="AD96" s="423">
        <v>286997.40000000002</v>
      </c>
      <c r="AE96" s="423">
        <f t="shared" si="7"/>
        <v>318621.03625</v>
      </c>
      <c r="AF96" s="423">
        <f t="shared" si="7"/>
        <v>126370.12500000001</v>
      </c>
    </row>
    <row r="97" spans="1:32">
      <c r="A97" s="35">
        <v>89</v>
      </c>
      <c r="C97" s="6" t="s">
        <v>1882</v>
      </c>
      <c r="D97" s="424" t="s">
        <v>1877</v>
      </c>
      <c r="E97" s="423">
        <v>0</v>
      </c>
      <c r="F97" s="423">
        <v>0</v>
      </c>
      <c r="G97" s="423">
        <v>0</v>
      </c>
      <c r="H97" s="423">
        <v>0</v>
      </c>
      <c r="I97" s="423">
        <v>0</v>
      </c>
      <c r="J97" s="423">
        <v>0</v>
      </c>
      <c r="K97" s="423">
        <v>0</v>
      </c>
      <c r="L97" s="423">
        <v>0</v>
      </c>
      <c r="M97" s="423">
        <v>0</v>
      </c>
      <c r="N97" s="423">
        <v>0</v>
      </c>
      <c r="O97" s="423">
        <v>0</v>
      </c>
      <c r="P97" s="423">
        <v>0</v>
      </c>
      <c r="Q97" s="423">
        <v>0</v>
      </c>
      <c r="R97" s="423">
        <v>0</v>
      </c>
      <c r="S97" s="423">
        <v>2037970.86</v>
      </c>
      <c r="T97" s="423">
        <v>705285.65</v>
      </c>
      <c r="U97" s="423">
        <v>2037970.86</v>
      </c>
      <c r="V97" s="423">
        <v>717411.58</v>
      </c>
      <c r="W97" s="423">
        <v>2037970.86</v>
      </c>
      <c r="X97" s="423">
        <v>729537.51</v>
      </c>
      <c r="Y97" s="423">
        <v>2037970.86</v>
      </c>
      <c r="Z97" s="423">
        <v>741663.44000000006</v>
      </c>
      <c r="AA97" s="423">
        <v>2037970.86</v>
      </c>
      <c r="AB97" s="423">
        <v>753789.37</v>
      </c>
      <c r="AC97" s="423">
        <v>2037970.86</v>
      </c>
      <c r="AD97" s="423">
        <v>765915.3</v>
      </c>
      <c r="AE97" s="423">
        <f t="shared" si="7"/>
        <v>934069.97750000004</v>
      </c>
      <c r="AF97" s="423">
        <f t="shared" si="7"/>
        <v>335887.10000000003</v>
      </c>
    </row>
    <row r="98" spans="1:32">
      <c r="A98" s="35">
        <v>90</v>
      </c>
      <c r="C98" s="6" t="s">
        <v>1883</v>
      </c>
      <c r="D98" s="424" t="s">
        <v>1877</v>
      </c>
      <c r="E98" s="423">
        <v>0</v>
      </c>
      <c r="F98" s="423">
        <v>0</v>
      </c>
      <c r="G98" s="423">
        <v>0</v>
      </c>
      <c r="H98" s="423">
        <v>0</v>
      </c>
      <c r="I98" s="423">
        <v>0</v>
      </c>
      <c r="J98" s="423">
        <v>0</v>
      </c>
      <c r="K98" s="423">
        <v>0</v>
      </c>
      <c r="L98" s="423">
        <v>0</v>
      </c>
      <c r="M98" s="423">
        <v>0</v>
      </c>
      <c r="N98" s="423">
        <v>0</v>
      </c>
      <c r="O98" s="423">
        <v>0</v>
      </c>
      <c r="P98" s="423">
        <v>0</v>
      </c>
      <c r="Q98" s="423">
        <v>0</v>
      </c>
      <c r="R98" s="423">
        <v>0</v>
      </c>
      <c r="S98" s="423">
        <v>17063587.219999999</v>
      </c>
      <c r="T98" s="423">
        <v>5112326.0599999996</v>
      </c>
      <c r="U98" s="423">
        <v>17063587.219999999</v>
      </c>
      <c r="V98" s="423">
        <v>5207171.17</v>
      </c>
      <c r="W98" s="423">
        <v>17063587.219999999</v>
      </c>
      <c r="X98" s="423">
        <v>5302016.28</v>
      </c>
      <c r="Y98" s="423">
        <v>17063587.219999999</v>
      </c>
      <c r="Z98" s="423">
        <v>5396861.3899999997</v>
      </c>
      <c r="AA98" s="423">
        <v>17063587.219999999</v>
      </c>
      <c r="AB98" s="423">
        <v>5491706.5</v>
      </c>
      <c r="AC98" s="423">
        <v>17063587.219999999</v>
      </c>
      <c r="AD98" s="423">
        <v>5586551.6100000003</v>
      </c>
      <c r="AE98" s="423">
        <f t="shared" si="7"/>
        <v>7820810.8091666661</v>
      </c>
      <c r="AF98" s="423">
        <f t="shared" si="7"/>
        <v>2441946.4337500003</v>
      </c>
    </row>
    <row r="99" spans="1:32">
      <c r="A99" s="35">
        <v>91</v>
      </c>
      <c r="C99" s="6" t="s">
        <v>1884</v>
      </c>
      <c r="D99" s="424" t="s">
        <v>1877</v>
      </c>
      <c r="E99" s="423">
        <v>0</v>
      </c>
      <c r="F99" s="423">
        <v>0</v>
      </c>
      <c r="G99" s="423">
        <v>0</v>
      </c>
      <c r="H99" s="423">
        <v>0</v>
      </c>
      <c r="I99" s="423">
        <v>0</v>
      </c>
      <c r="J99" s="423">
        <v>0</v>
      </c>
      <c r="K99" s="423">
        <v>0</v>
      </c>
      <c r="L99" s="423">
        <v>0</v>
      </c>
      <c r="M99" s="423">
        <v>0</v>
      </c>
      <c r="N99" s="423">
        <v>0</v>
      </c>
      <c r="O99" s="423">
        <v>0</v>
      </c>
      <c r="P99" s="423">
        <v>0</v>
      </c>
      <c r="Q99" s="423">
        <v>0</v>
      </c>
      <c r="R99" s="423">
        <v>0</v>
      </c>
      <c r="S99" s="423">
        <v>541240.59</v>
      </c>
      <c r="T99" s="423">
        <v>137962.07</v>
      </c>
      <c r="U99" s="423">
        <v>541240.59</v>
      </c>
      <c r="V99" s="423">
        <v>140970.47</v>
      </c>
      <c r="W99" s="423">
        <v>541240.59</v>
      </c>
      <c r="X99" s="423">
        <v>143978.87</v>
      </c>
      <c r="Y99" s="423">
        <v>541240.59</v>
      </c>
      <c r="Z99" s="423">
        <v>146987.26999999999</v>
      </c>
      <c r="AA99" s="423">
        <v>541240.59</v>
      </c>
      <c r="AB99" s="423">
        <v>149995.67000000001</v>
      </c>
      <c r="AC99" s="423">
        <v>541240.59</v>
      </c>
      <c r="AD99" s="423">
        <v>153004.07</v>
      </c>
      <c r="AE99" s="423">
        <f t="shared" si="7"/>
        <v>248068.60374999998</v>
      </c>
      <c r="AF99" s="423">
        <f t="shared" si="7"/>
        <v>66366.365416666682</v>
      </c>
    </row>
    <row r="100" spans="1:32">
      <c r="A100" s="35">
        <v>92</v>
      </c>
      <c r="C100" s="6" t="s">
        <v>1885</v>
      </c>
      <c r="D100" s="424" t="s">
        <v>1877</v>
      </c>
      <c r="E100" s="423">
        <v>0</v>
      </c>
      <c r="F100" s="423">
        <v>0</v>
      </c>
      <c r="G100" s="423">
        <v>0</v>
      </c>
      <c r="H100" s="423">
        <v>0</v>
      </c>
      <c r="I100" s="423">
        <v>0</v>
      </c>
      <c r="J100" s="423">
        <v>0</v>
      </c>
      <c r="K100" s="423">
        <v>0</v>
      </c>
      <c r="L100" s="423">
        <v>0</v>
      </c>
      <c r="M100" s="423">
        <v>0</v>
      </c>
      <c r="N100" s="423">
        <v>0</v>
      </c>
      <c r="O100" s="423">
        <v>0</v>
      </c>
      <c r="P100" s="423">
        <v>0</v>
      </c>
      <c r="Q100" s="423">
        <v>0</v>
      </c>
      <c r="R100" s="423">
        <v>0</v>
      </c>
      <c r="S100" s="423">
        <v>7720.22</v>
      </c>
      <c r="T100" s="423">
        <v>7720.22</v>
      </c>
      <c r="U100" s="423">
        <v>7720.22</v>
      </c>
      <c r="V100" s="423">
        <v>7720.22</v>
      </c>
      <c r="W100" s="423">
        <v>7720.22</v>
      </c>
      <c r="X100" s="423">
        <v>7720.22</v>
      </c>
      <c r="Y100" s="423">
        <v>7720.22</v>
      </c>
      <c r="Z100" s="423">
        <v>7720.22</v>
      </c>
      <c r="AA100" s="423">
        <v>7720.22</v>
      </c>
      <c r="AB100" s="423">
        <v>7720.22</v>
      </c>
      <c r="AC100" s="423">
        <v>7720.22</v>
      </c>
      <c r="AD100" s="423">
        <v>7720.22</v>
      </c>
      <c r="AE100" s="423">
        <f t="shared" si="7"/>
        <v>3538.4341666666664</v>
      </c>
      <c r="AF100" s="423">
        <f t="shared" si="7"/>
        <v>3538.4341666666664</v>
      </c>
    </row>
    <row r="101" spans="1:32">
      <c r="A101" s="35">
        <v>93</v>
      </c>
      <c r="C101" s="6" t="s">
        <v>1886</v>
      </c>
      <c r="D101" s="424" t="s">
        <v>1877</v>
      </c>
      <c r="E101" s="423">
        <v>0</v>
      </c>
      <c r="F101" s="423">
        <v>0</v>
      </c>
      <c r="G101" s="423">
        <v>0</v>
      </c>
      <c r="H101" s="423">
        <v>0</v>
      </c>
      <c r="I101" s="423">
        <v>0</v>
      </c>
      <c r="J101" s="423">
        <v>0</v>
      </c>
      <c r="K101" s="423">
        <v>0</v>
      </c>
      <c r="L101" s="423">
        <v>0</v>
      </c>
      <c r="M101" s="423">
        <v>0</v>
      </c>
      <c r="N101" s="423">
        <v>0</v>
      </c>
      <c r="O101" s="423">
        <v>0</v>
      </c>
      <c r="P101" s="423">
        <v>0</v>
      </c>
      <c r="Q101" s="423">
        <v>0</v>
      </c>
      <c r="R101" s="423">
        <v>0</v>
      </c>
      <c r="S101" s="423">
        <v>14271.5</v>
      </c>
      <c r="T101" s="423">
        <v>13082.23</v>
      </c>
      <c r="U101" s="423">
        <v>14271.5</v>
      </c>
      <c r="V101" s="423">
        <v>13320.09</v>
      </c>
      <c r="W101" s="423">
        <v>14271.5</v>
      </c>
      <c r="X101" s="423">
        <v>13557.95</v>
      </c>
      <c r="Y101" s="423">
        <v>14271.5</v>
      </c>
      <c r="Z101" s="423">
        <v>13795.81</v>
      </c>
      <c r="AA101" s="423">
        <v>14271.5</v>
      </c>
      <c r="AB101" s="423">
        <v>14033.67</v>
      </c>
      <c r="AC101" s="423">
        <v>14271.5</v>
      </c>
      <c r="AD101" s="423">
        <v>14271.5</v>
      </c>
      <c r="AE101" s="423">
        <f t="shared" si="7"/>
        <v>6541.104166666667</v>
      </c>
      <c r="AF101" s="423">
        <f t="shared" si="7"/>
        <v>6243.791666666667</v>
      </c>
    </row>
    <row r="102" spans="1:32">
      <c r="A102" s="35">
        <v>94</v>
      </c>
      <c r="C102" s="6" t="s">
        <v>1887</v>
      </c>
      <c r="D102" s="424" t="s">
        <v>1877</v>
      </c>
      <c r="E102" s="423">
        <v>0</v>
      </c>
      <c r="F102" s="423">
        <v>0</v>
      </c>
      <c r="G102" s="423">
        <v>0</v>
      </c>
      <c r="H102" s="423">
        <v>0</v>
      </c>
      <c r="I102" s="423">
        <v>0</v>
      </c>
      <c r="J102" s="423">
        <v>0</v>
      </c>
      <c r="K102" s="423">
        <v>0</v>
      </c>
      <c r="L102" s="423">
        <v>0</v>
      </c>
      <c r="M102" s="423">
        <v>0</v>
      </c>
      <c r="N102" s="423">
        <v>0</v>
      </c>
      <c r="O102" s="423">
        <v>0</v>
      </c>
      <c r="P102" s="423">
        <v>0</v>
      </c>
      <c r="Q102" s="423">
        <v>0</v>
      </c>
      <c r="R102" s="423">
        <v>0</v>
      </c>
      <c r="S102" s="423">
        <v>131168.49</v>
      </c>
      <c r="T102" s="423">
        <v>70938.94</v>
      </c>
      <c r="U102" s="423">
        <v>131168.49</v>
      </c>
      <c r="V102" s="423">
        <v>72500.94</v>
      </c>
      <c r="W102" s="423">
        <v>131168.49</v>
      </c>
      <c r="X102" s="423">
        <v>74062.94</v>
      </c>
      <c r="Y102" s="423">
        <v>131168.49</v>
      </c>
      <c r="Z102" s="423">
        <v>75624.94</v>
      </c>
      <c r="AA102" s="423">
        <v>131168.49</v>
      </c>
      <c r="AB102" s="423">
        <v>77186.94</v>
      </c>
      <c r="AC102" s="423">
        <v>131168.49</v>
      </c>
      <c r="AD102" s="423">
        <v>78748.94</v>
      </c>
      <c r="AE102" s="423">
        <f t="shared" si="7"/>
        <v>60118.891249999993</v>
      </c>
      <c r="AF102" s="423">
        <f t="shared" si="7"/>
        <v>34140.764166666668</v>
      </c>
    </row>
    <row r="103" spans="1:32">
      <c r="A103" s="35">
        <v>95</v>
      </c>
      <c r="C103" s="6" t="s">
        <v>1888</v>
      </c>
      <c r="D103" s="424" t="s">
        <v>1877</v>
      </c>
      <c r="E103" s="423">
        <v>0</v>
      </c>
      <c r="F103" s="423">
        <v>0</v>
      </c>
      <c r="G103" s="423">
        <v>0</v>
      </c>
      <c r="H103" s="423">
        <v>0</v>
      </c>
      <c r="I103" s="423">
        <v>0</v>
      </c>
      <c r="J103" s="423">
        <v>0</v>
      </c>
      <c r="K103" s="423">
        <v>0</v>
      </c>
      <c r="L103" s="423">
        <v>0</v>
      </c>
      <c r="M103" s="423">
        <v>0</v>
      </c>
      <c r="N103" s="423">
        <v>0</v>
      </c>
      <c r="O103" s="423">
        <v>0</v>
      </c>
      <c r="P103" s="423">
        <v>0</v>
      </c>
      <c r="Q103" s="423">
        <v>0</v>
      </c>
      <c r="R103" s="423">
        <v>0</v>
      </c>
      <c r="S103" s="423">
        <v>3004957.37</v>
      </c>
      <c r="T103" s="423">
        <v>1192409.98</v>
      </c>
      <c r="U103" s="423">
        <v>3004957.37</v>
      </c>
      <c r="V103" s="423">
        <v>1228194.01</v>
      </c>
      <c r="W103" s="423">
        <v>3004957.37</v>
      </c>
      <c r="X103" s="423">
        <v>1263978.04</v>
      </c>
      <c r="Y103" s="423">
        <v>3004957.37</v>
      </c>
      <c r="Z103" s="423">
        <v>1299762.07</v>
      </c>
      <c r="AA103" s="423">
        <v>3004957.37</v>
      </c>
      <c r="AB103" s="423">
        <v>1335546.1000000001</v>
      </c>
      <c r="AC103" s="423">
        <v>3004957.37</v>
      </c>
      <c r="AD103" s="423">
        <v>1371330.13</v>
      </c>
      <c r="AE103" s="423">
        <f t="shared" si="7"/>
        <v>1377272.1279166669</v>
      </c>
      <c r="AF103" s="423">
        <f t="shared" si="7"/>
        <v>583796.27208333334</v>
      </c>
    </row>
    <row r="104" spans="1:32">
      <c r="A104" s="35">
        <v>96</v>
      </c>
      <c r="C104" s="6" t="s">
        <v>1889</v>
      </c>
      <c r="D104" s="424" t="s">
        <v>1877</v>
      </c>
      <c r="E104" s="423">
        <v>0</v>
      </c>
      <c r="F104" s="423">
        <v>0</v>
      </c>
      <c r="G104" s="423">
        <v>0</v>
      </c>
      <c r="H104" s="423">
        <v>0</v>
      </c>
      <c r="I104" s="423">
        <v>0</v>
      </c>
      <c r="J104" s="423">
        <v>0</v>
      </c>
      <c r="K104" s="423">
        <v>0</v>
      </c>
      <c r="L104" s="423">
        <v>0</v>
      </c>
      <c r="M104" s="423">
        <v>0</v>
      </c>
      <c r="N104" s="423">
        <v>0</v>
      </c>
      <c r="O104" s="423">
        <v>0</v>
      </c>
      <c r="P104" s="423">
        <v>0</v>
      </c>
      <c r="Q104" s="423">
        <v>0</v>
      </c>
      <c r="R104" s="423">
        <v>0</v>
      </c>
      <c r="S104" s="423">
        <v>585144.89</v>
      </c>
      <c r="T104" s="423">
        <v>151336.06</v>
      </c>
      <c r="U104" s="423">
        <v>585144.89</v>
      </c>
      <c r="V104" s="423">
        <v>158304.16</v>
      </c>
      <c r="W104" s="423">
        <v>585144.89</v>
      </c>
      <c r="X104" s="423">
        <v>165272.26</v>
      </c>
      <c r="Y104" s="423">
        <v>585144.89</v>
      </c>
      <c r="Z104" s="423">
        <v>172240.36000000002</v>
      </c>
      <c r="AA104" s="423">
        <v>585144.89</v>
      </c>
      <c r="AB104" s="423">
        <v>179208.46</v>
      </c>
      <c r="AC104" s="423">
        <v>585144.89</v>
      </c>
      <c r="AD104" s="423">
        <v>186176.56</v>
      </c>
      <c r="AE104" s="423">
        <f t="shared" si="7"/>
        <v>268191.40791666665</v>
      </c>
      <c r="AF104" s="423">
        <f t="shared" si="7"/>
        <v>76620.798333333325</v>
      </c>
    </row>
    <row r="105" spans="1:32">
      <c r="A105" s="35">
        <v>97</v>
      </c>
      <c r="C105" s="6" t="s">
        <v>1890</v>
      </c>
      <c r="D105" s="424" t="s">
        <v>1877</v>
      </c>
      <c r="E105" s="423">
        <v>0</v>
      </c>
      <c r="F105" s="423">
        <v>0</v>
      </c>
      <c r="G105" s="423">
        <v>0</v>
      </c>
      <c r="H105" s="423">
        <v>0</v>
      </c>
      <c r="I105" s="423">
        <v>0</v>
      </c>
      <c r="J105" s="423">
        <v>0</v>
      </c>
      <c r="K105" s="423">
        <v>0</v>
      </c>
      <c r="L105" s="423">
        <v>0</v>
      </c>
      <c r="M105" s="423">
        <v>0</v>
      </c>
      <c r="N105" s="423">
        <v>0</v>
      </c>
      <c r="O105" s="423">
        <v>0</v>
      </c>
      <c r="P105" s="423">
        <v>0</v>
      </c>
      <c r="Q105" s="423">
        <v>0</v>
      </c>
      <c r="R105" s="423">
        <v>0</v>
      </c>
      <c r="S105" s="423">
        <v>20560.650000000001</v>
      </c>
      <c r="T105" s="423">
        <v>4873.57</v>
      </c>
      <c r="U105" s="423">
        <v>20560.650000000001</v>
      </c>
      <c r="V105" s="423">
        <v>5118.41</v>
      </c>
      <c r="W105" s="423">
        <v>20560.650000000001</v>
      </c>
      <c r="X105" s="423">
        <v>5363.25</v>
      </c>
      <c r="Y105" s="423">
        <v>20560.650000000001</v>
      </c>
      <c r="Z105" s="423">
        <v>5608.09</v>
      </c>
      <c r="AA105" s="423">
        <v>20560.650000000001</v>
      </c>
      <c r="AB105" s="423">
        <v>5852.93</v>
      </c>
      <c r="AC105" s="423">
        <v>20560.650000000001</v>
      </c>
      <c r="AD105" s="423">
        <v>6097.77</v>
      </c>
      <c r="AE105" s="423">
        <f t="shared" si="7"/>
        <v>9423.6312500000004</v>
      </c>
      <c r="AF105" s="423">
        <f t="shared" si="7"/>
        <v>2488.76125</v>
      </c>
    </row>
    <row r="106" spans="1:32">
      <c r="A106" s="35">
        <v>98</v>
      </c>
      <c r="C106" s="6" t="s">
        <v>1891</v>
      </c>
      <c r="D106" s="6" t="str">
        <f t="shared" ref="D106:D129" si="8">RIGHT(C106,5)</f>
        <v>00100</v>
      </c>
      <c r="E106" s="423">
        <v>31960507.600000001</v>
      </c>
      <c r="F106" s="423">
        <v>8053426.4299999997</v>
      </c>
      <c r="G106" s="423">
        <v>32108431.690000001</v>
      </c>
      <c r="H106" s="423">
        <v>8284691.1200000001</v>
      </c>
      <c r="I106" s="423">
        <v>32116587.800000001</v>
      </c>
      <c r="J106" s="423">
        <v>8518849.4199999999</v>
      </c>
      <c r="K106" s="423">
        <v>32173607.18</v>
      </c>
      <c r="L106" s="423">
        <v>8751831.6600000001</v>
      </c>
      <c r="M106" s="423">
        <v>32184081.329999998</v>
      </c>
      <c r="N106" s="423">
        <v>8985449.9299999997</v>
      </c>
      <c r="O106" s="423">
        <v>32187271.329999998</v>
      </c>
      <c r="P106" s="423">
        <v>9219219.6500000004</v>
      </c>
      <c r="Q106" s="423">
        <v>32192427.940000001</v>
      </c>
      <c r="R106" s="423">
        <v>9453029.7300000004</v>
      </c>
      <c r="S106" s="423">
        <v>0</v>
      </c>
      <c r="T106" s="423">
        <v>0</v>
      </c>
      <c r="U106" s="423">
        <v>0</v>
      </c>
      <c r="V106" s="423">
        <v>0</v>
      </c>
      <c r="W106" s="423">
        <v>4302.82</v>
      </c>
      <c r="X106" s="423">
        <v>0</v>
      </c>
      <c r="Y106" s="423">
        <v>5733.95</v>
      </c>
      <c r="Z106" s="423">
        <v>563.02</v>
      </c>
      <c r="AA106" s="423">
        <v>0</v>
      </c>
      <c r="AB106" s="423">
        <v>0</v>
      </c>
      <c r="AC106" s="423">
        <v>0</v>
      </c>
      <c r="AD106" s="423">
        <v>0</v>
      </c>
      <c r="AE106" s="423">
        <f t="shared" si="7"/>
        <v>17412724.819999997</v>
      </c>
      <c r="AF106" s="423">
        <f t="shared" si="7"/>
        <v>4770028.9787499988</v>
      </c>
    </row>
    <row r="107" spans="1:32">
      <c r="A107" s="35">
        <v>99</v>
      </c>
      <c r="C107" s="6" t="s">
        <v>1892</v>
      </c>
      <c r="D107" s="6" t="str">
        <f t="shared" si="8"/>
        <v>00100</v>
      </c>
      <c r="E107" s="423">
        <v>94899.76</v>
      </c>
      <c r="F107" s="423">
        <v>0</v>
      </c>
      <c r="G107" s="423">
        <v>94899.76</v>
      </c>
      <c r="H107" s="423">
        <v>0</v>
      </c>
      <c r="I107" s="423">
        <v>94899.76</v>
      </c>
      <c r="J107" s="423">
        <v>0</v>
      </c>
      <c r="K107" s="423">
        <v>94899.76</v>
      </c>
      <c r="L107" s="423">
        <v>0</v>
      </c>
      <c r="M107" s="423">
        <v>94899.76</v>
      </c>
      <c r="N107" s="423">
        <v>0</v>
      </c>
      <c r="O107" s="423">
        <v>94899.76</v>
      </c>
      <c r="P107" s="423">
        <v>0</v>
      </c>
      <c r="Q107" s="423">
        <v>94899.76</v>
      </c>
      <c r="R107" s="423">
        <v>0</v>
      </c>
      <c r="S107" s="423">
        <v>94899.76</v>
      </c>
      <c r="T107" s="423">
        <v>0</v>
      </c>
      <c r="U107" s="423">
        <v>94899.76</v>
      </c>
      <c r="V107" s="423">
        <v>0</v>
      </c>
      <c r="W107" s="423">
        <v>94899.76</v>
      </c>
      <c r="X107" s="423">
        <v>0</v>
      </c>
      <c r="Y107" s="423">
        <v>94899.76</v>
      </c>
      <c r="Z107" s="423">
        <v>0</v>
      </c>
      <c r="AA107" s="423">
        <v>94899.76</v>
      </c>
      <c r="AB107" s="423">
        <v>0</v>
      </c>
      <c r="AC107" s="423">
        <v>94899.76</v>
      </c>
      <c r="AD107" s="423">
        <v>0</v>
      </c>
      <c r="AE107" s="423">
        <f t="shared" si="7"/>
        <v>94899.76</v>
      </c>
      <c r="AF107" s="423">
        <f t="shared" si="7"/>
        <v>0</v>
      </c>
    </row>
    <row r="108" spans="1:32">
      <c r="A108" s="35">
        <v>100</v>
      </c>
      <c r="C108" s="6" t="s">
        <v>1893</v>
      </c>
      <c r="D108" s="6" t="str">
        <f t="shared" si="8"/>
        <v>00100</v>
      </c>
      <c r="E108" s="423">
        <v>399189.10000000003</v>
      </c>
      <c r="F108" s="423">
        <v>419149.75</v>
      </c>
      <c r="G108" s="423">
        <v>399189.10000000003</v>
      </c>
      <c r="H108" s="423">
        <v>419149.75</v>
      </c>
      <c r="I108" s="423">
        <v>399189.10000000003</v>
      </c>
      <c r="J108" s="423">
        <v>419149.75</v>
      </c>
      <c r="K108" s="423">
        <v>399189.10000000003</v>
      </c>
      <c r="L108" s="423">
        <v>419149.75</v>
      </c>
      <c r="M108" s="423">
        <v>399189.10000000003</v>
      </c>
      <c r="N108" s="423">
        <v>419149.75</v>
      </c>
      <c r="O108" s="423">
        <v>399189.10000000003</v>
      </c>
      <c r="P108" s="423">
        <v>419149.75</v>
      </c>
      <c r="Q108" s="423">
        <v>399189.10000000003</v>
      </c>
      <c r="R108" s="423">
        <v>419149.75</v>
      </c>
      <c r="S108" s="423">
        <v>399189.10000000003</v>
      </c>
      <c r="T108" s="423">
        <v>419149.75</v>
      </c>
      <c r="U108" s="423">
        <v>399189.10000000003</v>
      </c>
      <c r="V108" s="423">
        <v>419149.75</v>
      </c>
      <c r="W108" s="423">
        <v>399189.10000000003</v>
      </c>
      <c r="X108" s="423">
        <v>419228.09</v>
      </c>
      <c r="Y108" s="423">
        <v>399189.10000000003</v>
      </c>
      <c r="Z108" s="423">
        <v>419228.09</v>
      </c>
      <c r="AA108" s="423">
        <v>399189.10000000003</v>
      </c>
      <c r="AB108" s="423">
        <v>419228.09</v>
      </c>
      <c r="AC108" s="423">
        <v>399189.10000000003</v>
      </c>
      <c r="AD108" s="423">
        <v>419228.09</v>
      </c>
      <c r="AE108" s="423">
        <f t="shared" si="7"/>
        <v>399189.10000000003</v>
      </c>
      <c r="AF108" s="423">
        <f t="shared" si="7"/>
        <v>419172.59916666662</v>
      </c>
    </row>
    <row r="109" spans="1:32">
      <c r="A109" s="35">
        <v>101</v>
      </c>
      <c r="C109" s="6" t="s">
        <v>1894</v>
      </c>
      <c r="D109" s="6" t="str">
        <f t="shared" si="8"/>
        <v>00100</v>
      </c>
      <c r="E109" s="423">
        <v>954713.11</v>
      </c>
      <c r="F109" s="423">
        <v>696776.97</v>
      </c>
      <c r="G109" s="423">
        <v>954713.11</v>
      </c>
      <c r="H109" s="423">
        <v>696776.97</v>
      </c>
      <c r="I109" s="423">
        <v>954713.11</v>
      </c>
      <c r="J109" s="423">
        <v>696776.97</v>
      </c>
      <c r="K109" s="423">
        <v>954713.11</v>
      </c>
      <c r="L109" s="423">
        <v>696776.97</v>
      </c>
      <c r="M109" s="423">
        <v>954713.11</v>
      </c>
      <c r="N109" s="423">
        <v>696776.97</v>
      </c>
      <c r="O109" s="423">
        <v>954713.11</v>
      </c>
      <c r="P109" s="423">
        <v>696776.97</v>
      </c>
      <c r="Q109" s="423">
        <v>954713.11</v>
      </c>
      <c r="R109" s="423">
        <v>696776.97</v>
      </c>
      <c r="S109" s="423">
        <v>954713.11</v>
      </c>
      <c r="T109" s="423">
        <v>696776.97</v>
      </c>
      <c r="U109" s="423">
        <v>954713.11</v>
      </c>
      <c r="V109" s="423">
        <v>696776.97</v>
      </c>
      <c r="W109" s="423">
        <v>954713.11</v>
      </c>
      <c r="X109" s="423">
        <v>696776.97</v>
      </c>
      <c r="Y109" s="423">
        <v>954713.11</v>
      </c>
      <c r="Z109" s="423">
        <v>696776.97</v>
      </c>
      <c r="AA109" s="423">
        <v>954713.11</v>
      </c>
      <c r="AB109" s="423">
        <v>696776.97</v>
      </c>
      <c r="AC109" s="423">
        <v>954713.11</v>
      </c>
      <c r="AD109" s="423">
        <v>696776.97</v>
      </c>
      <c r="AE109" s="423">
        <f t="shared" si="7"/>
        <v>954713.10999999987</v>
      </c>
      <c r="AF109" s="423">
        <f t="shared" si="7"/>
        <v>696776.96999999986</v>
      </c>
    </row>
    <row r="110" spans="1:32">
      <c r="A110" s="35">
        <v>102</v>
      </c>
      <c r="C110" s="6" t="s">
        <v>1895</v>
      </c>
      <c r="D110" s="6" t="str">
        <f t="shared" si="8"/>
        <v>00100</v>
      </c>
      <c r="E110" s="423">
        <v>5807881.5899999999</v>
      </c>
      <c r="F110" s="423">
        <v>5322633.72</v>
      </c>
      <c r="G110" s="423">
        <v>5807881.5899999999</v>
      </c>
      <c r="H110" s="423">
        <v>5328635.2</v>
      </c>
      <c r="I110" s="423">
        <v>5819580.5999999996</v>
      </c>
      <c r="J110" s="423">
        <v>5334636.68</v>
      </c>
      <c r="K110" s="423">
        <v>5819580.5999999996</v>
      </c>
      <c r="L110" s="423">
        <v>5340650.25</v>
      </c>
      <c r="M110" s="423">
        <v>5819580.5999999996</v>
      </c>
      <c r="N110" s="423">
        <v>5346663.82</v>
      </c>
      <c r="O110" s="423">
        <v>5819148.3499999996</v>
      </c>
      <c r="P110" s="423">
        <v>5352677.3899999997</v>
      </c>
      <c r="Q110" s="423">
        <v>5819148.3499999996</v>
      </c>
      <c r="R110" s="423">
        <v>5358690.51</v>
      </c>
      <c r="S110" s="423">
        <v>5819148.3499999996</v>
      </c>
      <c r="T110" s="423">
        <v>5364703.63</v>
      </c>
      <c r="U110" s="423">
        <v>5862351.0199999996</v>
      </c>
      <c r="V110" s="423">
        <v>5370716.75</v>
      </c>
      <c r="W110" s="423">
        <v>5862351.0199999996</v>
      </c>
      <c r="X110" s="423">
        <v>5376774.5099999998</v>
      </c>
      <c r="Y110" s="423">
        <v>5862351.0199999996</v>
      </c>
      <c r="Z110" s="423">
        <v>5382832.2699999996</v>
      </c>
      <c r="AA110" s="423">
        <v>5862351.0199999996</v>
      </c>
      <c r="AB110" s="423">
        <v>5388890.0300000003</v>
      </c>
      <c r="AC110" s="423">
        <v>5862351.0199999996</v>
      </c>
      <c r="AD110" s="423">
        <v>5394947.79</v>
      </c>
      <c r="AE110" s="423">
        <f t="shared" si="7"/>
        <v>5834049.0687499987</v>
      </c>
      <c r="AF110" s="423">
        <f t="shared" si="7"/>
        <v>5358721.8162500011</v>
      </c>
    </row>
    <row r="111" spans="1:32">
      <c r="A111" s="35">
        <v>103</v>
      </c>
      <c r="C111" s="6" t="s">
        <v>1896</v>
      </c>
      <c r="D111" s="6" t="str">
        <f t="shared" si="8"/>
        <v>00100</v>
      </c>
      <c r="E111" s="423">
        <v>2184217.88</v>
      </c>
      <c r="F111" s="423">
        <v>-128808.1</v>
      </c>
      <c r="G111" s="423">
        <v>2306513.11</v>
      </c>
      <c r="H111" s="423">
        <v>-99248.35</v>
      </c>
      <c r="I111" s="423">
        <v>2308364.84</v>
      </c>
      <c r="J111" s="423">
        <v>-68033.540000000008</v>
      </c>
      <c r="K111" s="423">
        <v>2308364.84</v>
      </c>
      <c r="L111" s="423">
        <v>-36793.67</v>
      </c>
      <c r="M111" s="423">
        <v>2359058.62</v>
      </c>
      <c r="N111" s="423">
        <v>-5553.8</v>
      </c>
      <c r="O111" s="423">
        <v>2359058.62</v>
      </c>
      <c r="P111" s="423">
        <v>26372.13</v>
      </c>
      <c r="Q111" s="423">
        <v>2350808.7800000003</v>
      </c>
      <c r="R111" s="423">
        <v>58298.06</v>
      </c>
      <c r="S111" s="423">
        <v>2356168.14</v>
      </c>
      <c r="T111" s="423">
        <v>90355.94</v>
      </c>
      <c r="U111" s="423">
        <v>2356168.14</v>
      </c>
      <c r="V111" s="423">
        <v>122242.75</v>
      </c>
      <c r="W111" s="423">
        <v>2356168.14</v>
      </c>
      <c r="X111" s="423">
        <v>154129.56</v>
      </c>
      <c r="Y111" s="423">
        <v>2356168.14</v>
      </c>
      <c r="Z111" s="423">
        <v>186016.37</v>
      </c>
      <c r="AA111" s="423">
        <v>2356168.14</v>
      </c>
      <c r="AB111" s="423">
        <v>217903.18</v>
      </c>
      <c r="AC111" s="423">
        <v>2400564.7000000002</v>
      </c>
      <c r="AD111" s="423">
        <v>249789.99</v>
      </c>
      <c r="AE111" s="423">
        <f t="shared" si="7"/>
        <v>2338783.4000000004</v>
      </c>
      <c r="AF111" s="423">
        <f t="shared" si="7"/>
        <v>58848.297916666663</v>
      </c>
    </row>
    <row r="112" spans="1:32">
      <c r="A112" s="35">
        <v>104</v>
      </c>
      <c r="C112" s="6" t="s">
        <v>1897</v>
      </c>
      <c r="D112" s="6" t="str">
        <f t="shared" si="8"/>
        <v>00100</v>
      </c>
      <c r="E112" s="423">
        <v>0</v>
      </c>
      <c r="F112" s="423">
        <v>-5509.99</v>
      </c>
      <c r="G112" s="423">
        <v>0</v>
      </c>
      <c r="H112" s="423">
        <v>-5509.99</v>
      </c>
      <c r="I112" s="423">
        <v>0</v>
      </c>
      <c r="J112" s="423">
        <v>-5509.99</v>
      </c>
      <c r="K112" s="423">
        <v>0</v>
      </c>
      <c r="L112" s="423">
        <v>-5509.99</v>
      </c>
      <c r="M112" s="423">
        <v>0</v>
      </c>
      <c r="N112" s="423">
        <v>-5509.99</v>
      </c>
      <c r="O112" s="423">
        <v>0</v>
      </c>
      <c r="P112" s="423">
        <v>-5509.99</v>
      </c>
      <c r="Q112" s="423">
        <v>0</v>
      </c>
      <c r="R112" s="423">
        <v>-5509.99</v>
      </c>
      <c r="S112" s="423">
        <v>0</v>
      </c>
      <c r="T112" s="423">
        <v>-5509.99</v>
      </c>
      <c r="U112" s="423">
        <v>0</v>
      </c>
      <c r="V112" s="423">
        <v>0</v>
      </c>
      <c r="W112" s="423">
        <v>0</v>
      </c>
      <c r="X112" s="423">
        <v>0</v>
      </c>
      <c r="Y112" s="423">
        <v>0</v>
      </c>
      <c r="Z112" s="423">
        <v>0</v>
      </c>
      <c r="AA112" s="423">
        <v>0</v>
      </c>
      <c r="AB112" s="423">
        <v>0</v>
      </c>
      <c r="AC112" s="423">
        <v>0</v>
      </c>
      <c r="AD112" s="423">
        <v>0</v>
      </c>
      <c r="AE112" s="423">
        <f t="shared" si="7"/>
        <v>0</v>
      </c>
      <c r="AF112" s="423">
        <f t="shared" si="7"/>
        <v>-3443.7437499999996</v>
      </c>
    </row>
    <row r="113" spans="1:32">
      <c r="A113" s="35">
        <v>105</v>
      </c>
      <c r="C113" s="6" t="s">
        <v>1898</v>
      </c>
      <c r="D113" s="6" t="str">
        <f t="shared" si="8"/>
        <v>00100</v>
      </c>
      <c r="E113" s="423">
        <v>156470.54</v>
      </c>
      <c r="F113" s="423">
        <v>-275066.16000000003</v>
      </c>
      <c r="G113" s="423">
        <v>156470.54</v>
      </c>
      <c r="H113" s="423">
        <v>-272801.25</v>
      </c>
      <c r="I113" s="423">
        <v>156470.54</v>
      </c>
      <c r="J113" s="423">
        <v>-270536.34000000003</v>
      </c>
      <c r="K113" s="423">
        <v>156470.54</v>
      </c>
      <c r="L113" s="423">
        <v>-268271.43</v>
      </c>
      <c r="M113" s="423">
        <v>156470.54</v>
      </c>
      <c r="N113" s="423">
        <v>-266006.52</v>
      </c>
      <c r="O113" s="423">
        <v>156470.54</v>
      </c>
      <c r="P113" s="423">
        <v>-263741.61</v>
      </c>
      <c r="Q113" s="423">
        <v>156470.54</v>
      </c>
      <c r="R113" s="423">
        <v>-261476.7</v>
      </c>
      <c r="S113" s="423">
        <v>156470.54</v>
      </c>
      <c r="T113" s="423">
        <v>-259211.79</v>
      </c>
      <c r="U113" s="423">
        <v>156470.54</v>
      </c>
      <c r="V113" s="423">
        <v>-256946.88</v>
      </c>
      <c r="W113" s="423">
        <v>156470.54</v>
      </c>
      <c r="X113" s="423">
        <v>-254681.97</v>
      </c>
      <c r="Y113" s="423">
        <v>156470.54</v>
      </c>
      <c r="Z113" s="423">
        <v>-252417.06</v>
      </c>
      <c r="AA113" s="423">
        <v>156470.54</v>
      </c>
      <c r="AB113" s="423">
        <v>-250152.15</v>
      </c>
      <c r="AC113" s="423">
        <v>156470.54</v>
      </c>
      <c r="AD113" s="423">
        <v>-247887.24</v>
      </c>
      <c r="AE113" s="423">
        <f t="shared" si="7"/>
        <v>156470.54</v>
      </c>
      <c r="AF113" s="423">
        <f t="shared" si="7"/>
        <v>-261476.70000000004</v>
      </c>
    </row>
    <row r="114" spans="1:32">
      <c r="A114" s="35">
        <v>106</v>
      </c>
      <c r="C114" s="6" t="s">
        <v>1899</v>
      </c>
      <c r="D114" s="6" t="str">
        <f t="shared" si="8"/>
        <v>00100</v>
      </c>
      <c r="E114" s="423">
        <v>1276603.8500000001</v>
      </c>
      <c r="F114" s="423">
        <v>-130311.46</v>
      </c>
      <c r="G114" s="423">
        <v>1276603.8500000001</v>
      </c>
      <c r="H114" s="423">
        <v>-125013.55</v>
      </c>
      <c r="I114" s="423">
        <v>1276603.8500000001</v>
      </c>
      <c r="J114" s="423">
        <v>-119715.64</v>
      </c>
      <c r="K114" s="423">
        <v>1276603.8500000001</v>
      </c>
      <c r="L114" s="423">
        <v>-114417.73</v>
      </c>
      <c r="M114" s="423">
        <v>1276603.8500000001</v>
      </c>
      <c r="N114" s="423">
        <v>-109119.82</v>
      </c>
      <c r="O114" s="423">
        <v>1276603.8500000001</v>
      </c>
      <c r="P114" s="423">
        <v>-103821.91</v>
      </c>
      <c r="Q114" s="423">
        <v>1276603.8500000001</v>
      </c>
      <c r="R114" s="423">
        <v>-98524</v>
      </c>
      <c r="S114" s="423">
        <v>1276603.8500000001</v>
      </c>
      <c r="T114" s="423">
        <v>-93226.09</v>
      </c>
      <c r="U114" s="423">
        <v>1276603.8500000001</v>
      </c>
      <c r="V114" s="423">
        <v>-87928.180000000008</v>
      </c>
      <c r="W114" s="423">
        <v>1276603.8500000001</v>
      </c>
      <c r="X114" s="423">
        <v>-82630.27</v>
      </c>
      <c r="Y114" s="423">
        <v>1276603.8500000001</v>
      </c>
      <c r="Z114" s="423">
        <v>-77332.36</v>
      </c>
      <c r="AA114" s="423">
        <v>1276603.8500000001</v>
      </c>
      <c r="AB114" s="423">
        <v>-72034.45</v>
      </c>
      <c r="AC114" s="423">
        <v>1276603.8500000001</v>
      </c>
      <c r="AD114" s="423">
        <v>-66736.540000000008</v>
      </c>
      <c r="AE114" s="423">
        <f t="shared" si="7"/>
        <v>1276603.8499999999</v>
      </c>
      <c r="AF114" s="423">
        <f t="shared" si="7"/>
        <v>-98524</v>
      </c>
    </row>
    <row r="115" spans="1:32">
      <c r="A115" s="35">
        <v>107</v>
      </c>
      <c r="C115" s="6" t="s">
        <v>1900</v>
      </c>
      <c r="D115" s="6" t="str">
        <f t="shared" si="8"/>
        <v>00100</v>
      </c>
      <c r="E115" s="423">
        <v>2994409.61</v>
      </c>
      <c r="F115" s="423">
        <v>2994409.62</v>
      </c>
      <c r="G115" s="423">
        <v>2994409.61</v>
      </c>
      <c r="H115" s="423">
        <v>2994409.62</v>
      </c>
      <c r="I115" s="423">
        <v>2994409.61</v>
      </c>
      <c r="J115" s="423">
        <v>2994409.62</v>
      </c>
      <c r="K115" s="423">
        <v>2994409.61</v>
      </c>
      <c r="L115" s="423">
        <v>2994409.62</v>
      </c>
      <c r="M115" s="423">
        <v>2994409.61</v>
      </c>
      <c r="N115" s="423">
        <v>2994409.62</v>
      </c>
      <c r="O115" s="423">
        <v>2994409.61</v>
      </c>
      <c r="P115" s="423">
        <v>2994409.62</v>
      </c>
      <c r="Q115" s="423">
        <v>2994409.61</v>
      </c>
      <c r="R115" s="423">
        <v>2994409.62</v>
      </c>
      <c r="S115" s="423">
        <v>2994409.61</v>
      </c>
      <c r="T115" s="423">
        <v>2994409.62</v>
      </c>
      <c r="U115" s="423">
        <v>2994409.61</v>
      </c>
      <c r="V115" s="423">
        <v>2994409.62</v>
      </c>
      <c r="W115" s="423">
        <v>2994409.61</v>
      </c>
      <c r="X115" s="423">
        <v>2994409.62</v>
      </c>
      <c r="Y115" s="423">
        <v>2994409.61</v>
      </c>
      <c r="Z115" s="423">
        <v>2994409.62</v>
      </c>
      <c r="AA115" s="423">
        <v>2994409.61</v>
      </c>
      <c r="AB115" s="423">
        <v>2994409.62</v>
      </c>
      <c r="AC115" s="423">
        <v>2994409.61</v>
      </c>
      <c r="AD115" s="423">
        <v>2994409.62</v>
      </c>
      <c r="AE115" s="423">
        <f t="shared" si="7"/>
        <v>2994409.61</v>
      </c>
      <c r="AF115" s="423">
        <f t="shared" si="7"/>
        <v>2994409.6200000006</v>
      </c>
    </row>
    <row r="116" spans="1:32">
      <c r="A116" s="35">
        <v>108</v>
      </c>
      <c r="C116" s="6" t="s">
        <v>1901</v>
      </c>
      <c r="D116" s="6" t="str">
        <f t="shared" si="8"/>
        <v>00100</v>
      </c>
      <c r="E116" s="423">
        <v>48394.18</v>
      </c>
      <c r="F116" s="423">
        <v>34697.26</v>
      </c>
      <c r="G116" s="423">
        <v>48394.18</v>
      </c>
      <c r="H116" s="423">
        <v>34824.300000000003</v>
      </c>
      <c r="I116" s="423">
        <v>48394.18</v>
      </c>
      <c r="J116" s="423">
        <v>34951.340000000004</v>
      </c>
      <c r="K116" s="423">
        <v>48394.18</v>
      </c>
      <c r="L116" s="423">
        <v>35078.379999999997</v>
      </c>
      <c r="M116" s="423">
        <v>48394.18</v>
      </c>
      <c r="N116" s="423">
        <v>35205.42</v>
      </c>
      <c r="O116" s="423">
        <v>48394.18</v>
      </c>
      <c r="P116" s="423">
        <v>35332.46</v>
      </c>
      <c r="Q116" s="423">
        <v>48394.18</v>
      </c>
      <c r="R116" s="423">
        <v>35459.5</v>
      </c>
      <c r="S116" s="423">
        <v>48394.18</v>
      </c>
      <c r="T116" s="423">
        <v>35586.54</v>
      </c>
      <c r="U116" s="423">
        <v>48394.18</v>
      </c>
      <c r="V116" s="423">
        <v>35713.58</v>
      </c>
      <c r="W116" s="423">
        <v>48394.18</v>
      </c>
      <c r="X116" s="423">
        <v>35840.620000000003</v>
      </c>
      <c r="Y116" s="423">
        <v>48394.18</v>
      </c>
      <c r="Z116" s="423">
        <v>35967.660000000003</v>
      </c>
      <c r="AA116" s="423">
        <v>48394.18</v>
      </c>
      <c r="AB116" s="423">
        <v>36094.700000000004</v>
      </c>
      <c r="AC116" s="423">
        <v>48394.18</v>
      </c>
      <c r="AD116" s="423">
        <v>36221.74</v>
      </c>
      <c r="AE116" s="423">
        <f t="shared" si="7"/>
        <v>48394.18</v>
      </c>
      <c r="AF116" s="423">
        <f t="shared" si="7"/>
        <v>35459.500000000007</v>
      </c>
    </row>
    <row r="117" spans="1:32">
      <c r="A117" s="35">
        <v>109</v>
      </c>
      <c r="C117" s="6" t="s">
        <v>1902</v>
      </c>
      <c r="D117" s="6" t="str">
        <f t="shared" si="8"/>
        <v>00100</v>
      </c>
      <c r="E117" s="423">
        <v>1862879.1099999999</v>
      </c>
      <c r="F117" s="423">
        <v>610375.21</v>
      </c>
      <c r="G117" s="423">
        <v>1862879.1099999999</v>
      </c>
      <c r="H117" s="423">
        <v>619922.46</v>
      </c>
      <c r="I117" s="423">
        <v>1862879.1099999999</v>
      </c>
      <c r="J117" s="423">
        <v>629469.71</v>
      </c>
      <c r="K117" s="423">
        <v>1823644.54</v>
      </c>
      <c r="L117" s="423">
        <v>610782.39</v>
      </c>
      <c r="M117" s="423">
        <v>1690581.07</v>
      </c>
      <c r="N117" s="423">
        <v>560189.69000000006</v>
      </c>
      <c r="O117" s="423">
        <v>1727369.21</v>
      </c>
      <c r="P117" s="423">
        <v>568853.92000000004</v>
      </c>
      <c r="Q117" s="423">
        <v>1705419.3900000001</v>
      </c>
      <c r="R117" s="423">
        <v>557907.29</v>
      </c>
      <c r="S117" s="423">
        <v>1705435.58</v>
      </c>
      <c r="T117" s="423">
        <v>566647.56000000006</v>
      </c>
      <c r="U117" s="423">
        <v>1892475.26</v>
      </c>
      <c r="V117" s="423">
        <v>575387.91</v>
      </c>
      <c r="W117" s="423">
        <v>1893123.4500000002</v>
      </c>
      <c r="X117" s="423">
        <v>595086.85</v>
      </c>
      <c r="Y117" s="423">
        <v>1885880.23</v>
      </c>
      <c r="Z117" s="423">
        <v>604789.11</v>
      </c>
      <c r="AA117" s="423">
        <v>1889123.29</v>
      </c>
      <c r="AB117" s="423">
        <v>614454.24</v>
      </c>
      <c r="AC117" s="423">
        <v>1889123.29</v>
      </c>
      <c r="AD117" s="423">
        <v>624136</v>
      </c>
      <c r="AE117" s="423">
        <f t="shared" si="7"/>
        <v>1817900.9533333331</v>
      </c>
      <c r="AF117" s="423">
        <f t="shared" si="7"/>
        <v>593395.56124999991</v>
      </c>
    </row>
    <row r="118" spans="1:32">
      <c r="A118" s="35">
        <v>110</v>
      </c>
      <c r="C118" s="6" t="s">
        <v>1903</v>
      </c>
      <c r="D118" s="6" t="str">
        <f t="shared" si="8"/>
        <v>00100</v>
      </c>
      <c r="E118" s="423">
        <v>43088.19</v>
      </c>
      <c r="F118" s="423">
        <v>11433.29</v>
      </c>
      <c r="G118" s="423">
        <v>43088.19</v>
      </c>
      <c r="H118" s="423">
        <v>11625.03</v>
      </c>
      <c r="I118" s="423">
        <v>43088.19</v>
      </c>
      <c r="J118" s="423">
        <v>11816.77</v>
      </c>
      <c r="K118" s="423">
        <v>43088.19</v>
      </c>
      <c r="L118" s="423">
        <v>12008.51</v>
      </c>
      <c r="M118" s="423">
        <v>43088.19</v>
      </c>
      <c r="N118" s="423">
        <v>12200.25</v>
      </c>
      <c r="O118" s="423">
        <v>43088.19</v>
      </c>
      <c r="P118" s="423">
        <v>12391.99</v>
      </c>
      <c r="Q118" s="423">
        <v>43088.19</v>
      </c>
      <c r="R118" s="423">
        <v>12583.73</v>
      </c>
      <c r="S118" s="423">
        <v>43088.19</v>
      </c>
      <c r="T118" s="423">
        <v>12775.470000000001</v>
      </c>
      <c r="U118" s="423">
        <v>43088.19</v>
      </c>
      <c r="V118" s="423">
        <v>12967.210000000001</v>
      </c>
      <c r="W118" s="423">
        <v>43088.19</v>
      </c>
      <c r="X118" s="423">
        <v>13158.95</v>
      </c>
      <c r="Y118" s="423">
        <v>43088.19</v>
      </c>
      <c r="Z118" s="423">
        <v>13350.69</v>
      </c>
      <c r="AA118" s="423">
        <v>43088.19</v>
      </c>
      <c r="AB118" s="423">
        <v>13542.43</v>
      </c>
      <c r="AC118" s="423">
        <v>43088.19</v>
      </c>
      <c r="AD118" s="423">
        <v>13734.17</v>
      </c>
      <c r="AE118" s="423">
        <f t="shared" si="7"/>
        <v>43088.19</v>
      </c>
      <c r="AF118" s="423">
        <f t="shared" si="7"/>
        <v>12583.730000000001</v>
      </c>
    </row>
    <row r="119" spans="1:32">
      <c r="A119" s="35">
        <v>111</v>
      </c>
      <c r="C119" s="6" t="s">
        <v>1904</v>
      </c>
      <c r="D119" s="6" t="str">
        <f t="shared" si="8"/>
        <v>00100</v>
      </c>
      <c r="E119" s="423">
        <v>1807005.17</v>
      </c>
      <c r="F119" s="423">
        <v>407255.12</v>
      </c>
      <c r="G119" s="423">
        <v>1771449.29</v>
      </c>
      <c r="H119" s="423">
        <v>372322.8</v>
      </c>
      <c r="I119" s="423">
        <v>1773147.3599999999</v>
      </c>
      <c r="J119" s="423">
        <v>377578.10000000003</v>
      </c>
      <c r="K119" s="423">
        <v>1797236.25</v>
      </c>
      <c r="L119" s="423">
        <v>369616.56</v>
      </c>
      <c r="M119" s="423">
        <v>1797236.25</v>
      </c>
      <c r="N119" s="423">
        <v>374948.36</v>
      </c>
      <c r="O119" s="423">
        <v>1797236.25</v>
      </c>
      <c r="P119" s="423">
        <v>380280.16000000003</v>
      </c>
      <c r="Q119" s="423">
        <v>1797236.25</v>
      </c>
      <c r="R119" s="423">
        <v>385611.96</v>
      </c>
      <c r="S119" s="423">
        <v>1803466.4300000002</v>
      </c>
      <c r="T119" s="423">
        <v>390943.76</v>
      </c>
      <c r="U119" s="423">
        <v>1807125.4300000002</v>
      </c>
      <c r="V119" s="423">
        <v>396294.04000000004</v>
      </c>
      <c r="W119" s="423">
        <v>1807125.4300000002</v>
      </c>
      <c r="X119" s="423">
        <v>401655.18</v>
      </c>
      <c r="Y119" s="423">
        <v>1831828.1</v>
      </c>
      <c r="Z119" s="423">
        <v>407016.32</v>
      </c>
      <c r="AA119" s="423">
        <v>1832746.1600000001</v>
      </c>
      <c r="AB119" s="423">
        <v>412450.74</v>
      </c>
      <c r="AC119" s="423">
        <v>1832745.72</v>
      </c>
      <c r="AD119" s="423">
        <v>417887.89</v>
      </c>
      <c r="AE119" s="423">
        <f t="shared" si="7"/>
        <v>1802975.7204166667</v>
      </c>
      <c r="AF119" s="423">
        <f t="shared" si="7"/>
        <v>390107.45708333334</v>
      </c>
    </row>
    <row r="120" spans="1:32">
      <c r="A120" s="35">
        <v>112</v>
      </c>
      <c r="C120" s="6" t="s">
        <v>1905</v>
      </c>
      <c r="D120" s="6" t="str">
        <f t="shared" si="8"/>
        <v>00100</v>
      </c>
      <c r="E120" s="423">
        <v>96880.82</v>
      </c>
      <c r="F120" s="423">
        <v>35862.69</v>
      </c>
      <c r="G120" s="423">
        <v>96880.82</v>
      </c>
      <c r="H120" s="423">
        <v>36234.07</v>
      </c>
      <c r="I120" s="423">
        <v>96880.82</v>
      </c>
      <c r="J120" s="423">
        <v>36605.450000000004</v>
      </c>
      <c r="K120" s="423">
        <v>96880.82</v>
      </c>
      <c r="L120" s="423">
        <v>36976.83</v>
      </c>
      <c r="M120" s="423">
        <v>96880.82</v>
      </c>
      <c r="N120" s="423">
        <v>37348.21</v>
      </c>
      <c r="O120" s="423">
        <v>96880.82</v>
      </c>
      <c r="P120" s="423">
        <v>37719.590000000004</v>
      </c>
      <c r="Q120" s="423">
        <v>96880.82</v>
      </c>
      <c r="R120" s="423">
        <v>38090.97</v>
      </c>
      <c r="S120" s="423">
        <v>96880.82</v>
      </c>
      <c r="T120" s="423">
        <v>38462.35</v>
      </c>
      <c r="U120" s="423">
        <v>96880.82</v>
      </c>
      <c r="V120" s="423">
        <v>38833.730000000003</v>
      </c>
      <c r="W120" s="423">
        <v>96880.82</v>
      </c>
      <c r="X120" s="423">
        <v>39205.11</v>
      </c>
      <c r="Y120" s="423">
        <v>96880.82</v>
      </c>
      <c r="Z120" s="423">
        <v>39576.49</v>
      </c>
      <c r="AA120" s="423">
        <v>96880.82</v>
      </c>
      <c r="AB120" s="423">
        <v>39947.870000000003</v>
      </c>
      <c r="AC120" s="423">
        <v>96880.82</v>
      </c>
      <c r="AD120" s="423">
        <v>40319.25</v>
      </c>
      <c r="AE120" s="423">
        <f t="shared" si="7"/>
        <v>96880.820000000022</v>
      </c>
      <c r="AF120" s="423">
        <f t="shared" si="7"/>
        <v>38090.97</v>
      </c>
    </row>
    <row r="121" spans="1:32">
      <c r="A121" s="35">
        <v>113</v>
      </c>
      <c r="C121" s="6" t="s">
        <v>1906</v>
      </c>
      <c r="D121" s="6" t="str">
        <f t="shared" si="8"/>
        <v>00100</v>
      </c>
      <c r="E121" s="423">
        <v>-101377.08</v>
      </c>
      <c r="F121" s="423">
        <v>14178.11</v>
      </c>
      <c r="G121" s="423">
        <v>-101377.08</v>
      </c>
      <c r="H121" s="423">
        <v>13740.5</v>
      </c>
      <c r="I121" s="423">
        <v>-101377.08</v>
      </c>
      <c r="J121" s="423">
        <v>13302.89</v>
      </c>
      <c r="K121" s="423">
        <v>-101377.08</v>
      </c>
      <c r="L121" s="423">
        <v>12865.28</v>
      </c>
      <c r="M121" s="423">
        <v>-95577.35</v>
      </c>
      <c r="N121" s="423">
        <v>12095.300000000001</v>
      </c>
      <c r="O121" s="423">
        <v>-95577.35</v>
      </c>
      <c r="P121" s="423">
        <v>11682.73</v>
      </c>
      <c r="Q121" s="423">
        <v>-95577.35</v>
      </c>
      <c r="R121" s="423">
        <v>11270.16</v>
      </c>
      <c r="S121" s="423">
        <v>-95577.35</v>
      </c>
      <c r="T121" s="423">
        <v>10857.59</v>
      </c>
      <c r="U121" s="423">
        <v>-95577.35</v>
      </c>
      <c r="V121" s="423">
        <v>10445.02</v>
      </c>
      <c r="W121" s="423">
        <v>-95577.35</v>
      </c>
      <c r="X121" s="423">
        <v>10032.450000000001</v>
      </c>
      <c r="Y121" s="423">
        <v>-95577.35</v>
      </c>
      <c r="Z121" s="423">
        <v>9619.880000000001</v>
      </c>
      <c r="AA121" s="423">
        <v>-95577.35</v>
      </c>
      <c r="AB121" s="423">
        <v>9207.31</v>
      </c>
      <c r="AC121" s="423">
        <v>-95577.35</v>
      </c>
      <c r="AD121" s="423">
        <v>8794.74</v>
      </c>
      <c r="AE121" s="423">
        <f t="shared" si="7"/>
        <v>-97268.937916666662</v>
      </c>
      <c r="AF121" s="423">
        <f t="shared" si="7"/>
        <v>11383.794583333334</v>
      </c>
    </row>
    <row r="122" spans="1:32">
      <c r="A122" s="35">
        <v>114</v>
      </c>
      <c r="C122" s="6" t="s">
        <v>1907</v>
      </c>
      <c r="D122" s="6" t="str">
        <f t="shared" si="8"/>
        <v>00100</v>
      </c>
      <c r="E122" s="423">
        <v>26798.560000000001</v>
      </c>
      <c r="F122" s="423">
        <v>-2175.2600000000002</v>
      </c>
      <c r="G122" s="423">
        <v>26798.560000000001</v>
      </c>
      <c r="H122" s="423">
        <v>-2105.59</v>
      </c>
      <c r="I122" s="423">
        <v>26798.560000000001</v>
      </c>
      <c r="J122" s="423">
        <v>-2035.92</v>
      </c>
      <c r="K122" s="423">
        <v>26798.560000000001</v>
      </c>
      <c r="L122" s="423">
        <v>-1966.25</v>
      </c>
      <c r="M122" s="423">
        <v>26798.560000000001</v>
      </c>
      <c r="N122" s="423">
        <v>-1896.58</v>
      </c>
      <c r="O122" s="423">
        <v>26798.560000000001</v>
      </c>
      <c r="P122" s="423">
        <v>-1826.91</v>
      </c>
      <c r="Q122" s="423">
        <v>26798.560000000001</v>
      </c>
      <c r="R122" s="423">
        <v>-1757.24</v>
      </c>
      <c r="S122" s="423">
        <v>26798.560000000001</v>
      </c>
      <c r="T122" s="423">
        <v>-1687.57</v>
      </c>
      <c r="U122" s="423">
        <v>26798.560000000001</v>
      </c>
      <c r="V122" s="423">
        <v>-1617.9</v>
      </c>
      <c r="W122" s="423">
        <v>26798.560000000001</v>
      </c>
      <c r="X122" s="423">
        <v>-1548.23</v>
      </c>
      <c r="Y122" s="423">
        <v>26798.560000000001</v>
      </c>
      <c r="Z122" s="423">
        <v>-1478.56</v>
      </c>
      <c r="AA122" s="423">
        <v>26798.560000000001</v>
      </c>
      <c r="AB122" s="423">
        <v>-1408.89</v>
      </c>
      <c r="AC122" s="423">
        <v>26798.560000000001</v>
      </c>
      <c r="AD122" s="423">
        <v>-1339.22</v>
      </c>
      <c r="AE122" s="423">
        <f t="shared" si="7"/>
        <v>26798.560000000001</v>
      </c>
      <c r="AF122" s="423">
        <f t="shared" si="7"/>
        <v>-1757.24</v>
      </c>
    </row>
    <row r="123" spans="1:32">
      <c r="A123" s="35">
        <v>115</v>
      </c>
      <c r="C123" s="6" t="s">
        <v>1908</v>
      </c>
      <c r="D123" s="6" t="str">
        <f t="shared" si="8"/>
        <v>00100</v>
      </c>
      <c r="E123" s="423">
        <v>10882.89</v>
      </c>
      <c r="F123" s="423">
        <v>2068.25</v>
      </c>
      <c r="G123" s="423">
        <v>10882.89</v>
      </c>
      <c r="H123" s="423">
        <v>2153.23</v>
      </c>
      <c r="I123" s="423">
        <v>10882.89</v>
      </c>
      <c r="J123" s="423">
        <v>2238.21</v>
      </c>
      <c r="K123" s="423">
        <v>10882.89</v>
      </c>
      <c r="L123" s="423">
        <v>2323.19</v>
      </c>
      <c r="M123" s="423">
        <v>10882.89</v>
      </c>
      <c r="N123" s="423">
        <v>2408.17</v>
      </c>
      <c r="O123" s="423">
        <v>10882.89</v>
      </c>
      <c r="P123" s="423">
        <v>2493.15</v>
      </c>
      <c r="Q123" s="423">
        <v>10882.89</v>
      </c>
      <c r="R123" s="423">
        <v>2578.13</v>
      </c>
      <c r="S123" s="423">
        <v>10882.89</v>
      </c>
      <c r="T123" s="423">
        <v>2663.11</v>
      </c>
      <c r="U123" s="423">
        <v>10882.89</v>
      </c>
      <c r="V123" s="423">
        <v>2748.09</v>
      </c>
      <c r="W123" s="423">
        <v>10882.89</v>
      </c>
      <c r="X123" s="423">
        <v>2833.07</v>
      </c>
      <c r="Y123" s="423">
        <v>10882.89</v>
      </c>
      <c r="Z123" s="423">
        <v>2918.05</v>
      </c>
      <c r="AA123" s="423">
        <v>10882.89</v>
      </c>
      <c r="AB123" s="423">
        <v>3003.03</v>
      </c>
      <c r="AC123" s="423">
        <v>10882.89</v>
      </c>
      <c r="AD123" s="423">
        <v>3088.01</v>
      </c>
      <c r="AE123" s="423">
        <f t="shared" si="7"/>
        <v>10882.89</v>
      </c>
      <c r="AF123" s="423">
        <f t="shared" si="7"/>
        <v>2578.13</v>
      </c>
    </row>
    <row r="124" spans="1:32">
      <c r="A124" s="35">
        <v>116</v>
      </c>
      <c r="C124" s="6" t="s">
        <v>1909</v>
      </c>
      <c r="D124" s="6" t="str">
        <f t="shared" si="8"/>
        <v>00100</v>
      </c>
      <c r="E124" s="423">
        <v>699164.71</v>
      </c>
      <c r="F124" s="423">
        <v>658405.49</v>
      </c>
      <c r="G124" s="423">
        <v>699164.71</v>
      </c>
      <c r="H124" s="423">
        <v>658481.23</v>
      </c>
      <c r="I124" s="423">
        <v>699164.71</v>
      </c>
      <c r="J124" s="423">
        <v>658556.97</v>
      </c>
      <c r="K124" s="423">
        <v>699164.71</v>
      </c>
      <c r="L124" s="423">
        <v>658632.71</v>
      </c>
      <c r="M124" s="423">
        <v>699164.71</v>
      </c>
      <c r="N124" s="423">
        <v>658708.45000000007</v>
      </c>
      <c r="O124" s="423">
        <v>699164.71</v>
      </c>
      <c r="P124" s="423">
        <v>658784.19000000006</v>
      </c>
      <c r="Q124" s="423">
        <v>699164.71</v>
      </c>
      <c r="R124" s="423">
        <v>658859.93000000005</v>
      </c>
      <c r="S124" s="423">
        <v>699164.71</v>
      </c>
      <c r="T124" s="423">
        <v>658935.67000000004</v>
      </c>
      <c r="U124" s="423">
        <v>699164.71</v>
      </c>
      <c r="V124" s="423">
        <v>659011.41</v>
      </c>
      <c r="W124" s="423">
        <v>699164.71</v>
      </c>
      <c r="X124" s="423">
        <v>659087.15</v>
      </c>
      <c r="Y124" s="423">
        <v>699164.71</v>
      </c>
      <c r="Z124" s="423">
        <v>659162.89</v>
      </c>
      <c r="AA124" s="423">
        <v>755929.81</v>
      </c>
      <c r="AB124" s="423">
        <v>659238.63</v>
      </c>
      <c r="AC124" s="423">
        <v>755929.81</v>
      </c>
      <c r="AD124" s="423">
        <v>659320.52</v>
      </c>
      <c r="AE124" s="423">
        <f t="shared" si="7"/>
        <v>706260.34750000003</v>
      </c>
      <c r="AF124" s="423">
        <f t="shared" si="7"/>
        <v>658860.18625000003</v>
      </c>
    </row>
    <row r="125" spans="1:32">
      <c r="A125" s="35">
        <v>117</v>
      </c>
      <c r="C125" s="6" t="s">
        <v>1910</v>
      </c>
      <c r="D125" s="6" t="str">
        <f t="shared" si="8"/>
        <v>00100</v>
      </c>
      <c r="E125" s="423">
        <v>134305.54</v>
      </c>
      <c r="F125" s="423">
        <v>-70992.490000000005</v>
      </c>
      <c r="G125" s="423">
        <v>134305.54</v>
      </c>
      <c r="H125" s="423">
        <v>-69965.05</v>
      </c>
      <c r="I125" s="423">
        <v>134305.54</v>
      </c>
      <c r="J125" s="423">
        <v>-68937.61</v>
      </c>
      <c r="K125" s="423">
        <v>134305.54</v>
      </c>
      <c r="L125" s="423">
        <v>-67910.17</v>
      </c>
      <c r="M125" s="423">
        <v>134305.54</v>
      </c>
      <c r="N125" s="423">
        <v>-66882.73</v>
      </c>
      <c r="O125" s="423">
        <v>134305.54</v>
      </c>
      <c r="P125" s="423">
        <v>-65855.290000000008</v>
      </c>
      <c r="Q125" s="423">
        <v>134305.54</v>
      </c>
      <c r="R125" s="423">
        <v>-64827.85</v>
      </c>
      <c r="S125" s="423">
        <v>134305.54</v>
      </c>
      <c r="T125" s="423">
        <v>-63800.41</v>
      </c>
      <c r="U125" s="423">
        <v>134305.54</v>
      </c>
      <c r="V125" s="423">
        <v>-62772.97</v>
      </c>
      <c r="W125" s="423">
        <v>134305.54</v>
      </c>
      <c r="X125" s="423">
        <v>-61745.53</v>
      </c>
      <c r="Y125" s="423">
        <v>134305.54</v>
      </c>
      <c r="Z125" s="423">
        <v>-60718.090000000004</v>
      </c>
      <c r="AA125" s="423">
        <v>134305.54</v>
      </c>
      <c r="AB125" s="423">
        <v>-59690.65</v>
      </c>
      <c r="AC125" s="423">
        <v>134305.54</v>
      </c>
      <c r="AD125" s="423">
        <v>-58663.21</v>
      </c>
      <c r="AE125" s="423">
        <f t="shared" si="7"/>
        <v>134305.54</v>
      </c>
      <c r="AF125" s="423">
        <f t="shared" si="7"/>
        <v>-64827.85</v>
      </c>
    </row>
    <row r="126" spans="1:32">
      <c r="A126" s="35">
        <v>118</v>
      </c>
      <c r="C126" s="6" t="s">
        <v>1911</v>
      </c>
      <c r="D126" s="6" t="str">
        <f t="shared" si="8"/>
        <v>00100</v>
      </c>
      <c r="E126" s="423">
        <v>59484.53</v>
      </c>
      <c r="F126" s="423">
        <v>-749.38</v>
      </c>
      <c r="G126" s="423">
        <v>59484.53</v>
      </c>
      <c r="H126" s="423">
        <v>-228.39000000000001</v>
      </c>
      <c r="I126" s="423">
        <v>59484.53</v>
      </c>
      <c r="J126" s="423">
        <v>292.60000000000002</v>
      </c>
      <c r="K126" s="423">
        <v>59484.53</v>
      </c>
      <c r="L126" s="423">
        <v>813.59</v>
      </c>
      <c r="M126" s="423">
        <v>59484.53</v>
      </c>
      <c r="N126" s="423">
        <v>1334.58</v>
      </c>
      <c r="O126" s="423">
        <v>59484.53</v>
      </c>
      <c r="P126" s="423">
        <v>1855.57</v>
      </c>
      <c r="Q126" s="423">
        <v>59484.53</v>
      </c>
      <c r="R126" s="423">
        <v>2376.56</v>
      </c>
      <c r="S126" s="423">
        <v>59484.53</v>
      </c>
      <c r="T126" s="423">
        <v>2897.55</v>
      </c>
      <c r="U126" s="423">
        <v>59484.53</v>
      </c>
      <c r="V126" s="423">
        <v>3418.54</v>
      </c>
      <c r="W126" s="423">
        <v>59484.53</v>
      </c>
      <c r="X126" s="423">
        <v>3939.53</v>
      </c>
      <c r="Y126" s="423">
        <v>59484.53</v>
      </c>
      <c r="Z126" s="423">
        <v>4460.5200000000004</v>
      </c>
      <c r="AA126" s="423">
        <v>59484.53</v>
      </c>
      <c r="AB126" s="423">
        <v>4981.51</v>
      </c>
      <c r="AC126" s="423">
        <v>59484.53</v>
      </c>
      <c r="AD126" s="423">
        <v>5502.5</v>
      </c>
      <c r="AE126" s="423">
        <f t="shared" si="7"/>
        <v>59484.530000000021</v>
      </c>
      <c r="AF126" s="423">
        <f t="shared" si="7"/>
        <v>2376.5600000000004</v>
      </c>
    </row>
    <row r="127" spans="1:32">
      <c r="A127" s="35">
        <v>119</v>
      </c>
      <c r="C127" s="6" t="s">
        <v>1912</v>
      </c>
      <c r="D127" s="6" t="str">
        <f t="shared" si="8"/>
        <v>00101</v>
      </c>
      <c r="E127" s="423">
        <v>152895.69</v>
      </c>
      <c r="F127" s="423">
        <v>877.88</v>
      </c>
      <c r="G127" s="423">
        <v>152895.69</v>
      </c>
      <c r="H127" s="423">
        <v>1755.76</v>
      </c>
      <c r="I127" s="423">
        <v>152895.69</v>
      </c>
      <c r="J127" s="423">
        <v>2633.64</v>
      </c>
      <c r="K127" s="423">
        <v>160441.69</v>
      </c>
      <c r="L127" s="423">
        <v>-5239.4800000000005</v>
      </c>
      <c r="M127" s="423">
        <v>1711691.02</v>
      </c>
      <c r="N127" s="423">
        <v>-4318.28</v>
      </c>
      <c r="O127" s="423">
        <v>1814160.85</v>
      </c>
      <c r="P127" s="423">
        <v>5501.22</v>
      </c>
      <c r="Q127" s="423">
        <v>1841077.5899999999</v>
      </c>
      <c r="R127" s="423">
        <v>15917.53</v>
      </c>
      <c r="S127" s="423">
        <v>1841077.5899999999</v>
      </c>
      <c r="T127" s="423">
        <v>26470.74</v>
      </c>
      <c r="U127" s="423">
        <v>1932569.9300000002</v>
      </c>
      <c r="V127" s="423">
        <v>37041.590000000004</v>
      </c>
      <c r="W127" s="423">
        <v>2015329.4</v>
      </c>
      <c r="X127" s="423">
        <v>52694.76</v>
      </c>
      <c r="Y127" s="423">
        <v>2093935.68</v>
      </c>
      <c r="Z127" s="423">
        <v>64266.11</v>
      </c>
      <c r="AA127" s="423">
        <v>2094021.05</v>
      </c>
      <c r="AB127" s="423">
        <v>76288.790000000008</v>
      </c>
      <c r="AC127" s="423">
        <v>2097605.38</v>
      </c>
      <c r="AD127" s="423">
        <v>88311.96</v>
      </c>
      <c r="AE127" s="423">
        <f t="shared" si="7"/>
        <v>1411278.8929166666</v>
      </c>
      <c r="AF127" s="423">
        <f t="shared" si="7"/>
        <v>26467.274999999998</v>
      </c>
    </row>
    <row r="128" spans="1:32">
      <c r="A128" s="35">
        <v>120</v>
      </c>
      <c r="C128" s="6" t="s">
        <v>1913</v>
      </c>
      <c r="D128" s="6" t="str">
        <f t="shared" si="8"/>
        <v>00101</v>
      </c>
      <c r="E128" s="423">
        <v>51182030.329999998</v>
      </c>
      <c r="F128" s="423">
        <v>16837378.149999999</v>
      </c>
      <c r="G128" s="423">
        <v>51160208.359999999</v>
      </c>
      <c r="H128" s="423">
        <v>16899812.190000001</v>
      </c>
      <c r="I128" s="423">
        <v>51060135.469999999</v>
      </c>
      <c r="J128" s="423">
        <v>16852905.27</v>
      </c>
      <c r="K128" s="423">
        <v>51639163.960000001</v>
      </c>
      <c r="L128" s="423">
        <v>16920899.539999999</v>
      </c>
      <c r="M128" s="423">
        <v>50406543.200000003</v>
      </c>
      <c r="N128" s="423">
        <v>16957899.129999999</v>
      </c>
      <c r="O128" s="423">
        <v>51892286.270000003</v>
      </c>
      <c r="P128" s="423">
        <v>17019364.969999999</v>
      </c>
      <c r="Q128" s="423">
        <v>52379921.789999999</v>
      </c>
      <c r="R128" s="423">
        <v>17013189.66</v>
      </c>
      <c r="S128" s="423">
        <v>52727038.460000001</v>
      </c>
      <c r="T128" s="423">
        <v>17083649.920000002</v>
      </c>
      <c r="U128" s="423">
        <v>52882327.759999998</v>
      </c>
      <c r="V128" s="423">
        <v>17183391.899999999</v>
      </c>
      <c r="W128" s="423">
        <v>53103996.219999999</v>
      </c>
      <c r="X128" s="423">
        <v>17141518.27</v>
      </c>
      <c r="Y128" s="423">
        <v>53335011</v>
      </c>
      <c r="Z128" s="423">
        <v>17129958.969999999</v>
      </c>
      <c r="AA128" s="423">
        <v>53897711.869999997</v>
      </c>
      <c r="AB128" s="423">
        <v>17190421.510000002</v>
      </c>
      <c r="AC128" s="423">
        <v>54174250</v>
      </c>
      <c r="AD128" s="423">
        <v>17253698.82</v>
      </c>
      <c r="AE128" s="423">
        <f t="shared" si="7"/>
        <v>52263540.377083331</v>
      </c>
      <c r="AF128" s="423">
        <f t="shared" si="7"/>
        <v>17036545.817916665</v>
      </c>
    </row>
    <row r="129" spans="1:32">
      <c r="A129" s="35">
        <v>121</v>
      </c>
      <c r="C129" s="6" t="s">
        <v>1914</v>
      </c>
      <c r="D129" s="6" t="str">
        <f t="shared" si="8"/>
        <v>00101</v>
      </c>
      <c r="E129" s="423">
        <v>10358744.91</v>
      </c>
      <c r="F129" s="423">
        <v>3715135.11</v>
      </c>
      <c r="G129" s="423">
        <v>10355536.439999999</v>
      </c>
      <c r="H129" s="423">
        <v>3726929.45</v>
      </c>
      <c r="I129" s="423">
        <v>10315040.960000001</v>
      </c>
      <c r="J129" s="423">
        <v>3706454.67</v>
      </c>
      <c r="K129" s="423">
        <v>10333469.91</v>
      </c>
      <c r="L129" s="423">
        <v>3719301.89</v>
      </c>
      <c r="M129" s="423">
        <v>10338986.5</v>
      </c>
      <c r="N129" s="423">
        <v>3725738.58</v>
      </c>
      <c r="O129" s="423">
        <v>10366133.07</v>
      </c>
      <c r="P129" s="423">
        <v>3725109.34</v>
      </c>
      <c r="Q129" s="423">
        <v>10339476.75</v>
      </c>
      <c r="R129" s="423">
        <v>3712275.58</v>
      </c>
      <c r="S129" s="423">
        <v>10339574.16</v>
      </c>
      <c r="T129" s="423">
        <v>3722128.14</v>
      </c>
      <c r="U129" s="423">
        <v>10368697.16</v>
      </c>
      <c r="V129" s="423">
        <v>3742117.98</v>
      </c>
      <c r="W129" s="423">
        <v>10393997.16</v>
      </c>
      <c r="X129" s="423">
        <v>3729577.88</v>
      </c>
      <c r="Y129" s="423">
        <v>10378396.300000001</v>
      </c>
      <c r="Z129" s="423">
        <v>3703590.21</v>
      </c>
      <c r="AA129" s="423">
        <v>10373562.83</v>
      </c>
      <c r="AB129" s="423">
        <v>3707805.92</v>
      </c>
      <c r="AC129" s="423">
        <v>10387456.75</v>
      </c>
      <c r="AD129" s="423">
        <v>3712345.17</v>
      </c>
      <c r="AE129" s="423">
        <f t="shared" si="7"/>
        <v>10356331.005833333</v>
      </c>
      <c r="AF129" s="423">
        <f t="shared" si="7"/>
        <v>3719564.1483333334</v>
      </c>
    </row>
    <row r="130" spans="1:32">
      <c r="A130" s="35">
        <v>122</v>
      </c>
      <c r="B130" s="425" t="s">
        <v>1873</v>
      </c>
      <c r="C130" s="426"/>
      <c r="D130" s="425" t="s">
        <v>1915</v>
      </c>
      <c r="E130" s="427">
        <f>SUM(E91:E129)</f>
        <v>112362136.67000002</v>
      </c>
      <c r="F130" s="427">
        <f t="shared" ref="F130:AF130" si="9">SUM(F91:F129)</f>
        <v>39200450.210000001</v>
      </c>
      <c r="G130" s="427">
        <f t="shared" si="9"/>
        <v>112571769.66999999</v>
      </c>
      <c r="H130" s="427">
        <f t="shared" si="9"/>
        <v>39526591.510000013</v>
      </c>
      <c r="I130" s="427">
        <f t="shared" si="9"/>
        <v>112454606.22</v>
      </c>
      <c r="J130" s="427">
        <f t="shared" si="9"/>
        <v>39755859.020000003</v>
      </c>
      <c r="K130" s="427">
        <f t="shared" si="9"/>
        <v>113101483.36</v>
      </c>
      <c r="L130" s="427">
        <f t="shared" si="9"/>
        <v>40082008.399999999</v>
      </c>
      <c r="M130" s="427">
        <f t="shared" si="9"/>
        <v>113359532.71000001</v>
      </c>
      <c r="N130" s="427">
        <f t="shared" si="9"/>
        <v>40361238.510000005</v>
      </c>
      <c r="O130" s="427">
        <f t="shared" si="9"/>
        <v>115014438.06999999</v>
      </c>
      <c r="P130" s="427">
        <f t="shared" si="9"/>
        <v>40727219.090000004</v>
      </c>
      <c r="Q130" s="427">
        <f t="shared" si="9"/>
        <v>115477290.96000001</v>
      </c>
      <c r="R130" s="427">
        <f t="shared" si="9"/>
        <v>40994379.859999999</v>
      </c>
      <c r="S130" s="427">
        <f t="shared" si="9"/>
        <v>115830751.41</v>
      </c>
      <c r="T130" s="427">
        <f t="shared" si="9"/>
        <v>41364992.230000004</v>
      </c>
      <c r="U130" s="427">
        <f t="shared" si="9"/>
        <v>116340557.40000001</v>
      </c>
      <c r="V130" s="427">
        <f t="shared" si="9"/>
        <v>41780642.32</v>
      </c>
      <c r="W130" s="427">
        <f t="shared" si="9"/>
        <v>116675236.34</v>
      </c>
      <c r="X130" s="427">
        <f t="shared" si="9"/>
        <v>42032811.619999997</v>
      </c>
      <c r="Y130" s="427">
        <f t="shared" si="9"/>
        <v>116988147.11999999</v>
      </c>
      <c r="Z130" s="427">
        <f t="shared" si="9"/>
        <v>42288253.859999999</v>
      </c>
      <c r="AA130" s="427">
        <f t="shared" si="9"/>
        <v>117607026.10999998</v>
      </c>
      <c r="AB130" s="427">
        <f t="shared" si="9"/>
        <v>42645845.780000001</v>
      </c>
      <c r="AC130" s="427">
        <f t="shared" si="9"/>
        <v>117946720.29000001</v>
      </c>
      <c r="AD130" s="427">
        <f t="shared" si="9"/>
        <v>43006649.770000011</v>
      </c>
      <c r="AE130" s="427">
        <f t="shared" si="9"/>
        <v>115047938.98749998</v>
      </c>
      <c r="AF130" s="427">
        <f t="shared" si="9"/>
        <v>41055282.682499997</v>
      </c>
    </row>
    <row r="131" spans="1:32">
      <c r="A131" s="35">
        <v>123</v>
      </c>
      <c r="B131" s="1046" t="s">
        <v>1916</v>
      </c>
      <c r="C131" s="1046"/>
      <c r="D131" s="428"/>
      <c r="E131" s="429"/>
      <c r="F131" s="429"/>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row>
    <row r="132" spans="1:32">
      <c r="A132" s="35">
        <v>124</v>
      </c>
      <c r="C132" s="6" t="s">
        <v>1917</v>
      </c>
      <c r="E132" s="423">
        <v>0</v>
      </c>
      <c r="F132" s="423">
        <v>0</v>
      </c>
      <c r="G132" s="423">
        <v>0</v>
      </c>
      <c r="H132" s="423">
        <v>0</v>
      </c>
      <c r="I132" s="423">
        <v>0</v>
      </c>
      <c r="J132" s="423">
        <v>0</v>
      </c>
      <c r="K132" s="423">
        <v>0</v>
      </c>
      <c r="L132" s="423">
        <v>0</v>
      </c>
      <c r="M132" s="423">
        <v>0</v>
      </c>
      <c r="N132" s="423">
        <v>0</v>
      </c>
      <c r="O132" s="423">
        <v>0</v>
      </c>
      <c r="P132" s="423">
        <v>0</v>
      </c>
      <c r="Q132" s="423">
        <v>0</v>
      </c>
      <c r="R132" s="423">
        <v>0</v>
      </c>
      <c r="S132" s="423">
        <v>0</v>
      </c>
      <c r="T132" s="423">
        <v>0</v>
      </c>
      <c r="U132" s="423">
        <v>87147.19</v>
      </c>
      <c r="V132" s="423">
        <v>30084.41</v>
      </c>
      <c r="W132" s="423">
        <v>87147.19</v>
      </c>
      <c r="X132" s="423">
        <v>30154.9</v>
      </c>
      <c r="Y132" s="423">
        <v>87147.19</v>
      </c>
      <c r="Z132" s="423">
        <v>30225.39</v>
      </c>
      <c r="AA132" s="423">
        <v>87147.19</v>
      </c>
      <c r="AB132" s="423">
        <v>30295.88</v>
      </c>
      <c r="AC132" s="423">
        <v>87147.19</v>
      </c>
      <c r="AD132" s="423">
        <v>30366.37</v>
      </c>
      <c r="AE132" s="423">
        <f t="shared" ref="AE132:AF134" si="10">+(E132+AC132+(+G132+I132+K132+M132+O132+Q132+S132+U132+W132+Y132+AA132)*2)/24</f>
        <v>32680.196249999997</v>
      </c>
      <c r="AF132" s="423">
        <f t="shared" si="10"/>
        <v>11328.647083333335</v>
      </c>
    </row>
    <row r="133" spans="1:32">
      <c r="A133" s="35">
        <v>125</v>
      </c>
      <c r="C133" s="6" t="s">
        <v>1918</v>
      </c>
      <c r="E133" s="423">
        <v>4535.99</v>
      </c>
      <c r="F133" s="423">
        <v>2551.4299999999998</v>
      </c>
      <c r="G133" s="423">
        <v>4535.99</v>
      </c>
      <c r="H133" s="423">
        <v>2559.54</v>
      </c>
      <c r="I133" s="423">
        <v>4535.99</v>
      </c>
      <c r="J133" s="423">
        <v>2567.65</v>
      </c>
      <c r="K133" s="423">
        <v>4535.99</v>
      </c>
      <c r="L133" s="423">
        <v>2575.75</v>
      </c>
      <c r="M133" s="423">
        <v>4535.99</v>
      </c>
      <c r="N133" s="423">
        <v>2583.86</v>
      </c>
      <c r="O133" s="423">
        <v>4535.99</v>
      </c>
      <c r="P133" s="423">
        <v>2591.96</v>
      </c>
      <c r="Q133" s="423">
        <v>4535.99</v>
      </c>
      <c r="R133" s="423">
        <v>2600.0700000000002</v>
      </c>
      <c r="S133" s="423">
        <v>4535.99</v>
      </c>
      <c r="T133" s="423">
        <v>2608.17</v>
      </c>
      <c r="U133" s="423">
        <v>4535.99</v>
      </c>
      <c r="V133" s="423">
        <v>2616.27</v>
      </c>
      <c r="W133" s="423">
        <v>0</v>
      </c>
      <c r="X133" s="423">
        <v>0</v>
      </c>
      <c r="Y133" s="423">
        <v>0</v>
      </c>
      <c r="Z133" s="423">
        <v>0</v>
      </c>
      <c r="AA133" s="423">
        <v>0</v>
      </c>
      <c r="AB133" s="423">
        <v>0</v>
      </c>
      <c r="AC133" s="423">
        <v>0</v>
      </c>
      <c r="AD133" s="423">
        <v>0</v>
      </c>
      <c r="AE133" s="423">
        <f t="shared" si="10"/>
        <v>3212.9929166666661</v>
      </c>
      <c r="AF133" s="423">
        <f t="shared" si="10"/>
        <v>1831.5820833333335</v>
      </c>
    </row>
    <row r="134" spans="1:32">
      <c r="A134" s="35">
        <v>126</v>
      </c>
      <c r="C134" s="6" t="s">
        <v>1919</v>
      </c>
      <c r="E134" s="423">
        <v>15387550.01</v>
      </c>
      <c r="F134" s="423">
        <v>8466077.3900000341</v>
      </c>
      <c r="G134" s="423">
        <v>15387550.01</v>
      </c>
      <c r="H134" s="423">
        <v>3731275.7599998023</v>
      </c>
      <c r="I134" s="423">
        <v>15387550.01</v>
      </c>
      <c r="J134" s="423">
        <v>3731319.9400000405</v>
      </c>
      <c r="K134" s="423">
        <v>15428541.02</v>
      </c>
      <c r="L134" s="423">
        <v>3756741.1300001</v>
      </c>
      <c r="M134" s="423">
        <v>15428541.02</v>
      </c>
      <c r="N134" s="423">
        <v>3756785.3299999214</v>
      </c>
      <c r="O134" s="423">
        <v>15428541.02</v>
      </c>
      <c r="P134" s="423">
        <v>3756829.5099999215</v>
      </c>
      <c r="Q134" s="423">
        <v>15513606.02</v>
      </c>
      <c r="R134" s="423">
        <v>3751844.7100001597</v>
      </c>
      <c r="S134" s="423">
        <v>15513606.02</v>
      </c>
      <c r="T134" s="423">
        <v>3751888.8900000406</v>
      </c>
      <c r="U134" s="423">
        <v>15349364.130000001</v>
      </c>
      <c r="V134" s="423">
        <v>3897392.37</v>
      </c>
      <c r="W134" s="423">
        <v>15304937.890000001</v>
      </c>
      <c r="X134" s="423">
        <v>3875947.42</v>
      </c>
      <c r="Y134" s="423">
        <v>15304937.890000001</v>
      </c>
      <c r="Z134" s="423">
        <v>3893544.55</v>
      </c>
      <c r="AA134" s="423">
        <v>15304937.890000001</v>
      </c>
      <c r="AB134" s="423">
        <v>3911141.64</v>
      </c>
      <c r="AC134" s="423">
        <v>16492357.26</v>
      </c>
      <c r="AD134" s="423">
        <v>3912178.58</v>
      </c>
      <c r="AE134" s="423">
        <f t="shared" si="10"/>
        <v>15441005.546249995</v>
      </c>
      <c r="AF134" s="423">
        <f t="shared" si="10"/>
        <v>4000319.9362499998</v>
      </c>
    </row>
    <row r="135" spans="1:32">
      <c r="A135" s="35">
        <v>127</v>
      </c>
      <c r="B135" s="1047" t="s">
        <v>1916</v>
      </c>
      <c r="C135" s="1047"/>
      <c r="D135" s="425"/>
      <c r="E135" s="427">
        <f>SUM(E132:E134)</f>
        <v>15392086</v>
      </c>
      <c r="F135" s="427">
        <f t="shared" ref="F135:AF135" si="11">SUM(F132:F134)</f>
        <v>8468628.8200000338</v>
      </c>
      <c r="G135" s="427">
        <f t="shared" si="11"/>
        <v>15392086</v>
      </c>
      <c r="H135" s="427">
        <f t="shared" si="11"/>
        <v>3733835.2999998024</v>
      </c>
      <c r="I135" s="427">
        <f t="shared" si="11"/>
        <v>15392086</v>
      </c>
      <c r="J135" s="427">
        <f t="shared" si="11"/>
        <v>3733887.5900000404</v>
      </c>
      <c r="K135" s="427">
        <f t="shared" si="11"/>
        <v>15433077.01</v>
      </c>
      <c r="L135" s="427">
        <f t="shared" si="11"/>
        <v>3759316.8800001</v>
      </c>
      <c r="M135" s="427">
        <f t="shared" si="11"/>
        <v>15433077.01</v>
      </c>
      <c r="N135" s="427">
        <f t="shared" si="11"/>
        <v>3759369.1899999212</v>
      </c>
      <c r="O135" s="427">
        <f t="shared" si="11"/>
        <v>15433077.01</v>
      </c>
      <c r="P135" s="427">
        <f t="shared" si="11"/>
        <v>3759421.4699999215</v>
      </c>
      <c r="Q135" s="427">
        <f t="shared" si="11"/>
        <v>15518142.01</v>
      </c>
      <c r="R135" s="427">
        <f t="shared" si="11"/>
        <v>3754444.7800001595</v>
      </c>
      <c r="S135" s="427">
        <f t="shared" si="11"/>
        <v>15518142.01</v>
      </c>
      <c r="T135" s="427">
        <f t="shared" si="11"/>
        <v>3754497.0600000406</v>
      </c>
      <c r="U135" s="427">
        <f t="shared" si="11"/>
        <v>15441047.310000001</v>
      </c>
      <c r="V135" s="427">
        <f t="shared" si="11"/>
        <v>3930093.0500000003</v>
      </c>
      <c r="W135" s="427">
        <f t="shared" si="11"/>
        <v>15392085.08</v>
      </c>
      <c r="X135" s="427">
        <f t="shared" si="11"/>
        <v>3906102.32</v>
      </c>
      <c r="Y135" s="427">
        <f t="shared" si="11"/>
        <v>15392085.08</v>
      </c>
      <c r="Z135" s="427">
        <f t="shared" si="11"/>
        <v>3923769.94</v>
      </c>
      <c r="AA135" s="427">
        <f t="shared" si="11"/>
        <v>15392085.08</v>
      </c>
      <c r="AB135" s="427">
        <f t="shared" si="11"/>
        <v>3941437.52</v>
      </c>
      <c r="AC135" s="427">
        <f t="shared" si="11"/>
        <v>16579504.449999999</v>
      </c>
      <c r="AD135" s="427">
        <f t="shared" si="11"/>
        <v>3942544.95</v>
      </c>
      <c r="AE135" s="427">
        <f t="shared" si="11"/>
        <v>15476898.735416662</v>
      </c>
      <c r="AF135" s="427">
        <f t="shared" si="11"/>
        <v>4013480.1654166663</v>
      </c>
    </row>
    <row r="136" spans="1:32">
      <c r="A136" s="35">
        <v>128</v>
      </c>
    </row>
    <row r="137" spans="1:32" ht="16.5" thickBot="1">
      <c r="A137" s="35">
        <v>129</v>
      </c>
      <c r="B137" s="430"/>
      <c r="C137" s="431" t="s">
        <v>1920</v>
      </c>
      <c r="D137" s="430"/>
      <c r="E137" s="432">
        <f>SUM(E135,E130,E89,E46)</f>
        <v>870184135.21000016</v>
      </c>
      <c r="F137" s="433">
        <f t="shared" ref="F137:AF137" si="12">SUM(F135,F130,F89,F46)</f>
        <v>433067740.01999992</v>
      </c>
      <c r="G137" s="432">
        <f t="shared" si="12"/>
        <v>871816436.24000001</v>
      </c>
      <c r="H137" s="433">
        <f t="shared" si="12"/>
        <v>434697330.28999996</v>
      </c>
      <c r="I137" s="432">
        <f t="shared" si="12"/>
        <v>873088659.97000015</v>
      </c>
      <c r="J137" s="433">
        <f t="shared" si="12"/>
        <v>436498576.22000003</v>
      </c>
      <c r="K137" s="432">
        <f t="shared" si="12"/>
        <v>876255017.16999996</v>
      </c>
      <c r="L137" s="433">
        <f t="shared" si="12"/>
        <v>437711221.13999999</v>
      </c>
      <c r="M137" s="432">
        <f t="shared" si="12"/>
        <v>879184494.24000001</v>
      </c>
      <c r="N137" s="433">
        <f t="shared" si="12"/>
        <v>439640788.68000001</v>
      </c>
      <c r="O137" s="432">
        <f t="shared" si="12"/>
        <v>882225235.36000013</v>
      </c>
      <c r="P137" s="433">
        <f t="shared" si="12"/>
        <v>441710249.43999994</v>
      </c>
      <c r="Q137" s="432">
        <f t="shared" si="12"/>
        <v>884981171.16999984</v>
      </c>
      <c r="R137" s="433">
        <f t="shared" si="12"/>
        <v>443227594.39000005</v>
      </c>
      <c r="S137" s="432">
        <f t="shared" si="12"/>
        <v>888699901.63</v>
      </c>
      <c r="T137" s="433">
        <f t="shared" si="12"/>
        <v>445185388.59000003</v>
      </c>
      <c r="U137" s="432">
        <f t="shared" si="12"/>
        <v>900821526.50999999</v>
      </c>
      <c r="V137" s="433">
        <f t="shared" si="12"/>
        <v>447162143.47000003</v>
      </c>
      <c r="W137" s="432">
        <f t="shared" si="12"/>
        <v>904664746.21999979</v>
      </c>
      <c r="X137" s="433">
        <f t="shared" si="12"/>
        <v>448787560.88999999</v>
      </c>
      <c r="Y137" s="432">
        <f t="shared" si="12"/>
        <v>910978182.97999966</v>
      </c>
      <c r="Z137" s="433">
        <f t="shared" si="12"/>
        <v>450672015.14999998</v>
      </c>
      <c r="AA137" s="432">
        <f t="shared" si="12"/>
        <v>913158696.38999975</v>
      </c>
      <c r="AB137" s="433">
        <f t="shared" si="12"/>
        <v>452561850.26000011</v>
      </c>
      <c r="AC137" s="432">
        <f t="shared" si="12"/>
        <v>922694563.90999997</v>
      </c>
      <c r="AD137" s="433">
        <f t="shared" si="12"/>
        <v>454336084.94999993</v>
      </c>
      <c r="AE137" s="433">
        <f t="shared" si="12"/>
        <v>890192784.78666639</v>
      </c>
      <c r="AF137" s="433">
        <f t="shared" si="12"/>
        <v>443463052.58374989</v>
      </c>
    </row>
    <row r="138" spans="1:32" ht="16.5" thickTop="1">
      <c r="A138" s="35">
        <v>130</v>
      </c>
      <c r="F138" s="91"/>
      <c r="H138" s="91"/>
      <c r="J138" s="91"/>
      <c r="L138" s="91"/>
      <c r="N138" s="91"/>
      <c r="P138" s="91"/>
      <c r="R138" s="91"/>
      <c r="T138" s="91"/>
    </row>
    <row r="139" spans="1:32">
      <c r="A139" s="35">
        <v>131</v>
      </c>
      <c r="F139" s="91"/>
      <c r="H139" s="91"/>
      <c r="I139" s="91"/>
      <c r="J139" s="91"/>
      <c r="K139" s="91"/>
      <c r="L139" s="91"/>
      <c r="M139" s="91"/>
      <c r="N139" s="91"/>
      <c r="O139" s="91"/>
      <c r="P139" s="91"/>
      <c r="Q139" s="91"/>
      <c r="R139" s="91"/>
      <c r="S139" s="91"/>
      <c r="T139" s="91"/>
      <c r="X139" s="434" t="s">
        <v>1983</v>
      </c>
      <c r="Y139" s="434"/>
      <c r="Z139" s="434"/>
      <c r="AC139" s="435"/>
      <c r="AD139" s="435"/>
      <c r="AE139" s="91">
        <f>+'Working Capital Work Paper'!S11+'Working Capital Work Paper'!S12</f>
        <v>890192784.78249991</v>
      </c>
    </row>
    <row r="140" spans="1:32" ht="30">
      <c r="A140" s="35">
        <v>132</v>
      </c>
      <c r="B140" s="991" t="s">
        <v>2130</v>
      </c>
      <c r="D140" s="10"/>
      <c r="X140" s="434" t="s">
        <v>1984</v>
      </c>
      <c r="AA140" s="436"/>
      <c r="AB140" s="436"/>
      <c r="AC140" s="435"/>
      <c r="AD140" s="435"/>
      <c r="AE140" s="91"/>
      <c r="AF140" s="91">
        <f>-'Working Capital Work Paper'!S27+'Working Capital Work Paper'!S17</f>
        <v>443463061.80874997</v>
      </c>
    </row>
    <row r="141" spans="1:32">
      <c r="A141" s="35">
        <v>133</v>
      </c>
    </row>
    <row r="142" spans="1:32">
      <c r="A142" s="35">
        <v>134</v>
      </c>
      <c r="Q142" s="91"/>
    </row>
    <row r="143" spans="1:32">
      <c r="A143" s="35">
        <v>135</v>
      </c>
      <c r="D143" s="436" t="s">
        <v>1921</v>
      </c>
      <c r="F143" s="91">
        <f>E89</f>
        <v>576210019.71000016</v>
      </c>
      <c r="H143" s="91">
        <f>G89</f>
        <v>577681602.6400001</v>
      </c>
      <c r="J143" s="91">
        <f>I89</f>
        <v>578887129.49000013</v>
      </c>
      <c r="L143" s="91">
        <f>K89</f>
        <v>580920985.41999996</v>
      </c>
      <c r="N143" s="91">
        <f>M89</f>
        <v>583272418.28999996</v>
      </c>
      <c r="P143" s="91">
        <f>O89</f>
        <v>584216840.6500001</v>
      </c>
      <c r="R143" s="91">
        <f>Q89</f>
        <v>585599739.0799998</v>
      </c>
      <c r="T143" s="91">
        <f>S89</f>
        <v>588618364.70000005</v>
      </c>
      <c r="V143" s="91">
        <f>U89</f>
        <v>598832328.44999993</v>
      </c>
      <c r="X143" s="91">
        <f>W89</f>
        <v>601967532.84999979</v>
      </c>
      <c r="Z143" s="91">
        <f>Y89</f>
        <v>607446404.66999972</v>
      </c>
      <c r="AB143" s="91">
        <f>AA89</f>
        <v>608700709.48999977</v>
      </c>
      <c r="AD143" s="91">
        <f>AC89</f>
        <v>614373017.27999997</v>
      </c>
    </row>
    <row r="144" spans="1:32">
      <c r="A144" s="35">
        <v>136</v>
      </c>
      <c r="D144" s="436" t="s">
        <v>1922</v>
      </c>
      <c r="E144" s="437">
        <v>0.75729999999999997</v>
      </c>
      <c r="F144" s="91">
        <f>E144*SUM(E91:E126)</f>
        <v>38371229.104902014</v>
      </c>
      <c r="G144" s="437">
        <v>0.75270000000000004</v>
      </c>
      <c r="H144" s="91">
        <f>G144*SUM(G91:G126)</f>
        <v>38314785.333786003</v>
      </c>
      <c r="I144" s="437">
        <v>0.75270000000000004</v>
      </c>
      <c r="J144" s="91">
        <f>I144*SUM(I91:I126)</f>
        <v>38332402.217070006</v>
      </c>
      <c r="K144" s="437">
        <v>0.75270000000000004</v>
      </c>
      <c r="L144" s="91">
        <f>K144*SUM(K91:K126)</f>
        <v>38363920.551060006</v>
      </c>
      <c r="M144" s="437">
        <v>0.75270000000000004</v>
      </c>
      <c r="N144" s="91">
        <f>M144*SUM(M91:M126)</f>
        <v>38314170.234873004</v>
      </c>
      <c r="O144" s="437">
        <v>0.75270000000000004</v>
      </c>
      <c r="P144" s="91">
        <f>O144*SUM(O91:O126)</f>
        <v>38343936.426276006</v>
      </c>
      <c r="Q144" s="437">
        <v>0.75270000000000004</v>
      </c>
      <c r="R144" s="91">
        <f>Q144*SUM(Q91:Q126)</f>
        <v>38325086.522541009</v>
      </c>
      <c r="S144" s="437">
        <v>0.75270000000000004</v>
      </c>
      <c r="T144" s="91">
        <f>S144*SUM(S91:S126)</f>
        <v>38329788.165240005</v>
      </c>
      <c r="U144" s="437">
        <v>0.75270000000000004</v>
      </c>
      <c r="V144" s="91">
        <f>U144*SUM(U91:U126)</f>
        <v>38505845.711385004</v>
      </c>
      <c r="W144" s="437">
        <v>0.75270000000000004</v>
      </c>
      <c r="X144" s="91">
        <f>W144*SUM(W91:W126)</f>
        <v>38509572.336612001</v>
      </c>
      <c r="Y144" s="437">
        <v>0.75270000000000004</v>
      </c>
      <c r="Z144" s="91">
        <f>Y144*SUM(Y91:Y126)</f>
        <v>38523791.276177995</v>
      </c>
      <c r="AA144" s="437">
        <v>0.75270000000000004</v>
      </c>
      <c r="AB144" s="91">
        <f>AA144*SUM(AA91:AA126)</f>
        <v>38569650.441971995</v>
      </c>
      <c r="AC144" s="437">
        <v>0.75270000000000004</v>
      </c>
      <c r="AD144" s="91">
        <f>AC144*SUM(AC91:AC126)</f>
        <v>38604032.122032002</v>
      </c>
      <c r="AE144" s="91"/>
    </row>
    <row r="145" spans="1:32">
      <c r="A145" s="35">
        <v>137</v>
      </c>
      <c r="D145" s="436" t="s">
        <v>1923</v>
      </c>
      <c r="E145" s="437">
        <v>0.75060000000000004</v>
      </c>
      <c r="F145" s="91">
        <f>SUM(E127:E129)*E145</f>
        <v>46307269.400057994</v>
      </c>
      <c r="G145" s="437">
        <v>0.74880000000000002</v>
      </c>
      <c r="H145" s="91">
        <f>SUM(G127:G129)*G145</f>
        <v>46177477.998911999</v>
      </c>
      <c r="I145" s="437">
        <v>0.74880000000000002</v>
      </c>
      <c r="J145" s="91">
        <f>SUM(I127:I129)*I145</f>
        <v>46072220.403456002</v>
      </c>
      <c r="K145" s="437">
        <v>0.74880000000000002</v>
      </c>
      <c r="L145" s="91">
        <f>SUM(K127:K129)*K145</f>
        <v>46525246.979328007</v>
      </c>
      <c r="M145" s="437">
        <v>0.74880000000000002</v>
      </c>
      <c r="N145" s="91">
        <f>SUM(M127:M129)*M145</f>
        <v>46767966.875136003</v>
      </c>
      <c r="O145" s="437">
        <v>0.74880000000000002</v>
      </c>
      <c r="P145" s="91">
        <f>SUM(O127:O129)*O145</f>
        <v>47977548.046272002</v>
      </c>
      <c r="Q145" s="437">
        <v>0.74880000000000002</v>
      </c>
      <c r="R145" s="91">
        <f>SUM(Q127:Q129)*Q145</f>
        <v>48342884.526143998</v>
      </c>
      <c r="S145" s="437">
        <v>0.74880000000000002</v>
      </c>
      <c r="T145" s="91">
        <f>SUM(S127:S129)*S145</f>
        <v>48602878.429247998</v>
      </c>
      <c r="U145" s="437">
        <v>0.74880000000000002</v>
      </c>
      <c r="V145" s="91">
        <f>SUM(U127:U129)*U145</f>
        <v>48809475.823679999</v>
      </c>
      <c r="W145" s="437">
        <v>0.74880000000000002</v>
      </c>
      <c r="X145" s="91">
        <f>SUM(W127:W129)*W145</f>
        <v>49056376.097663999</v>
      </c>
      <c r="Y145" s="437">
        <v>0.74880000000000002</v>
      </c>
      <c r="Z145" s="91">
        <f>SUM(Y127:Y129)*Y145</f>
        <v>49276538.423424006</v>
      </c>
      <c r="AA145" s="437">
        <v>0.74880000000000002</v>
      </c>
      <c r="AB145" s="91">
        <f>SUM(AA127:AA129)*AA145</f>
        <v>49694333.457599998</v>
      </c>
      <c r="AC145" s="437">
        <v>0.74880000000000002</v>
      </c>
      <c r="AD145" s="91">
        <f>SUM(AC127:AC129)*AC145</f>
        <v>49914492.922944002</v>
      </c>
    </row>
    <row r="146" spans="1:32">
      <c r="A146" s="35">
        <v>138</v>
      </c>
      <c r="F146" s="91"/>
      <c r="H146" s="91"/>
      <c r="J146" s="91"/>
      <c r="L146" s="91"/>
      <c r="N146" s="91"/>
      <c r="P146" s="91"/>
      <c r="R146" s="91"/>
      <c r="T146" s="91"/>
      <c r="V146" s="91"/>
      <c r="X146" s="91"/>
      <c r="Z146" s="91"/>
      <c r="AB146" s="91"/>
      <c r="AD146" s="91"/>
    </row>
    <row r="147" spans="1:32">
      <c r="A147" s="35">
        <v>139</v>
      </c>
      <c r="D147" s="436" t="s">
        <v>1924</v>
      </c>
      <c r="F147" s="91">
        <f>SUM(F143:F145)</f>
        <v>660888518.21496022</v>
      </c>
      <c r="H147" s="91">
        <f>SUM(H143:H145)</f>
        <v>662173865.97269809</v>
      </c>
      <c r="J147" s="91">
        <f>SUM(J143:J145)</f>
        <v>663291752.11052608</v>
      </c>
      <c r="L147" s="91">
        <f>SUM(L143:L145)</f>
        <v>665810152.95038795</v>
      </c>
      <c r="N147" s="91">
        <f>SUM(N143:N145)</f>
        <v>668354555.40000904</v>
      </c>
      <c r="P147" s="91">
        <f>SUM(P143:P145)</f>
        <v>670538325.1225481</v>
      </c>
      <c r="R147" s="91">
        <f>SUM(R143:R145)</f>
        <v>672267710.12868488</v>
      </c>
      <c r="T147" s="91">
        <f>SUM(T143:T145)</f>
        <v>675551031.29448807</v>
      </c>
      <c r="V147" s="91">
        <f>SUM(V143:V145)</f>
        <v>686147649.98506498</v>
      </c>
      <c r="X147" s="91">
        <f>SUM(X143:X145)</f>
        <v>689533481.28427577</v>
      </c>
      <c r="Z147" s="91">
        <f>SUM(Z143:Z145)</f>
        <v>695246734.36960173</v>
      </c>
      <c r="AB147" s="91">
        <f>SUM(AB143:AB145)</f>
        <v>696964693.38957179</v>
      </c>
      <c r="AD147" s="91">
        <f>SUM(AD143:AD145)</f>
        <v>702891542.32497597</v>
      </c>
      <c r="AE147" s="6" t="s">
        <v>1932</v>
      </c>
      <c r="AF147" s="438">
        <f t="shared" ref="AF147" si="13">+(F147+AD147+(+H147+J147+L147+N147+P147+R147+T147+V147+X147+Z147+AB147)*2)/24</f>
        <v>677314165.18981874</v>
      </c>
    </row>
    <row r="148" spans="1:32">
      <c r="A148" s="35">
        <v>140</v>
      </c>
      <c r="AB148" s="91"/>
      <c r="AD148" s="91"/>
    </row>
    <row r="149" spans="1:32">
      <c r="A149" s="35">
        <v>141</v>
      </c>
      <c r="D149" s="436" t="s">
        <v>1921</v>
      </c>
      <c r="F149" s="91">
        <f>F89</f>
        <v>304692694.86999989</v>
      </c>
      <c r="H149" s="91">
        <f>H89</f>
        <v>309480837.00000012</v>
      </c>
      <c r="J149" s="91">
        <f>J89</f>
        <v>310705295.72999996</v>
      </c>
      <c r="L149" s="91">
        <f>L89</f>
        <v>311239204.5999999</v>
      </c>
      <c r="N149" s="91">
        <f>N89</f>
        <v>312471439.2100001</v>
      </c>
      <c r="P149" s="91">
        <f>P89</f>
        <v>313749995.52000004</v>
      </c>
      <c r="R149" s="91">
        <f>R89</f>
        <v>314596173.39999992</v>
      </c>
      <c r="T149" s="91">
        <f>T89</f>
        <v>315768871.25</v>
      </c>
      <c r="V149" s="91">
        <f>V89</f>
        <v>316875748.73000002</v>
      </c>
      <c r="X149" s="91">
        <f>X89</f>
        <v>317897034.14999998</v>
      </c>
      <c r="Z149" s="91">
        <f>Z89</f>
        <v>319107740.81999993</v>
      </c>
      <c r="AB149" s="91">
        <f>AB89</f>
        <v>320289045.50000006</v>
      </c>
      <c r="AD149" s="91">
        <f>AD89</f>
        <v>321296055.43999994</v>
      </c>
    </row>
    <row r="150" spans="1:32">
      <c r="A150" s="35">
        <v>142</v>
      </c>
      <c r="D150" s="436" t="s">
        <v>1922</v>
      </c>
      <c r="F150" s="91">
        <f>E144*SUM(F91:F126)</f>
        <v>14121417.833711002</v>
      </c>
      <c r="H150" s="91">
        <f>G144*SUM(H91:H126)</f>
        <v>14224595.436597006</v>
      </c>
      <c r="J150" s="91">
        <f>I144*SUM(J91:J126)</f>
        <v>14447222.516688002</v>
      </c>
      <c r="L150" s="91">
        <f>K144*SUM(L91:L126)</f>
        <v>14637791.862915</v>
      </c>
      <c r="N150" s="91">
        <f>M144*SUM(N91:N126)</f>
        <v>14814580.491516005</v>
      </c>
      <c r="P150" s="91">
        <f>O144*SUM(P91:P126)</f>
        <v>15036871.227612006</v>
      </c>
      <c r="R150" s="91">
        <f>Q144*SUM(R91:R126)</f>
        <v>15244430.909643</v>
      </c>
      <c r="T150" s="91">
        <f>S144*SUM(T91:T126)</f>
        <v>15454995.979761003</v>
      </c>
      <c r="V150" s="91">
        <f>U144*SUM(V91:V126)</f>
        <v>15669776.982795002</v>
      </c>
      <c r="X150" s="91">
        <f>W144*SUM(X91:X126)</f>
        <v>15888759.888416998</v>
      </c>
      <c r="Z150" s="91">
        <f>Y144*SUM(Z91:Z126)</f>
        <v>16100583.111639</v>
      </c>
      <c r="AB150" s="91">
        <f>AA144*SUM(AB91:AB126)</f>
        <v>16312009.759812003</v>
      </c>
      <c r="AD150" s="91">
        <f>AC144*SUM(AD91:AD126)</f>
        <v>16523491.558314003</v>
      </c>
    </row>
    <row r="151" spans="1:32">
      <c r="A151" s="35">
        <v>143</v>
      </c>
      <c r="D151" s="436" t="s">
        <v>1923</v>
      </c>
      <c r="F151" s="91">
        <f>SUM(F127:F129)*E145</f>
        <v>15427375.389683999</v>
      </c>
      <c r="H151" s="91">
        <f>SUM(H127:H129)*G145</f>
        <v>15446618.853120003</v>
      </c>
      <c r="J151" s="91">
        <f>SUM(J127:J129)*I145</f>
        <v>15396820.792703999</v>
      </c>
      <c r="L151" s="91">
        <f>SUM(L127:L129)*K145</f>
        <v>15451459.508160001</v>
      </c>
      <c r="N151" s="91">
        <f>SUM(N127:N129)*M145</f>
        <v>15484674.389184</v>
      </c>
      <c r="P151" s="91">
        <f>SUM(P127:P129)*O145</f>
        <v>15537581.676863998</v>
      </c>
      <c r="R151" s="91">
        <f>SUM(R127:R129)*Q145</f>
        <v>15531147.418176003</v>
      </c>
      <c r="T151" s="91">
        <f>SUM(T127:T129)*S145</f>
        <v>15599187.90144</v>
      </c>
      <c r="V151" s="91">
        <f>SUM(V127:V129)*U145</f>
        <v>15696758.540735999</v>
      </c>
      <c r="X151" s="91">
        <f>SUM(X127:X129)*W145</f>
        <v>15667734.633408001</v>
      </c>
      <c r="Z151" s="91">
        <f>SUM(Z127:Z129)*Y145</f>
        <v>15648284.089151999</v>
      </c>
      <c r="AB151" s="91">
        <f>SUM(AB127:AB129)*AA145</f>
        <v>15705717.745536</v>
      </c>
      <c r="AD151" s="91">
        <f>SUM(AD127:AD129)*AC145</f>
        <v>15765501.735360002</v>
      </c>
    </row>
    <row r="152" spans="1:32">
      <c r="A152" s="35">
        <v>144</v>
      </c>
      <c r="F152" s="91"/>
      <c r="H152" s="91"/>
      <c r="J152" s="91"/>
      <c r="L152" s="91"/>
      <c r="N152" s="91"/>
      <c r="P152" s="91"/>
      <c r="R152" s="91"/>
      <c r="T152" s="91"/>
      <c r="V152" s="91"/>
      <c r="X152" s="91"/>
      <c r="Z152" s="91"/>
      <c r="AB152" s="91"/>
      <c r="AD152" s="91"/>
    </row>
    <row r="153" spans="1:32">
      <c r="A153" s="35">
        <v>145</v>
      </c>
      <c r="D153" s="436" t="s">
        <v>1925</v>
      </c>
      <c r="F153" s="91">
        <f>SUM(F149:F151)</f>
        <v>334241488.09339494</v>
      </c>
      <c r="H153" s="91">
        <f>SUM(H149:H151)</f>
        <v>339152051.28971714</v>
      </c>
      <c r="J153" s="91">
        <f>SUM(J149:J151)</f>
        <v>340549339.03939193</v>
      </c>
      <c r="L153" s="91">
        <f>SUM(L149:L151)</f>
        <v>341328455.97107488</v>
      </c>
      <c r="N153" s="91">
        <f>SUM(N149:N151)</f>
        <v>342770694.09070009</v>
      </c>
      <c r="P153" s="91">
        <f>SUM(P149:P151)</f>
        <v>344324448.42447603</v>
      </c>
      <c r="R153" s="91">
        <f>SUM(R149:R151)</f>
        <v>345371751.72781891</v>
      </c>
      <c r="T153" s="91">
        <f>SUM(T149:T151)</f>
        <v>346823055.13120103</v>
      </c>
      <c r="V153" s="91">
        <f>SUM(V149:V151)</f>
        <v>348242284.25353104</v>
      </c>
      <c r="X153" s="91">
        <f>SUM(X149:X151)</f>
        <v>349453528.67182499</v>
      </c>
      <c r="Z153" s="91">
        <f>SUM(Z149:Z151)</f>
        <v>350856608.02079093</v>
      </c>
      <c r="AB153" s="91">
        <f>SUM(AB149:AB151)</f>
        <v>352306773.00534809</v>
      </c>
      <c r="AD153" s="91">
        <f>SUM(AD149:AD151)</f>
        <v>353585048.73367399</v>
      </c>
      <c r="AE153" s="6" t="s">
        <v>1933</v>
      </c>
      <c r="AF153" s="438">
        <f t="shared" ref="AF153" si="14">+(F153+AD153+(+H153+J153+L153+N153+P153+R153+T153+V153+X153+Z153+AB153)*2)/24</f>
        <v>345424354.83661753</v>
      </c>
    </row>
  </sheetData>
  <mergeCells count="22">
    <mergeCell ref="B131:C131"/>
    <mergeCell ref="B135:C135"/>
    <mergeCell ref="A5:G5"/>
    <mergeCell ref="A1:G1"/>
    <mergeCell ref="A2:G2"/>
    <mergeCell ref="A3:G3"/>
    <mergeCell ref="A4:G4"/>
    <mergeCell ref="Y5:AA5"/>
    <mergeCell ref="J5:L5"/>
    <mergeCell ref="R1:S1"/>
    <mergeCell ref="R2:S2"/>
    <mergeCell ref="R3:S3"/>
    <mergeCell ref="R4:S4"/>
    <mergeCell ref="R5:S5"/>
    <mergeCell ref="J1:L1"/>
    <mergeCell ref="J2:L2"/>
    <mergeCell ref="J3:L3"/>
    <mergeCell ref="J4:L4"/>
    <mergeCell ref="Y1:AA1"/>
    <mergeCell ref="Y2:AA2"/>
    <mergeCell ref="Y3:AA3"/>
    <mergeCell ref="Y4:AA4"/>
  </mergeCells>
  <printOptions horizontalCentered="1"/>
  <pageMargins left="0.7" right="0.7" top="0.75" bottom="0.75" header="0.3" footer="0.3"/>
  <pageSetup scale="52" orientation="landscape" r:id="rId1"/>
  <headerFooter scaleWithDoc="0" alignWithMargins="0">
    <oddHeader>&amp;RPage &amp;P of &amp;N</oddHeader>
    <oddFooter>&amp;LElectronic Tab Name:&amp;A</oddFooter>
  </headerFooter>
  <rowBreaks count="1" manualBreakCount="1">
    <brk id="54" max="16383" man="1"/>
  </rowBreaks>
  <colBreaks count="4" manualBreakCount="4">
    <brk id="7" max="1048575" man="1"/>
    <brk id="14" max="1048575" man="1"/>
    <brk id="22" max="1048575" man="1"/>
    <brk id="2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D61"/>
  <sheetViews>
    <sheetView view="pageBreakPreview" zoomScale="60" zoomScaleNormal="100" workbookViewId="0">
      <selection activeCell="A3" sqref="A3:H3"/>
    </sheetView>
  </sheetViews>
  <sheetFormatPr defaultRowHeight="15.75"/>
  <cols>
    <col min="1" max="1" width="9.42578125" style="35" bestFit="1" customWidth="1"/>
    <col min="2" max="2" width="22.140625" style="6" bestFit="1" customWidth="1"/>
    <col min="3" max="3" width="9.140625" style="6"/>
    <col min="4" max="4" width="4.5703125" style="6" customWidth="1"/>
    <col min="5" max="9" width="9.140625" style="6"/>
    <col min="10" max="10" width="21.28515625" style="6" bestFit="1" customWidth="1"/>
    <col min="11" max="12" width="20.42578125" style="6" bestFit="1" customWidth="1"/>
    <col min="13" max="13" width="21.85546875" style="6" bestFit="1" customWidth="1"/>
    <col min="14" max="14" width="20.42578125" style="6" bestFit="1" customWidth="1"/>
    <col min="15" max="15" width="19.85546875" style="6" bestFit="1" customWidth="1"/>
    <col min="16" max="16" width="21.28515625" style="6" bestFit="1" customWidth="1"/>
    <col min="17" max="18" width="20.42578125" style="6" bestFit="1" customWidth="1"/>
    <col min="19" max="19" width="20.5703125" style="6" bestFit="1" customWidth="1"/>
    <col min="20" max="21" width="19.85546875" style="6" bestFit="1" customWidth="1"/>
    <col min="22" max="22" width="20.42578125" style="6" bestFit="1" customWidth="1"/>
    <col min="23" max="23" width="19.85546875" style="6" bestFit="1" customWidth="1"/>
    <col min="24" max="24" width="20.42578125" style="6" bestFit="1" customWidth="1"/>
    <col min="25" max="25" width="20.5703125" style="6" bestFit="1" customWidth="1"/>
    <col min="26" max="27" width="20.42578125" style="6" bestFit="1" customWidth="1"/>
    <col min="28" max="28" width="20.5703125" style="6" bestFit="1" customWidth="1"/>
    <col min="29" max="30" width="20.42578125" style="6" bestFit="1" customWidth="1"/>
    <col min="31" max="31" width="20.5703125" style="6" bestFit="1" customWidth="1"/>
    <col min="32" max="32" width="19.42578125" style="6" bestFit="1" customWidth="1"/>
    <col min="33" max="34" width="19.85546875" style="6" bestFit="1" customWidth="1"/>
    <col min="35" max="36" width="20.42578125" style="6" bestFit="1" customWidth="1"/>
    <col min="37" max="37" width="21.85546875" style="6" bestFit="1" customWidth="1"/>
    <col min="38" max="38" width="19.85546875" style="6" bestFit="1" customWidth="1"/>
    <col min="39" max="39" width="20.42578125" style="6" bestFit="1" customWidth="1"/>
    <col min="40" max="40" width="21.28515625" style="6" bestFit="1" customWidth="1"/>
    <col min="41" max="41" width="20.42578125" style="6" bestFit="1" customWidth="1"/>
    <col min="42" max="42" width="19.85546875" style="6" bestFit="1" customWidth="1"/>
    <col min="43" max="43" width="21.28515625" style="6" bestFit="1" customWidth="1"/>
    <col min="44" max="44" width="19.85546875" style="6" bestFit="1" customWidth="1"/>
    <col min="45" max="45" width="19.42578125" style="6" bestFit="1" customWidth="1"/>
    <col min="46" max="46" width="21.85546875" style="6" bestFit="1" customWidth="1"/>
    <col min="47" max="47" width="20.42578125" style="6" bestFit="1" customWidth="1"/>
    <col min="48" max="48" width="19.85546875" style="6" bestFit="1" customWidth="1"/>
    <col min="49" max="49" width="20.5703125" style="6" bestFit="1" customWidth="1"/>
    <col min="50" max="50" width="17.5703125" style="6" bestFit="1" customWidth="1"/>
    <col min="51" max="51" width="16.5703125" style="6" customWidth="1"/>
    <col min="52" max="16384" width="9.140625" style="6"/>
  </cols>
  <sheetData>
    <row r="1" spans="1:51">
      <c r="E1" s="1025" t="s">
        <v>61</v>
      </c>
      <c r="F1" s="1025"/>
      <c r="G1" s="1025"/>
      <c r="H1" s="1025"/>
      <c r="I1" s="1025"/>
      <c r="J1" s="1025"/>
      <c r="K1" s="1025"/>
      <c r="R1" s="1025" t="s">
        <v>61</v>
      </c>
      <c r="S1" s="1025"/>
      <c r="T1" s="1025"/>
      <c r="U1" s="1025"/>
      <c r="V1" s="5"/>
      <c r="W1" s="5"/>
      <c r="X1" s="5"/>
      <c r="Y1" s="5"/>
      <c r="AB1" s="1025" t="s">
        <v>61</v>
      </c>
      <c r="AC1" s="1025"/>
      <c r="AD1" s="1025"/>
      <c r="AE1" s="1025"/>
      <c r="AF1" s="5"/>
      <c r="AG1" s="5"/>
      <c r="AK1" s="1025" t="s">
        <v>61</v>
      </c>
      <c r="AL1" s="1025"/>
      <c r="AM1" s="1025"/>
      <c r="AN1" s="1025"/>
      <c r="AO1" s="1025"/>
      <c r="AU1" s="1025" t="s">
        <v>61</v>
      </c>
      <c r="AV1" s="1025"/>
      <c r="AW1" s="1025"/>
      <c r="AX1" s="1025"/>
      <c r="AY1" s="1025"/>
    </row>
    <row r="2" spans="1:51">
      <c r="E2" s="8"/>
      <c r="F2" s="1025" t="s">
        <v>1690</v>
      </c>
      <c r="G2" s="1025"/>
      <c r="H2" s="1025"/>
      <c r="I2" s="1025"/>
      <c r="J2" s="1025"/>
      <c r="K2" s="8"/>
      <c r="R2" s="1025" t="s">
        <v>1690</v>
      </c>
      <c r="S2" s="1025"/>
      <c r="T2" s="1025"/>
      <c r="U2" s="1025"/>
      <c r="V2" s="5"/>
      <c r="W2" s="5"/>
      <c r="X2" s="5"/>
      <c r="Y2" s="8"/>
      <c r="AA2" s="8"/>
      <c r="AB2" s="1025" t="s">
        <v>1690</v>
      </c>
      <c r="AC2" s="1025"/>
      <c r="AD2" s="1025"/>
      <c r="AE2" s="1025"/>
      <c r="AF2" s="5"/>
      <c r="AG2" s="8"/>
      <c r="AK2" s="1025" t="s">
        <v>1690</v>
      </c>
      <c r="AL2" s="1025"/>
      <c r="AM2" s="1025"/>
      <c r="AN2" s="1025"/>
      <c r="AO2" s="1025"/>
      <c r="AS2" s="8"/>
      <c r="AU2" s="1025" t="s">
        <v>1690</v>
      </c>
      <c r="AV2" s="1025"/>
      <c r="AW2" s="1025"/>
      <c r="AX2" s="1025"/>
      <c r="AY2" s="1025"/>
    </row>
    <row r="3" spans="1:51">
      <c r="E3" s="8"/>
      <c r="F3" s="1025" t="s">
        <v>1699</v>
      </c>
      <c r="G3" s="1025"/>
      <c r="H3" s="1025"/>
      <c r="I3" s="1025"/>
      <c r="J3" s="1025"/>
      <c r="K3" s="8"/>
      <c r="R3" s="1025" t="s">
        <v>1699</v>
      </c>
      <c r="S3" s="1025"/>
      <c r="T3" s="1025"/>
      <c r="U3" s="1025"/>
      <c r="V3" s="5"/>
      <c r="W3" s="5"/>
      <c r="X3" s="5"/>
      <c r="Y3" s="8"/>
      <c r="AA3" s="8"/>
      <c r="AB3" s="1025" t="s">
        <v>1699</v>
      </c>
      <c r="AC3" s="1025"/>
      <c r="AD3" s="1025"/>
      <c r="AE3" s="1025"/>
      <c r="AF3" s="5"/>
      <c r="AG3" s="8"/>
      <c r="AK3" s="1025" t="s">
        <v>1699</v>
      </c>
      <c r="AL3" s="1025"/>
      <c r="AM3" s="1025"/>
      <c r="AN3" s="1025"/>
      <c r="AO3" s="1025"/>
      <c r="AS3" s="8"/>
      <c r="AU3" s="1025" t="s">
        <v>1699</v>
      </c>
      <c r="AV3" s="1025"/>
      <c r="AW3" s="1025"/>
      <c r="AX3" s="1025"/>
      <c r="AY3" s="1025"/>
    </row>
    <row r="4" spans="1:51">
      <c r="E4" s="1025" t="s">
        <v>2061</v>
      </c>
      <c r="F4" s="1025"/>
      <c r="G4" s="1025"/>
      <c r="H4" s="1025"/>
      <c r="I4" s="1025"/>
      <c r="J4" s="1025"/>
      <c r="K4" s="1025"/>
      <c r="R4" s="1025" t="s">
        <v>2061</v>
      </c>
      <c r="S4" s="1025"/>
      <c r="T4" s="1025"/>
      <c r="U4" s="1025"/>
      <c r="V4" s="5"/>
      <c r="W4" s="5"/>
      <c r="X4" s="5"/>
      <c r="Y4" s="5"/>
      <c r="AB4" s="1025" t="s">
        <v>2061</v>
      </c>
      <c r="AC4" s="1025"/>
      <c r="AD4" s="1025"/>
      <c r="AE4" s="1025"/>
      <c r="AF4" s="5"/>
      <c r="AG4" s="5"/>
      <c r="AK4" s="1025" t="s">
        <v>2061</v>
      </c>
      <c r="AL4" s="1025"/>
      <c r="AM4" s="1025"/>
      <c r="AN4" s="1025"/>
      <c r="AO4" s="1025"/>
      <c r="AU4" s="1025" t="s">
        <v>2061</v>
      </c>
      <c r="AV4" s="1025"/>
      <c r="AW4" s="1025"/>
      <c r="AX4" s="1025"/>
      <c r="AY4" s="1025"/>
    </row>
    <row r="5" spans="1:51">
      <c r="F5" s="1025" t="s">
        <v>985</v>
      </c>
      <c r="G5" s="1025"/>
      <c r="H5" s="1025"/>
      <c r="I5" s="1025"/>
      <c r="J5" s="1025"/>
      <c r="R5" s="1025" t="s">
        <v>985</v>
      </c>
      <c r="S5" s="1025"/>
      <c r="T5" s="1025"/>
      <c r="U5" s="1025"/>
      <c r="V5" s="5"/>
      <c r="W5" s="5"/>
      <c r="X5" s="5"/>
      <c r="AB5" s="1025" t="s">
        <v>985</v>
      </c>
      <c r="AC5" s="1025"/>
      <c r="AD5" s="1025"/>
      <c r="AE5" s="1025"/>
      <c r="AF5" s="5"/>
      <c r="AK5" s="1025" t="s">
        <v>985</v>
      </c>
      <c r="AL5" s="1025"/>
      <c r="AM5" s="1025"/>
      <c r="AN5" s="1025"/>
      <c r="AO5" s="1025"/>
      <c r="AU5" s="1025" t="s">
        <v>985</v>
      </c>
      <c r="AV5" s="1025"/>
      <c r="AW5" s="1025"/>
      <c r="AX5" s="1025"/>
      <c r="AY5" s="1025"/>
    </row>
    <row r="8" spans="1:51" s="35" customFormat="1" ht="16.5" thickBot="1">
      <c r="A8" s="35" t="s">
        <v>891</v>
      </c>
      <c r="B8" s="35" t="s">
        <v>1731</v>
      </c>
      <c r="C8" s="35" t="s">
        <v>1729</v>
      </c>
      <c r="E8" s="35" t="s">
        <v>1730</v>
      </c>
      <c r="F8" s="35" t="s">
        <v>1733</v>
      </c>
      <c r="G8" s="35" t="s">
        <v>1734</v>
      </c>
      <c r="H8" s="35" t="s">
        <v>1743</v>
      </c>
      <c r="I8" s="35" t="s">
        <v>1744</v>
      </c>
      <c r="J8" s="35" t="s">
        <v>1745</v>
      </c>
      <c r="K8" s="35" t="s">
        <v>1746</v>
      </c>
      <c r="L8" s="35" t="s">
        <v>1747</v>
      </c>
      <c r="M8" s="35" t="s">
        <v>1748</v>
      </c>
      <c r="N8" s="35" t="s">
        <v>1938</v>
      </c>
      <c r="O8" s="35" t="s">
        <v>1750</v>
      </c>
      <c r="P8" s="35" t="s">
        <v>1751</v>
      </c>
      <c r="Q8" s="35" t="s">
        <v>1752</v>
      </c>
      <c r="R8" s="35" t="s">
        <v>2026</v>
      </c>
      <c r="S8" s="35" t="s">
        <v>2027</v>
      </c>
      <c r="T8" s="35" t="s">
        <v>2028</v>
      </c>
      <c r="U8" s="35" t="s">
        <v>2029</v>
      </c>
      <c r="V8" s="35" t="s">
        <v>2030</v>
      </c>
      <c r="W8" s="35" t="s">
        <v>2031</v>
      </c>
      <c r="X8" s="35" t="s">
        <v>2032</v>
      </c>
      <c r="Y8" s="35" t="s">
        <v>2033</v>
      </c>
      <c r="Z8" s="35" t="s">
        <v>2034</v>
      </c>
      <c r="AA8" s="35" t="s">
        <v>2035</v>
      </c>
      <c r="AB8" s="35" t="s">
        <v>2036</v>
      </c>
      <c r="AC8" s="35" t="s">
        <v>1181</v>
      </c>
      <c r="AD8" s="35" t="s">
        <v>2037</v>
      </c>
      <c r="AE8" s="35" t="s">
        <v>2038</v>
      </c>
      <c r="AF8" s="35" t="s">
        <v>2039</v>
      </c>
      <c r="AG8" s="35" t="s">
        <v>2040</v>
      </c>
      <c r="AH8" s="35" t="s">
        <v>2044</v>
      </c>
      <c r="AI8" s="35" t="s">
        <v>2045</v>
      </c>
      <c r="AJ8" s="35" t="s">
        <v>2046</v>
      </c>
      <c r="AK8" s="35" t="s">
        <v>2047</v>
      </c>
      <c r="AL8" s="35" t="s">
        <v>2048</v>
      </c>
      <c r="AM8" s="35" t="s">
        <v>2049</v>
      </c>
      <c r="AN8" s="35" t="s">
        <v>2050</v>
      </c>
      <c r="AO8" s="35" t="s">
        <v>2051</v>
      </c>
      <c r="AP8" s="35" t="s">
        <v>2052</v>
      </c>
      <c r="AQ8" s="35" t="s">
        <v>2053</v>
      </c>
      <c r="AR8" s="35" t="s">
        <v>2054</v>
      </c>
      <c r="AS8" s="35" t="s">
        <v>2055</v>
      </c>
      <c r="AT8" s="35" t="s">
        <v>2056</v>
      </c>
      <c r="AU8" s="35" t="s">
        <v>1873</v>
      </c>
      <c r="AV8" s="35" t="s">
        <v>2057</v>
      </c>
      <c r="AW8" s="35" t="s">
        <v>2058</v>
      </c>
      <c r="AX8" s="35" t="s">
        <v>2059</v>
      </c>
      <c r="AY8" s="35" t="s">
        <v>2060</v>
      </c>
    </row>
    <row r="9" spans="1:51">
      <c r="A9" s="35">
        <v>1</v>
      </c>
      <c r="B9" s="1050" t="s">
        <v>2129</v>
      </c>
      <c r="C9" s="1051"/>
      <c r="D9" s="1051"/>
      <c r="E9" s="1052"/>
      <c r="F9" s="1062" t="s">
        <v>395</v>
      </c>
      <c r="G9" s="1062"/>
      <c r="H9" s="1062"/>
      <c r="I9" s="1063"/>
      <c r="J9" s="439" t="s">
        <v>1181</v>
      </c>
      <c r="K9" s="440" t="s">
        <v>1934</v>
      </c>
      <c r="L9" s="441" t="s">
        <v>1935</v>
      </c>
      <c r="M9" s="439" t="s">
        <v>1181</v>
      </c>
      <c r="N9" s="440" t="s">
        <v>1934</v>
      </c>
      <c r="O9" s="441" t="s">
        <v>1935</v>
      </c>
      <c r="P9" s="439" t="s">
        <v>1181</v>
      </c>
      <c r="Q9" s="440" t="s">
        <v>1934</v>
      </c>
      <c r="R9" s="441" t="s">
        <v>1935</v>
      </c>
      <c r="S9" s="439" t="s">
        <v>1181</v>
      </c>
      <c r="T9" s="440" t="s">
        <v>1934</v>
      </c>
      <c r="U9" s="441" t="s">
        <v>1935</v>
      </c>
      <c r="V9" s="439" t="s">
        <v>1181</v>
      </c>
      <c r="W9" s="440" t="s">
        <v>1934</v>
      </c>
      <c r="X9" s="441" t="s">
        <v>1935</v>
      </c>
      <c r="Y9" s="439" t="s">
        <v>1181</v>
      </c>
      <c r="Z9" s="440" t="s">
        <v>1934</v>
      </c>
      <c r="AA9" s="441" t="s">
        <v>1935</v>
      </c>
      <c r="AB9" s="439" t="s">
        <v>1181</v>
      </c>
      <c r="AC9" s="440" t="s">
        <v>1934</v>
      </c>
      <c r="AD9" s="441" t="s">
        <v>1935</v>
      </c>
      <c r="AE9" s="439" t="s">
        <v>1181</v>
      </c>
      <c r="AF9" s="440" t="s">
        <v>1934</v>
      </c>
      <c r="AG9" s="441" t="s">
        <v>1935</v>
      </c>
      <c r="AH9" s="439" t="s">
        <v>1181</v>
      </c>
      <c r="AI9" s="440" t="s">
        <v>1934</v>
      </c>
      <c r="AJ9" s="441" t="s">
        <v>1935</v>
      </c>
      <c r="AK9" s="439" t="s">
        <v>1181</v>
      </c>
      <c r="AL9" s="440" t="s">
        <v>1934</v>
      </c>
      <c r="AM9" s="441" t="s">
        <v>1935</v>
      </c>
      <c r="AN9" s="439" t="s">
        <v>1181</v>
      </c>
      <c r="AO9" s="440" t="s">
        <v>1934</v>
      </c>
      <c r="AP9" s="441" t="s">
        <v>1935</v>
      </c>
      <c r="AQ9" s="439" t="s">
        <v>1181</v>
      </c>
      <c r="AR9" s="440" t="s">
        <v>1934</v>
      </c>
      <c r="AS9" s="441" t="s">
        <v>1935</v>
      </c>
      <c r="AT9" s="439" t="s">
        <v>1181</v>
      </c>
      <c r="AU9" s="440" t="s">
        <v>1934</v>
      </c>
      <c r="AV9" s="441" t="s">
        <v>1935</v>
      </c>
      <c r="AW9" s="442" t="s">
        <v>1976</v>
      </c>
      <c r="AX9" s="442" t="s">
        <v>112</v>
      </c>
      <c r="AY9" s="442" t="s">
        <v>86</v>
      </c>
    </row>
    <row r="10" spans="1:51">
      <c r="A10" s="35">
        <v>2</v>
      </c>
      <c r="B10" s="1053"/>
      <c r="C10" s="1054"/>
      <c r="D10" s="1054"/>
      <c r="E10" s="1055"/>
      <c r="F10" s="1048" t="s">
        <v>396</v>
      </c>
      <c r="G10" s="1048"/>
      <c r="H10" s="1048"/>
      <c r="I10" s="1049"/>
      <c r="J10" s="443" t="s">
        <v>1936</v>
      </c>
      <c r="K10" s="444" t="s">
        <v>1936</v>
      </c>
      <c r="L10" s="445" t="s">
        <v>1936</v>
      </c>
      <c r="M10" s="443" t="s">
        <v>1937</v>
      </c>
      <c r="N10" s="444" t="s">
        <v>1937</v>
      </c>
      <c r="O10" s="445" t="s">
        <v>1937</v>
      </c>
      <c r="P10" s="443" t="s">
        <v>1937</v>
      </c>
      <c r="Q10" s="444" t="s">
        <v>1937</v>
      </c>
      <c r="R10" s="445" t="s">
        <v>1937</v>
      </c>
      <c r="S10" s="443" t="s">
        <v>1937</v>
      </c>
      <c r="T10" s="444" t="s">
        <v>1937</v>
      </c>
      <c r="U10" s="445" t="s">
        <v>1937</v>
      </c>
      <c r="V10" s="443" t="s">
        <v>1937</v>
      </c>
      <c r="W10" s="444" t="s">
        <v>1937</v>
      </c>
      <c r="X10" s="445" t="s">
        <v>1937</v>
      </c>
      <c r="Y10" s="443" t="s">
        <v>1937</v>
      </c>
      <c r="Z10" s="444" t="s">
        <v>1937</v>
      </c>
      <c r="AA10" s="445" t="s">
        <v>1937</v>
      </c>
      <c r="AB10" s="443" t="s">
        <v>1937</v>
      </c>
      <c r="AC10" s="444" t="s">
        <v>1937</v>
      </c>
      <c r="AD10" s="445" t="s">
        <v>1937</v>
      </c>
      <c r="AE10" s="443" t="s">
        <v>1937</v>
      </c>
      <c r="AF10" s="444" t="s">
        <v>1937</v>
      </c>
      <c r="AG10" s="445" t="s">
        <v>1937</v>
      </c>
      <c r="AH10" s="443" t="s">
        <v>1937</v>
      </c>
      <c r="AI10" s="444" t="s">
        <v>1937</v>
      </c>
      <c r="AJ10" s="445" t="s">
        <v>1937</v>
      </c>
      <c r="AK10" s="443" t="s">
        <v>1937</v>
      </c>
      <c r="AL10" s="444" t="s">
        <v>1937</v>
      </c>
      <c r="AM10" s="445" t="s">
        <v>1937</v>
      </c>
      <c r="AN10" s="443" t="s">
        <v>1937</v>
      </c>
      <c r="AO10" s="444" t="s">
        <v>1937</v>
      </c>
      <c r="AP10" s="445" t="s">
        <v>1937</v>
      </c>
      <c r="AQ10" s="443" t="s">
        <v>1937</v>
      </c>
      <c r="AR10" s="444" t="s">
        <v>1937</v>
      </c>
      <c r="AS10" s="445" t="s">
        <v>1937</v>
      </c>
      <c r="AT10" s="443" t="s">
        <v>1937</v>
      </c>
      <c r="AU10" s="444" t="s">
        <v>1937</v>
      </c>
      <c r="AV10" s="445" t="s">
        <v>1937</v>
      </c>
    </row>
    <row r="11" spans="1:51">
      <c r="A11" s="35">
        <v>3</v>
      </c>
      <c r="B11" s="1053"/>
      <c r="C11" s="1054"/>
      <c r="D11" s="1054"/>
      <c r="E11" s="1055"/>
      <c r="F11" s="1048" t="s">
        <v>397</v>
      </c>
      <c r="G11" s="1048"/>
      <c r="H11" s="1048"/>
      <c r="I11" s="1049"/>
      <c r="J11" s="443" t="s">
        <v>1938</v>
      </c>
      <c r="K11" s="444" t="s">
        <v>1938</v>
      </c>
      <c r="L11" s="445" t="s">
        <v>1938</v>
      </c>
      <c r="M11" s="443" t="s">
        <v>1938</v>
      </c>
      <c r="N11" s="444" t="s">
        <v>1938</v>
      </c>
      <c r="O11" s="445" t="s">
        <v>1938</v>
      </c>
      <c r="P11" s="443" t="s">
        <v>1938</v>
      </c>
      <c r="Q11" s="444" t="s">
        <v>1938</v>
      </c>
      <c r="R11" s="445" t="s">
        <v>1938</v>
      </c>
      <c r="S11" s="443" t="s">
        <v>1938</v>
      </c>
      <c r="T11" s="444" t="s">
        <v>1938</v>
      </c>
      <c r="U11" s="445" t="s">
        <v>1938</v>
      </c>
      <c r="V11" s="443" t="s">
        <v>1938</v>
      </c>
      <c r="W11" s="444" t="s">
        <v>1938</v>
      </c>
      <c r="X11" s="445" t="s">
        <v>1938</v>
      </c>
      <c r="Y11" s="443" t="s">
        <v>1938</v>
      </c>
      <c r="Z11" s="444" t="s">
        <v>1938</v>
      </c>
      <c r="AA11" s="445" t="s">
        <v>1938</v>
      </c>
      <c r="AB11" s="443" t="s">
        <v>1938</v>
      </c>
      <c r="AC11" s="444" t="s">
        <v>1938</v>
      </c>
      <c r="AD11" s="445" t="s">
        <v>1938</v>
      </c>
      <c r="AE11" s="443" t="s">
        <v>1938</v>
      </c>
      <c r="AF11" s="444" t="s">
        <v>1938</v>
      </c>
      <c r="AG11" s="445" t="s">
        <v>1938</v>
      </c>
      <c r="AH11" s="443" t="s">
        <v>1938</v>
      </c>
      <c r="AI11" s="444" t="s">
        <v>1938</v>
      </c>
      <c r="AJ11" s="445" t="s">
        <v>1938</v>
      </c>
      <c r="AK11" s="443" t="s">
        <v>1938</v>
      </c>
      <c r="AL11" s="444" t="s">
        <v>1938</v>
      </c>
      <c r="AM11" s="445" t="s">
        <v>1938</v>
      </c>
      <c r="AN11" s="443" t="s">
        <v>1938</v>
      </c>
      <c r="AO11" s="444" t="s">
        <v>1938</v>
      </c>
      <c r="AP11" s="445" t="s">
        <v>1938</v>
      </c>
      <c r="AQ11" s="443" t="s">
        <v>1938</v>
      </c>
      <c r="AR11" s="444" t="s">
        <v>1938</v>
      </c>
      <c r="AS11" s="445" t="s">
        <v>1938</v>
      </c>
      <c r="AT11" s="443" t="s">
        <v>1938</v>
      </c>
      <c r="AU11" s="444" t="s">
        <v>1938</v>
      </c>
      <c r="AV11" s="445" t="s">
        <v>1938</v>
      </c>
      <c r="AX11" s="442" t="s">
        <v>377</v>
      </c>
    </row>
    <row r="12" spans="1:51">
      <c r="A12" s="327">
        <v>4</v>
      </c>
      <c r="B12" s="1053"/>
      <c r="C12" s="1054"/>
      <c r="D12" s="1054"/>
      <c r="E12" s="1055"/>
      <c r="F12" s="1048" t="s">
        <v>398</v>
      </c>
      <c r="G12" s="1048"/>
      <c r="H12" s="1048"/>
      <c r="I12" s="1049"/>
      <c r="J12" s="443" t="s">
        <v>541</v>
      </c>
      <c r="K12" s="444" t="s">
        <v>541</v>
      </c>
      <c r="L12" s="445" t="s">
        <v>541</v>
      </c>
      <c r="M12" s="443" t="s">
        <v>627</v>
      </c>
      <c r="N12" s="444" t="s">
        <v>627</v>
      </c>
      <c r="O12" s="445" t="s">
        <v>627</v>
      </c>
      <c r="P12" s="443" t="s">
        <v>681</v>
      </c>
      <c r="Q12" s="444" t="s">
        <v>681</v>
      </c>
      <c r="R12" s="445" t="s">
        <v>681</v>
      </c>
      <c r="S12" s="443" t="s">
        <v>683</v>
      </c>
      <c r="T12" s="444" t="s">
        <v>683</v>
      </c>
      <c r="U12" s="445" t="s">
        <v>683</v>
      </c>
      <c r="V12" s="443" t="s">
        <v>1939</v>
      </c>
      <c r="W12" s="444" t="s">
        <v>1939</v>
      </c>
      <c r="X12" s="445" t="s">
        <v>1939</v>
      </c>
      <c r="Y12" s="443" t="s">
        <v>1940</v>
      </c>
      <c r="Z12" s="444" t="s">
        <v>1940</v>
      </c>
      <c r="AA12" s="445" t="s">
        <v>1940</v>
      </c>
      <c r="AB12" s="443" t="s">
        <v>1941</v>
      </c>
      <c r="AC12" s="444" t="s">
        <v>1941</v>
      </c>
      <c r="AD12" s="445" t="s">
        <v>1941</v>
      </c>
      <c r="AE12" s="443" t="s">
        <v>1942</v>
      </c>
      <c r="AF12" s="444" t="s">
        <v>1942</v>
      </c>
      <c r="AG12" s="445" t="s">
        <v>1942</v>
      </c>
      <c r="AH12" s="443" t="s">
        <v>418</v>
      </c>
      <c r="AI12" s="444" t="s">
        <v>418</v>
      </c>
      <c r="AJ12" s="445" t="s">
        <v>418</v>
      </c>
      <c r="AK12" s="443" t="s">
        <v>1943</v>
      </c>
      <c r="AL12" s="444" t="s">
        <v>1943</v>
      </c>
      <c r="AM12" s="445" t="s">
        <v>1943</v>
      </c>
      <c r="AN12" s="443" t="s">
        <v>1944</v>
      </c>
      <c r="AO12" s="444" t="s">
        <v>1944</v>
      </c>
      <c r="AP12" s="445" t="s">
        <v>1944</v>
      </c>
      <c r="AQ12" s="443" t="s">
        <v>1945</v>
      </c>
      <c r="AR12" s="444" t="s">
        <v>1945</v>
      </c>
      <c r="AS12" s="445" t="s">
        <v>1945</v>
      </c>
      <c r="AT12" s="443" t="s">
        <v>541</v>
      </c>
      <c r="AU12" s="444" t="s">
        <v>541</v>
      </c>
      <c r="AV12" s="445" t="s">
        <v>541</v>
      </c>
    </row>
    <row r="13" spans="1:51" ht="16.5" thickBot="1">
      <c r="A13" s="327">
        <v>5</v>
      </c>
      <c r="B13" s="1056"/>
      <c r="C13" s="1057"/>
      <c r="D13" s="1057"/>
      <c r="E13" s="1058"/>
      <c r="F13" s="1048" t="s">
        <v>399</v>
      </c>
      <c r="G13" s="1048"/>
      <c r="H13" s="1048"/>
      <c r="I13" s="1049"/>
      <c r="J13" s="443" t="s">
        <v>992</v>
      </c>
      <c r="K13" s="444" t="s">
        <v>992</v>
      </c>
      <c r="L13" s="445" t="s">
        <v>992</v>
      </c>
      <c r="M13" s="443" t="s">
        <v>992</v>
      </c>
      <c r="N13" s="444" t="s">
        <v>992</v>
      </c>
      <c r="O13" s="445" t="s">
        <v>992</v>
      </c>
      <c r="P13" s="443" t="s">
        <v>992</v>
      </c>
      <c r="Q13" s="444" t="s">
        <v>992</v>
      </c>
      <c r="R13" s="445" t="s">
        <v>992</v>
      </c>
      <c r="S13" s="443" t="s">
        <v>992</v>
      </c>
      <c r="T13" s="444" t="s">
        <v>992</v>
      </c>
      <c r="U13" s="445" t="s">
        <v>992</v>
      </c>
      <c r="V13" s="443" t="s">
        <v>992</v>
      </c>
      <c r="W13" s="444" t="s">
        <v>992</v>
      </c>
      <c r="X13" s="445" t="s">
        <v>992</v>
      </c>
      <c r="Y13" s="443" t="s">
        <v>992</v>
      </c>
      <c r="Z13" s="444" t="s">
        <v>992</v>
      </c>
      <c r="AA13" s="445" t="s">
        <v>992</v>
      </c>
      <c r="AB13" s="443" t="s">
        <v>992</v>
      </c>
      <c r="AC13" s="444" t="s">
        <v>992</v>
      </c>
      <c r="AD13" s="445" t="s">
        <v>992</v>
      </c>
      <c r="AE13" s="443" t="s">
        <v>992</v>
      </c>
      <c r="AF13" s="444" t="s">
        <v>992</v>
      </c>
      <c r="AG13" s="445" t="s">
        <v>992</v>
      </c>
      <c r="AH13" s="443" t="s">
        <v>992</v>
      </c>
      <c r="AI13" s="444" t="s">
        <v>992</v>
      </c>
      <c r="AJ13" s="445" t="s">
        <v>992</v>
      </c>
      <c r="AK13" s="443" t="s">
        <v>992</v>
      </c>
      <c r="AL13" s="444" t="s">
        <v>992</v>
      </c>
      <c r="AM13" s="445" t="s">
        <v>992</v>
      </c>
      <c r="AN13" s="443" t="s">
        <v>992</v>
      </c>
      <c r="AO13" s="444" t="s">
        <v>992</v>
      </c>
      <c r="AP13" s="445" t="s">
        <v>992</v>
      </c>
      <c r="AQ13" s="443" t="s">
        <v>992</v>
      </c>
      <c r="AR13" s="444" t="s">
        <v>992</v>
      </c>
      <c r="AS13" s="445" t="s">
        <v>992</v>
      </c>
      <c r="AT13" s="443" t="s">
        <v>992</v>
      </c>
      <c r="AU13" s="444" t="s">
        <v>992</v>
      </c>
      <c r="AV13" s="445" t="s">
        <v>992</v>
      </c>
    </row>
    <row r="14" spans="1:51">
      <c r="A14" s="327">
        <v>6</v>
      </c>
      <c r="B14" s="446"/>
      <c r="C14" s="447"/>
      <c r="D14" s="447"/>
      <c r="E14" s="447"/>
      <c r="F14" s="447"/>
      <c r="G14" s="447"/>
      <c r="H14" s="447"/>
      <c r="I14" s="448"/>
      <c r="J14" s="446"/>
      <c r="K14" s="447"/>
      <c r="L14" s="448"/>
      <c r="M14" s="446"/>
      <c r="N14" s="447"/>
      <c r="O14" s="448"/>
      <c r="P14" s="446"/>
      <c r="Q14" s="447"/>
      <c r="R14" s="448"/>
      <c r="S14" s="446"/>
      <c r="T14" s="447"/>
      <c r="U14" s="448"/>
      <c r="V14" s="446"/>
      <c r="W14" s="447"/>
      <c r="X14" s="448"/>
      <c r="Y14" s="446"/>
      <c r="Z14" s="447"/>
      <c r="AA14" s="448"/>
      <c r="AB14" s="446"/>
      <c r="AC14" s="447"/>
      <c r="AD14" s="448"/>
      <c r="AE14" s="446"/>
      <c r="AF14" s="447"/>
      <c r="AG14" s="448"/>
      <c r="AH14" s="446"/>
      <c r="AI14" s="447"/>
      <c r="AJ14" s="448"/>
      <c r="AK14" s="446"/>
      <c r="AL14" s="447"/>
      <c r="AM14" s="448"/>
      <c r="AN14" s="446"/>
      <c r="AO14" s="447"/>
      <c r="AP14" s="448"/>
      <c r="AQ14" s="446"/>
      <c r="AR14" s="447"/>
      <c r="AS14" s="448"/>
      <c r="AT14" s="446"/>
      <c r="AU14" s="447"/>
      <c r="AV14" s="448"/>
      <c r="AW14" s="448"/>
      <c r="AX14" s="448"/>
      <c r="AY14" s="448"/>
    </row>
    <row r="15" spans="1:51" ht="31.5">
      <c r="A15" s="327">
        <v>7</v>
      </c>
      <c r="B15" s="451"/>
      <c r="C15" s="452" t="s">
        <v>1946</v>
      </c>
      <c r="D15" s="452"/>
      <c r="E15" s="452" t="s">
        <v>1947</v>
      </c>
      <c r="F15" s="452" t="s">
        <v>1948</v>
      </c>
      <c r="G15" s="452" t="s">
        <v>1949</v>
      </c>
      <c r="H15" s="452" t="s">
        <v>1950</v>
      </c>
      <c r="I15" s="453" t="s">
        <v>1951</v>
      </c>
      <c r="J15" s="451"/>
      <c r="K15" s="454"/>
      <c r="L15" s="455"/>
      <c r="M15" s="451"/>
      <c r="N15" s="454"/>
      <c r="O15" s="455"/>
      <c r="P15" s="451"/>
      <c r="Q15" s="454"/>
      <c r="R15" s="455"/>
      <c r="S15" s="451"/>
      <c r="T15" s="454"/>
      <c r="U15" s="455"/>
      <c r="V15" s="451"/>
      <c r="W15" s="454"/>
      <c r="X15" s="455"/>
      <c r="Y15" s="451"/>
      <c r="Z15" s="454"/>
      <c r="AA15" s="455"/>
      <c r="AB15" s="451"/>
      <c r="AC15" s="454"/>
      <c r="AD15" s="455"/>
      <c r="AE15" s="451"/>
      <c r="AF15" s="454"/>
      <c r="AG15" s="455"/>
      <c r="AH15" s="451"/>
      <c r="AI15" s="454"/>
      <c r="AJ15" s="455"/>
      <c r="AK15" s="451"/>
      <c r="AL15" s="454"/>
      <c r="AM15" s="455"/>
      <c r="AN15" s="451"/>
      <c r="AO15" s="454"/>
      <c r="AP15" s="455"/>
      <c r="AQ15" s="451"/>
      <c r="AR15" s="454"/>
      <c r="AS15" s="455"/>
      <c r="AT15" s="451"/>
      <c r="AU15" s="454"/>
      <c r="AV15" s="455"/>
    </row>
    <row r="16" spans="1:51">
      <c r="A16" s="327">
        <v>8</v>
      </c>
      <c r="B16" s="1059" t="s">
        <v>1953</v>
      </c>
      <c r="C16" s="1060"/>
      <c r="D16" s="1060"/>
      <c r="E16" s="1060"/>
      <c r="F16" s="1060"/>
      <c r="G16" s="1060"/>
      <c r="H16" s="1060"/>
      <c r="I16" s="1061"/>
      <c r="J16" s="456"/>
      <c r="K16" s="457"/>
      <c r="L16" s="458"/>
      <c r="M16" s="456"/>
      <c r="N16" s="457"/>
      <c r="O16" s="458"/>
      <c r="P16" s="456"/>
      <c r="Q16" s="457"/>
      <c r="R16" s="458"/>
      <c r="S16" s="456"/>
      <c r="T16" s="457"/>
      <c r="U16" s="458"/>
      <c r="V16" s="456"/>
      <c r="W16" s="457"/>
      <c r="X16" s="458"/>
      <c r="Y16" s="456"/>
      <c r="Z16" s="457"/>
      <c r="AA16" s="458"/>
      <c r="AB16" s="456"/>
      <c r="AC16" s="457"/>
      <c r="AD16" s="458"/>
      <c r="AE16" s="456"/>
      <c r="AF16" s="457"/>
      <c r="AG16" s="458"/>
      <c r="AH16" s="456"/>
      <c r="AI16" s="457"/>
      <c r="AJ16" s="458"/>
      <c r="AK16" s="456"/>
      <c r="AL16" s="457"/>
      <c r="AM16" s="458"/>
      <c r="AN16" s="456"/>
      <c r="AO16" s="457"/>
      <c r="AP16" s="458"/>
      <c r="AQ16" s="456"/>
      <c r="AR16" s="457"/>
      <c r="AS16" s="458"/>
      <c r="AT16" s="456"/>
      <c r="AU16" s="457"/>
      <c r="AV16" s="458"/>
    </row>
    <row r="17" spans="1:56">
      <c r="A17" s="327">
        <v>9</v>
      </c>
      <c r="B17" s="449" t="s">
        <v>1954</v>
      </c>
      <c r="C17" s="444" t="s">
        <v>1184</v>
      </c>
      <c r="D17" s="444"/>
      <c r="E17" s="444" t="s">
        <v>1955</v>
      </c>
      <c r="F17" s="444" t="s">
        <v>829</v>
      </c>
      <c r="G17" s="444" t="s">
        <v>1956</v>
      </c>
      <c r="H17" s="444" t="s">
        <v>410</v>
      </c>
      <c r="I17" s="445" t="s">
        <v>410</v>
      </c>
      <c r="J17" s="456">
        <v>0</v>
      </c>
      <c r="K17" s="457">
        <v>0</v>
      </c>
      <c r="L17" s="458"/>
      <c r="M17" s="456">
        <v>0</v>
      </c>
      <c r="N17" s="457">
        <v>0</v>
      </c>
      <c r="O17" s="458"/>
      <c r="P17" s="456">
        <v>0</v>
      </c>
      <c r="Q17" s="457">
        <v>0</v>
      </c>
      <c r="R17" s="458"/>
      <c r="S17" s="456">
        <v>0</v>
      </c>
      <c r="T17" s="457">
        <v>0</v>
      </c>
      <c r="U17" s="458"/>
      <c r="V17" s="456">
        <v>0</v>
      </c>
      <c r="W17" s="457">
        <v>0</v>
      </c>
      <c r="X17" s="458"/>
      <c r="Y17" s="456">
        <v>0</v>
      </c>
      <c r="Z17" s="457">
        <v>0</v>
      </c>
      <c r="AA17" s="458"/>
      <c r="AB17" s="456">
        <v>0</v>
      </c>
      <c r="AC17" s="457">
        <v>0</v>
      </c>
      <c r="AD17" s="458"/>
      <c r="AE17" s="456">
        <v>0</v>
      </c>
      <c r="AF17" s="457">
        <v>0</v>
      </c>
      <c r="AG17" s="458"/>
      <c r="AH17" s="456">
        <v>0</v>
      </c>
      <c r="AI17" s="457">
        <v>0</v>
      </c>
      <c r="AJ17" s="458"/>
      <c r="AK17" s="456">
        <v>0</v>
      </c>
      <c r="AL17" s="457">
        <v>0</v>
      </c>
      <c r="AM17" s="458"/>
      <c r="AN17" s="456">
        <v>0</v>
      </c>
      <c r="AO17" s="457">
        <v>0</v>
      </c>
      <c r="AP17" s="458"/>
      <c r="AQ17" s="456">
        <v>0</v>
      </c>
      <c r="AR17" s="457">
        <v>0</v>
      </c>
      <c r="AS17" s="458"/>
      <c r="AT17" s="456">
        <v>0</v>
      </c>
      <c r="AU17" s="457">
        <v>0</v>
      </c>
      <c r="AV17" s="458"/>
    </row>
    <row r="18" spans="1:56">
      <c r="A18" s="35">
        <v>10</v>
      </c>
      <c r="B18" s="449" t="s">
        <v>1957</v>
      </c>
      <c r="C18" s="444" t="s">
        <v>1184</v>
      </c>
      <c r="D18" s="444"/>
      <c r="E18" s="444" t="s">
        <v>410</v>
      </c>
      <c r="F18" s="444" t="s">
        <v>829</v>
      </c>
      <c r="G18" s="444" t="s">
        <v>1958</v>
      </c>
      <c r="H18" s="444" t="s">
        <v>410</v>
      </c>
      <c r="I18" s="445" t="s">
        <v>410</v>
      </c>
      <c r="J18" s="456">
        <v>-2279109.5</v>
      </c>
      <c r="K18" s="459">
        <v>-2238048.0300000003</v>
      </c>
      <c r="L18" s="458">
        <v>-41061.47</v>
      </c>
      <c r="M18" s="456">
        <v>-2226742.2999999998</v>
      </c>
      <c r="N18" s="459">
        <v>-2177832.12</v>
      </c>
      <c r="O18" s="458">
        <v>-48910.18</v>
      </c>
      <c r="P18" s="456">
        <v>-2231648.46</v>
      </c>
      <c r="Q18" s="459">
        <v>-2182738.2800000003</v>
      </c>
      <c r="R18" s="458">
        <v>-48910.18</v>
      </c>
      <c r="S18" s="456">
        <v>-2244974.9500000002</v>
      </c>
      <c r="T18" s="459">
        <v>-2196064.77</v>
      </c>
      <c r="U18" s="458">
        <v>-48910.18</v>
      </c>
      <c r="V18" s="456">
        <v>-2238326.9700000002</v>
      </c>
      <c r="W18" s="459">
        <v>-2188576.84</v>
      </c>
      <c r="X18" s="458">
        <v>-49750.13</v>
      </c>
      <c r="Y18" s="456">
        <v>-2236733.9700000002</v>
      </c>
      <c r="Z18" s="459">
        <v>-2188576.84</v>
      </c>
      <c r="AA18" s="458">
        <v>-48157.13</v>
      </c>
      <c r="AB18" s="456">
        <v>-2236210.0699999998</v>
      </c>
      <c r="AC18" s="459">
        <v>-2186613.7000000002</v>
      </c>
      <c r="AD18" s="458">
        <v>-49596.37</v>
      </c>
      <c r="AE18" s="456">
        <v>-2902309.1</v>
      </c>
      <c r="AF18" s="459">
        <v>-2852426.2</v>
      </c>
      <c r="AG18" s="458">
        <v>-49882.9</v>
      </c>
      <c r="AH18" s="456">
        <v>-2962128.58</v>
      </c>
      <c r="AI18" s="459">
        <v>-2864501.58</v>
      </c>
      <c r="AJ18" s="458">
        <v>-97627</v>
      </c>
      <c r="AK18" s="456">
        <v>-2962128.58</v>
      </c>
      <c r="AL18" s="459">
        <v>-2864501.58</v>
      </c>
      <c r="AM18" s="458">
        <v>-97627</v>
      </c>
      <c r="AN18" s="456">
        <v>-2962128.58</v>
      </c>
      <c r="AO18" s="459">
        <v>-2864501.58</v>
      </c>
      <c r="AP18" s="458">
        <v>-97627</v>
      </c>
      <c r="AQ18" s="456">
        <v>-2960940.58</v>
      </c>
      <c r="AR18" s="459">
        <v>-2863313.58</v>
      </c>
      <c r="AS18" s="458">
        <v>-97627</v>
      </c>
      <c r="AT18" s="456">
        <v>-2978881.44</v>
      </c>
      <c r="AU18" s="459">
        <v>-2863313.58</v>
      </c>
      <c r="AV18" s="458">
        <v>-115567.86</v>
      </c>
      <c r="AW18" s="247">
        <f>+(AT18+J18+(M18+P18+S18+V18+Y18+AB18+AE18+AH18+AK18+AN18+AQ18)*2)/24</f>
        <v>-2566105.6341666658</v>
      </c>
      <c r="AX18" s="247">
        <f t="shared" ref="AX18:AY22" si="0">+(AU18+K18+(N18+Q18+T18+W18+Z18+AC18+AF18+AI18+AL18+AO18+AR18)*2)/24</f>
        <v>-2498360.6562499995</v>
      </c>
      <c r="AY18" s="247">
        <f t="shared" si="0"/>
        <v>-67744.97791666667</v>
      </c>
    </row>
    <row r="19" spans="1:56">
      <c r="A19" s="35">
        <v>11</v>
      </c>
      <c r="B19" s="449" t="s">
        <v>1959</v>
      </c>
      <c r="C19" s="444" t="s">
        <v>1184</v>
      </c>
      <c r="D19" s="444"/>
      <c r="E19" s="444" t="s">
        <v>1952</v>
      </c>
      <c r="F19" s="444" t="s">
        <v>829</v>
      </c>
      <c r="G19" s="444" t="s">
        <v>1960</v>
      </c>
      <c r="H19" s="444" t="s">
        <v>410</v>
      </c>
      <c r="I19" s="445" t="s">
        <v>410</v>
      </c>
      <c r="J19" s="456">
        <v>76970.94</v>
      </c>
      <c r="K19" s="457">
        <v>76970.94</v>
      </c>
      <c r="L19" s="458">
        <v>0</v>
      </c>
      <c r="M19" s="456">
        <v>0</v>
      </c>
      <c r="N19" s="457">
        <v>0</v>
      </c>
      <c r="O19" s="458">
        <v>0</v>
      </c>
      <c r="P19" s="456">
        <v>7662.17</v>
      </c>
      <c r="Q19" s="457">
        <v>7662.17</v>
      </c>
      <c r="R19" s="458">
        <v>0</v>
      </c>
      <c r="S19" s="456">
        <v>7662.17</v>
      </c>
      <c r="T19" s="457">
        <v>7662.17</v>
      </c>
      <c r="U19" s="458">
        <v>0</v>
      </c>
      <c r="V19" s="456">
        <v>16274.85</v>
      </c>
      <c r="W19" s="457">
        <v>16274.85</v>
      </c>
      <c r="X19" s="458">
        <v>0</v>
      </c>
      <c r="Y19" s="456">
        <v>46932.4</v>
      </c>
      <c r="Z19" s="457">
        <v>46932.4</v>
      </c>
      <c r="AA19" s="458">
        <v>0</v>
      </c>
      <c r="AB19" s="456">
        <v>111861.2</v>
      </c>
      <c r="AC19" s="457">
        <v>111861.2</v>
      </c>
      <c r="AD19" s="458">
        <v>0</v>
      </c>
      <c r="AE19" s="456">
        <v>111861.2</v>
      </c>
      <c r="AF19" s="457">
        <v>111861.2</v>
      </c>
      <c r="AG19" s="458">
        <v>0</v>
      </c>
      <c r="AH19" s="456">
        <v>111861.2</v>
      </c>
      <c r="AI19" s="457">
        <v>111861.2</v>
      </c>
      <c r="AJ19" s="458">
        <v>0</v>
      </c>
      <c r="AK19" s="456">
        <v>111861.2</v>
      </c>
      <c r="AL19" s="457">
        <v>111861.2</v>
      </c>
      <c r="AM19" s="458">
        <v>0</v>
      </c>
      <c r="AN19" s="456">
        <v>111861.2</v>
      </c>
      <c r="AO19" s="457">
        <v>111861.2</v>
      </c>
      <c r="AP19" s="458">
        <v>0</v>
      </c>
      <c r="AQ19" s="456">
        <v>168335.9</v>
      </c>
      <c r="AR19" s="457">
        <v>168335.9</v>
      </c>
      <c r="AS19" s="458">
        <v>0</v>
      </c>
      <c r="AT19" s="456">
        <v>168335.9</v>
      </c>
      <c r="AU19" s="457">
        <v>168335.9</v>
      </c>
      <c r="AV19" s="458">
        <v>0</v>
      </c>
      <c r="AW19" s="247">
        <f t="shared" ref="AW19:AW22" si="1">+(AT19+J19+(M19+P19+S19+V19+Y19+AB19+AE19+AH19+AK19+AN19+AQ19)*2)/24</f>
        <v>77402.242500000008</v>
      </c>
      <c r="AX19" s="247">
        <f t="shared" si="0"/>
        <v>77402.242500000008</v>
      </c>
      <c r="AY19" s="247">
        <f t="shared" si="0"/>
        <v>0</v>
      </c>
    </row>
    <row r="20" spans="1:56">
      <c r="A20" s="35">
        <v>12</v>
      </c>
      <c r="B20" s="449" t="s">
        <v>1961</v>
      </c>
      <c r="C20" s="444" t="s">
        <v>1184</v>
      </c>
      <c r="D20" s="444"/>
      <c r="E20" s="444" t="s">
        <v>1952</v>
      </c>
      <c r="F20" s="444" t="s">
        <v>829</v>
      </c>
      <c r="G20" s="444" t="s">
        <v>1962</v>
      </c>
      <c r="H20" s="444" t="s">
        <v>410</v>
      </c>
      <c r="I20" s="445" t="s">
        <v>410</v>
      </c>
      <c r="J20" s="460">
        <v>0</v>
      </c>
      <c r="K20" s="461">
        <v>0.01</v>
      </c>
      <c r="L20" s="462">
        <v>-0.01</v>
      </c>
      <c r="M20" s="460">
        <v>0</v>
      </c>
      <c r="N20" s="461">
        <v>0.01</v>
      </c>
      <c r="O20" s="462">
        <v>-0.01</v>
      </c>
      <c r="P20" s="460">
        <v>0</v>
      </c>
      <c r="Q20" s="461">
        <v>0.01</v>
      </c>
      <c r="R20" s="462">
        <v>-0.01</v>
      </c>
      <c r="S20" s="460">
        <v>0</v>
      </c>
      <c r="T20" s="461">
        <v>0.01</v>
      </c>
      <c r="U20" s="462">
        <v>-0.01</v>
      </c>
      <c r="V20" s="460">
        <v>0</v>
      </c>
      <c r="W20" s="461">
        <v>0.01</v>
      </c>
      <c r="X20" s="462">
        <v>-0.01</v>
      </c>
      <c r="Y20" s="460">
        <v>0</v>
      </c>
      <c r="Z20" s="461">
        <v>0.01</v>
      </c>
      <c r="AA20" s="462">
        <v>-0.01</v>
      </c>
      <c r="AB20" s="460">
        <v>0</v>
      </c>
      <c r="AC20" s="461">
        <v>0.01</v>
      </c>
      <c r="AD20" s="462">
        <v>-0.01</v>
      </c>
      <c r="AE20" s="460">
        <v>0</v>
      </c>
      <c r="AF20" s="461">
        <v>0.01</v>
      </c>
      <c r="AG20" s="462">
        <v>-0.01</v>
      </c>
      <c r="AH20" s="460">
        <v>0</v>
      </c>
      <c r="AI20" s="461">
        <v>0.01</v>
      </c>
      <c r="AJ20" s="462">
        <v>-0.01</v>
      </c>
      <c r="AK20" s="460">
        <v>0</v>
      </c>
      <c r="AL20" s="461">
        <v>0.01</v>
      </c>
      <c r="AM20" s="462">
        <v>-0.01</v>
      </c>
      <c r="AN20" s="460">
        <v>0</v>
      </c>
      <c r="AO20" s="461">
        <v>0.01</v>
      </c>
      <c r="AP20" s="462">
        <v>-0.01</v>
      </c>
      <c r="AQ20" s="460">
        <v>0</v>
      </c>
      <c r="AR20" s="461">
        <v>0.01</v>
      </c>
      <c r="AS20" s="462">
        <v>-0.01</v>
      </c>
      <c r="AT20" s="460">
        <v>0</v>
      </c>
      <c r="AU20" s="461">
        <v>0.01</v>
      </c>
      <c r="AV20" s="462">
        <v>-0.01</v>
      </c>
      <c r="AW20" s="247">
        <f t="shared" si="1"/>
        <v>0</v>
      </c>
      <c r="AX20" s="247">
        <f t="shared" si="0"/>
        <v>9.9999999999999985E-3</v>
      </c>
      <c r="AY20" s="247">
        <f t="shared" si="0"/>
        <v>-9.9999999999999985E-3</v>
      </c>
    </row>
    <row r="21" spans="1:56">
      <c r="A21" s="327">
        <v>13</v>
      </c>
      <c r="B21" s="449" t="s">
        <v>1963</v>
      </c>
      <c r="C21" s="444" t="s">
        <v>1184</v>
      </c>
      <c r="D21" s="444"/>
      <c r="E21" s="444" t="s">
        <v>1952</v>
      </c>
      <c r="F21" s="444" t="s">
        <v>829</v>
      </c>
      <c r="G21" s="444" t="s">
        <v>1964</v>
      </c>
      <c r="H21" s="444" t="s">
        <v>410</v>
      </c>
      <c r="I21" s="445" t="s">
        <v>410</v>
      </c>
      <c r="J21" s="460">
        <v>-1873090.42</v>
      </c>
      <c r="K21" s="461">
        <v>-1418589.59</v>
      </c>
      <c r="L21" s="462">
        <v>-454500.83</v>
      </c>
      <c r="M21" s="460">
        <v>-1871940.47</v>
      </c>
      <c r="N21" s="461">
        <v>-1408934.05</v>
      </c>
      <c r="O21" s="462">
        <v>-463006.42</v>
      </c>
      <c r="P21" s="460">
        <v>-1871424.42</v>
      </c>
      <c r="Q21" s="461">
        <v>-1408545.62</v>
      </c>
      <c r="R21" s="462">
        <v>-462878.8</v>
      </c>
      <c r="S21" s="460">
        <v>-1801886.81</v>
      </c>
      <c r="T21" s="461">
        <v>-1356204.66</v>
      </c>
      <c r="U21" s="462">
        <v>-445682.15</v>
      </c>
      <c r="V21" s="460">
        <v>-1811877.29</v>
      </c>
      <c r="W21" s="461">
        <v>-1363724.49</v>
      </c>
      <c r="X21" s="462">
        <v>-448152.8</v>
      </c>
      <c r="Y21" s="460">
        <v>-1835727.71</v>
      </c>
      <c r="Z21" s="461">
        <v>-1381676.7</v>
      </c>
      <c r="AA21" s="462">
        <v>-454051.01</v>
      </c>
      <c r="AB21" s="460">
        <v>-1810275.43</v>
      </c>
      <c r="AC21" s="461">
        <v>-1362518.77</v>
      </c>
      <c r="AD21" s="462">
        <v>-447756.66</v>
      </c>
      <c r="AE21" s="460">
        <v>-1806885.94</v>
      </c>
      <c r="AF21" s="461">
        <v>-1359967.5</v>
      </c>
      <c r="AG21" s="462">
        <v>-446918.44</v>
      </c>
      <c r="AH21" s="460">
        <v>-1807118.06</v>
      </c>
      <c r="AI21" s="461">
        <v>-1360142.22</v>
      </c>
      <c r="AJ21" s="462">
        <v>-446975.84</v>
      </c>
      <c r="AK21" s="460">
        <v>-1718242.87</v>
      </c>
      <c r="AL21" s="461">
        <v>-1293245.8600000001</v>
      </c>
      <c r="AM21" s="462">
        <v>-424997.01</v>
      </c>
      <c r="AN21" s="460">
        <v>-1714074.84</v>
      </c>
      <c r="AO21" s="461">
        <v>-1290108.58</v>
      </c>
      <c r="AP21" s="462">
        <v>-423966.26</v>
      </c>
      <c r="AQ21" s="460">
        <v>-1706168.66</v>
      </c>
      <c r="AR21" s="461">
        <v>-1284157.6000000001</v>
      </c>
      <c r="AS21" s="462">
        <v>-422011.06</v>
      </c>
      <c r="AT21" s="460">
        <v>-1671584.25</v>
      </c>
      <c r="AU21" s="461">
        <v>-1258125.9099999999</v>
      </c>
      <c r="AV21" s="462">
        <v>-413458.34</v>
      </c>
      <c r="AW21" s="247">
        <f t="shared" si="1"/>
        <v>-1793996.6529166668</v>
      </c>
      <c r="AX21" s="247">
        <f t="shared" si="0"/>
        <v>-1350631.9833333334</v>
      </c>
      <c r="AY21" s="247">
        <f t="shared" si="0"/>
        <v>-443364.66958333325</v>
      </c>
    </row>
    <row r="22" spans="1:56" ht="16.5" thickBot="1">
      <c r="A22" s="327">
        <v>14</v>
      </c>
      <c r="B22" s="449" t="s">
        <v>1965</v>
      </c>
      <c r="C22" s="444" t="s">
        <v>1184</v>
      </c>
      <c r="D22" s="444"/>
      <c r="E22" s="444" t="s">
        <v>1952</v>
      </c>
      <c r="F22" s="444" t="s">
        <v>829</v>
      </c>
      <c r="G22" s="444" t="s">
        <v>1966</v>
      </c>
      <c r="H22" s="444" t="s">
        <v>410</v>
      </c>
      <c r="I22" s="445" t="s">
        <v>410</v>
      </c>
      <c r="J22" s="460">
        <v>0</v>
      </c>
      <c r="K22" s="461">
        <v>0</v>
      </c>
      <c r="L22" s="462">
        <v>0</v>
      </c>
      <c r="M22" s="460">
        <v>0</v>
      </c>
      <c r="N22" s="461">
        <v>0</v>
      </c>
      <c r="O22" s="462">
        <v>0</v>
      </c>
      <c r="P22" s="460">
        <v>0</v>
      </c>
      <c r="Q22" s="461">
        <v>0</v>
      </c>
      <c r="R22" s="462">
        <v>0</v>
      </c>
      <c r="S22" s="460">
        <v>0</v>
      </c>
      <c r="T22" s="461">
        <v>0</v>
      </c>
      <c r="U22" s="462">
        <v>0</v>
      </c>
      <c r="V22" s="460">
        <v>0</v>
      </c>
      <c r="W22" s="461">
        <v>0</v>
      </c>
      <c r="X22" s="462">
        <v>0</v>
      </c>
      <c r="Y22" s="460">
        <v>0</v>
      </c>
      <c r="Z22" s="461">
        <v>0</v>
      </c>
      <c r="AA22" s="462">
        <v>0</v>
      </c>
      <c r="AB22" s="460">
        <v>0</v>
      </c>
      <c r="AC22" s="461">
        <v>0</v>
      </c>
      <c r="AD22" s="462">
        <v>0</v>
      </c>
      <c r="AE22" s="460">
        <v>0</v>
      </c>
      <c r="AF22" s="461">
        <v>0</v>
      </c>
      <c r="AG22" s="462">
        <v>0</v>
      </c>
      <c r="AH22" s="460">
        <v>0</v>
      </c>
      <c r="AI22" s="461">
        <v>0</v>
      </c>
      <c r="AJ22" s="462">
        <v>0</v>
      </c>
      <c r="AK22" s="460">
        <v>0</v>
      </c>
      <c r="AL22" s="461">
        <v>0</v>
      </c>
      <c r="AM22" s="462">
        <v>0</v>
      </c>
      <c r="AN22" s="460">
        <v>0</v>
      </c>
      <c r="AO22" s="461">
        <v>0</v>
      </c>
      <c r="AP22" s="462">
        <v>0</v>
      </c>
      <c r="AQ22" s="460">
        <v>0</v>
      </c>
      <c r="AR22" s="461">
        <v>0</v>
      </c>
      <c r="AS22" s="462">
        <v>0</v>
      </c>
      <c r="AT22" s="460">
        <v>0</v>
      </c>
      <c r="AU22" s="461">
        <v>0</v>
      </c>
      <c r="AV22" s="462">
        <v>0</v>
      </c>
      <c r="AW22" s="463">
        <f t="shared" si="1"/>
        <v>0</v>
      </c>
      <c r="AX22" s="463">
        <f t="shared" si="0"/>
        <v>0</v>
      </c>
      <c r="AY22" s="463">
        <f t="shared" si="0"/>
        <v>0</v>
      </c>
    </row>
    <row r="23" spans="1:56" ht="16.5" thickBot="1">
      <c r="A23" s="327">
        <v>15</v>
      </c>
      <c r="B23" s="449"/>
      <c r="C23" s="444"/>
      <c r="D23" s="444"/>
      <c r="E23" s="444"/>
      <c r="F23" s="444"/>
      <c r="G23" s="444"/>
      <c r="H23" s="444"/>
      <c r="I23" s="445"/>
      <c r="J23" s="464">
        <f>SUM(J18:J22)</f>
        <v>-4075228.98</v>
      </c>
      <c r="K23" s="465">
        <f>SUM(K17:K22)</f>
        <v>-3579666.6700000009</v>
      </c>
      <c r="L23" s="466">
        <f>SUM(L18:L22)</f>
        <v>-495562.31</v>
      </c>
      <c r="M23" s="464">
        <f>SUM(M17:M22)</f>
        <v>-4098682.7699999996</v>
      </c>
      <c r="N23" s="465">
        <f>SUM(N17:N22)</f>
        <v>-3586766.16</v>
      </c>
      <c r="O23" s="466">
        <f>SUM(O18:O22)</f>
        <v>-511916.61</v>
      </c>
      <c r="P23" s="464">
        <f>SUM(P17:P22)</f>
        <v>-4095410.71</v>
      </c>
      <c r="Q23" s="465">
        <f>SUM(Q17:Q22)</f>
        <v>-3583621.7200000007</v>
      </c>
      <c r="R23" s="466">
        <f>SUM(R18:R22)</f>
        <v>-511788.99</v>
      </c>
      <c r="S23" s="464">
        <f>SUM(S17:S22)</f>
        <v>-4039199.5900000003</v>
      </c>
      <c r="T23" s="465">
        <f>SUM(T17:T22)</f>
        <v>-3544607.25</v>
      </c>
      <c r="U23" s="466">
        <f>SUM(U18:U22)</f>
        <v>-494592.34</v>
      </c>
      <c r="V23" s="464">
        <f>SUM(V17:V22)</f>
        <v>-4033929.41</v>
      </c>
      <c r="W23" s="465">
        <f>SUM(W17:W22)</f>
        <v>-3536026.4699999997</v>
      </c>
      <c r="X23" s="466">
        <f>SUM(X18:X22)</f>
        <v>-497902.94</v>
      </c>
      <c r="Y23" s="464">
        <f>SUM(Y17:Y22)</f>
        <v>-4025529.2800000003</v>
      </c>
      <c r="Z23" s="465">
        <f>SUM(Z17:Z22)</f>
        <v>-3523321.13</v>
      </c>
      <c r="AA23" s="466">
        <f>SUM(AA18:AA22)</f>
        <v>-502208.15</v>
      </c>
      <c r="AB23" s="464">
        <f>SUM(AB17:AB22)</f>
        <v>-3934624.3</v>
      </c>
      <c r="AC23" s="465">
        <f>SUM(AC17:AC22)</f>
        <v>-3437271.2600000002</v>
      </c>
      <c r="AD23" s="466">
        <f>SUM(AD18:AD22)</f>
        <v>-497353.04</v>
      </c>
      <c r="AE23" s="464">
        <f>SUM(AE17:AE22)</f>
        <v>-4597333.84</v>
      </c>
      <c r="AF23" s="465">
        <f>SUM(AF17:AF22)</f>
        <v>-4100532.49</v>
      </c>
      <c r="AG23" s="466">
        <f>SUM(AG18:AG22)</f>
        <v>-496801.35</v>
      </c>
      <c r="AH23" s="464">
        <f>SUM(AH17:AH22)</f>
        <v>-4657385.4399999995</v>
      </c>
      <c r="AI23" s="465">
        <f>SUM(AI17:AI22)</f>
        <v>-4112782.59</v>
      </c>
      <c r="AJ23" s="466">
        <f>SUM(AJ18:AJ22)</f>
        <v>-544602.85</v>
      </c>
      <c r="AK23" s="464">
        <f>SUM(AK17:AK22)</f>
        <v>-4568510.25</v>
      </c>
      <c r="AL23" s="465">
        <f>SUM(AL17:AL22)</f>
        <v>-4045886.2300000004</v>
      </c>
      <c r="AM23" s="466">
        <f>SUM(AM18:AM22)</f>
        <v>-522624.02</v>
      </c>
      <c r="AN23" s="464">
        <f>SUM(AN17:AN22)</f>
        <v>-4564342.22</v>
      </c>
      <c r="AO23" s="465">
        <f>SUM(AO17:AO22)</f>
        <v>-4042748.95</v>
      </c>
      <c r="AP23" s="466">
        <f>SUM(AP18:AP22)</f>
        <v>-521593.27</v>
      </c>
      <c r="AQ23" s="464">
        <f>SUM(AQ17:AQ22)</f>
        <v>-4498773.34</v>
      </c>
      <c r="AR23" s="465">
        <f>SUM(AR17:AR22)</f>
        <v>-3979135.2700000005</v>
      </c>
      <c r="AS23" s="466">
        <f>SUM(AS18:AS22)</f>
        <v>-519638.07</v>
      </c>
      <c r="AT23" s="464">
        <f>SUM(AT17:AT22)</f>
        <v>-4482129.79</v>
      </c>
      <c r="AU23" s="465">
        <f>SUM(AU17:AU22)</f>
        <v>-3953103.58</v>
      </c>
      <c r="AV23" s="466">
        <f>SUM(AV18:AV22)</f>
        <v>-529026.21</v>
      </c>
      <c r="AW23" s="467">
        <f>SUM(AW18:AW22)</f>
        <v>-4282700.0445833327</v>
      </c>
      <c r="AX23" s="468">
        <f t="shared" ref="AX23:AY23" si="2">SUM(AX18:AX22)</f>
        <v>-3771590.387083333</v>
      </c>
      <c r="AY23" s="469">
        <f t="shared" si="2"/>
        <v>-511109.65749999991</v>
      </c>
    </row>
    <row r="24" spans="1:56" ht="16.5" thickTop="1">
      <c r="A24" s="327">
        <v>16</v>
      </c>
      <c r="B24" s="449"/>
      <c r="C24" s="444"/>
      <c r="D24" s="444"/>
      <c r="E24" s="444"/>
      <c r="F24" s="444"/>
      <c r="G24" s="444"/>
      <c r="H24" s="444"/>
      <c r="I24" s="445"/>
      <c r="J24" s="456"/>
      <c r="K24" s="457"/>
      <c r="L24" s="458">
        <v>8.7311491370201111E-10</v>
      </c>
      <c r="M24" s="456"/>
      <c r="N24" s="457"/>
      <c r="O24" s="458">
        <v>5.8207660913467407E-10</v>
      </c>
      <c r="P24" s="456"/>
      <c r="Q24" s="457"/>
      <c r="R24" s="458">
        <v>6.9849193096160889E-10</v>
      </c>
      <c r="S24" s="456"/>
      <c r="T24" s="457"/>
      <c r="U24" s="458">
        <v>0</v>
      </c>
      <c r="V24" s="456"/>
      <c r="W24" s="457"/>
      <c r="X24" s="458">
        <v>0</v>
      </c>
      <c r="Y24" s="456"/>
      <c r="Z24" s="457"/>
      <c r="AA24" s="458">
        <v>0</v>
      </c>
      <c r="AB24" s="456"/>
      <c r="AC24" s="457"/>
      <c r="AD24" s="458">
        <v>0</v>
      </c>
      <c r="AE24" s="456"/>
      <c r="AF24" s="457"/>
      <c r="AG24" s="458">
        <v>0</v>
      </c>
      <c r="AH24" s="456"/>
      <c r="AI24" s="457"/>
      <c r="AJ24" s="458">
        <v>0</v>
      </c>
      <c r="AK24" s="456"/>
      <c r="AL24" s="457"/>
      <c r="AM24" s="458">
        <v>4.6566128730773926E-10</v>
      </c>
      <c r="AN24" s="456"/>
      <c r="AO24" s="457"/>
      <c r="AP24" s="458">
        <v>4.6566128730773926E-10</v>
      </c>
      <c r="AQ24" s="456"/>
      <c r="AR24" s="457"/>
      <c r="AS24" s="458">
        <v>6.4028427004814148E-10</v>
      </c>
      <c r="AT24" s="456"/>
      <c r="AU24" s="457"/>
      <c r="AV24" s="458">
        <v>0</v>
      </c>
      <c r="AW24" s="470">
        <f>+'Working Capital Work Paper'!S301</f>
        <v>-4282700.0445833337</v>
      </c>
      <c r="AX24" s="1064" t="s">
        <v>1985</v>
      </c>
      <c r="AY24" s="1064"/>
      <c r="AZ24" s="1064"/>
      <c r="BA24" s="1064"/>
      <c r="BB24" s="1064"/>
      <c r="BC24" s="1064"/>
      <c r="BD24" s="1064"/>
    </row>
    <row r="25" spans="1:56">
      <c r="A25" s="327">
        <v>17</v>
      </c>
      <c r="B25" s="1059" t="s">
        <v>1967</v>
      </c>
      <c r="C25" s="1060"/>
      <c r="D25" s="1060"/>
      <c r="E25" s="1060"/>
      <c r="F25" s="1060"/>
      <c r="G25" s="1060"/>
      <c r="H25" s="1060"/>
      <c r="I25" s="1061"/>
      <c r="J25" s="471"/>
      <c r="K25" s="472"/>
      <c r="L25" s="473"/>
      <c r="M25" s="471"/>
      <c r="N25" s="472"/>
      <c r="O25" s="473"/>
      <c r="P25" s="471"/>
      <c r="Q25" s="472"/>
      <c r="R25" s="473"/>
      <c r="S25" s="471"/>
      <c r="T25" s="472"/>
      <c r="U25" s="473"/>
      <c r="V25" s="471"/>
      <c r="W25" s="472"/>
      <c r="X25" s="473"/>
      <c r="Y25" s="471"/>
      <c r="Z25" s="472"/>
      <c r="AA25" s="473"/>
      <c r="AB25" s="471"/>
      <c r="AC25" s="472"/>
      <c r="AD25" s="473"/>
      <c r="AE25" s="471"/>
      <c r="AF25" s="472"/>
      <c r="AG25" s="473"/>
      <c r="AH25" s="471"/>
      <c r="AI25" s="472"/>
      <c r="AJ25" s="473"/>
      <c r="AK25" s="471"/>
      <c r="AL25" s="472"/>
      <c r="AM25" s="473"/>
      <c r="AN25" s="471"/>
      <c r="AO25" s="472"/>
      <c r="AP25" s="473"/>
      <c r="AQ25" s="471"/>
      <c r="AR25" s="472"/>
      <c r="AS25" s="473"/>
      <c r="AT25" s="471"/>
      <c r="AU25" s="472"/>
      <c r="AV25" s="473"/>
      <c r="AX25" s="1064"/>
      <c r="AY25" s="1064"/>
      <c r="AZ25" s="1064"/>
      <c r="BA25" s="1064"/>
      <c r="BB25" s="1064"/>
      <c r="BC25" s="1064"/>
      <c r="BD25" s="1064"/>
    </row>
    <row r="26" spans="1:56">
      <c r="A26" s="327">
        <v>18</v>
      </c>
      <c r="B26" s="474" t="s">
        <v>1968</v>
      </c>
      <c r="C26" s="444" t="s">
        <v>1184</v>
      </c>
      <c r="D26" s="444"/>
      <c r="E26" s="444" t="s">
        <v>1952</v>
      </c>
      <c r="F26" s="475" t="s">
        <v>851</v>
      </c>
      <c r="G26" s="475" t="s">
        <v>1969</v>
      </c>
      <c r="H26" s="475" t="s">
        <v>410</v>
      </c>
      <c r="I26" s="476" t="s">
        <v>410</v>
      </c>
      <c r="J26" s="477">
        <v>-95924439.430000007</v>
      </c>
      <c r="K26" s="478">
        <v>-73343826.390000001</v>
      </c>
      <c r="L26" s="479">
        <v>-22580613.039999999</v>
      </c>
      <c r="M26" s="477">
        <v>-95880284.769999996</v>
      </c>
      <c r="N26" s="478">
        <v>-73396357.989999995</v>
      </c>
      <c r="O26" s="479">
        <v>-22483926.780000001</v>
      </c>
      <c r="P26" s="477">
        <v>-95836130.090000004</v>
      </c>
      <c r="Q26" s="478">
        <v>-73362557.579999998</v>
      </c>
      <c r="R26" s="479">
        <v>-22473572.510000002</v>
      </c>
      <c r="S26" s="477">
        <v>-95477141.109999999</v>
      </c>
      <c r="T26" s="478">
        <v>-73087751.519999996</v>
      </c>
      <c r="U26" s="479">
        <v>-22389389.59</v>
      </c>
      <c r="V26" s="477">
        <v>-95326147.390000001</v>
      </c>
      <c r="W26" s="478">
        <v>-72972165.829999998</v>
      </c>
      <c r="X26" s="479">
        <v>-22353981.559999999</v>
      </c>
      <c r="Y26" s="477">
        <v>-95175153.719999999</v>
      </c>
      <c r="Z26" s="478">
        <v>-72856580.180000007</v>
      </c>
      <c r="AA26" s="479">
        <v>-22318573.539999999</v>
      </c>
      <c r="AB26" s="477">
        <v>-95342095.019999996</v>
      </c>
      <c r="AC26" s="478">
        <v>-72984373.75</v>
      </c>
      <c r="AD26" s="479">
        <v>-22357721.27</v>
      </c>
      <c r="AE26" s="477">
        <v>-95244090.469999999</v>
      </c>
      <c r="AF26" s="478">
        <v>-72909351.269999996</v>
      </c>
      <c r="AG26" s="479">
        <v>-22334739.199999999</v>
      </c>
      <c r="AH26" s="477">
        <v>-95146085.950000003</v>
      </c>
      <c r="AI26" s="478">
        <v>-72834328.810000002</v>
      </c>
      <c r="AJ26" s="479">
        <v>-22311757.140000001</v>
      </c>
      <c r="AK26" s="477">
        <v>-96377115.560000002</v>
      </c>
      <c r="AL26" s="478">
        <v>-73776681.980000004</v>
      </c>
      <c r="AM26" s="479">
        <v>-22600433.579999998</v>
      </c>
      <c r="AN26" s="477">
        <v>-96426781.480000004</v>
      </c>
      <c r="AO26" s="478">
        <v>-73814701.239999995</v>
      </c>
      <c r="AP26" s="479">
        <v>-22612080.239999998</v>
      </c>
      <c r="AQ26" s="477">
        <v>-98123078.379999995</v>
      </c>
      <c r="AR26" s="478">
        <v>-75113216.519999996</v>
      </c>
      <c r="AS26" s="479">
        <v>-23009861.859999999</v>
      </c>
      <c r="AT26" s="477">
        <v>-98089298.930000007</v>
      </c>
      <c r="AU26" s="478">
        <v>-75087358.349999994</v>
      </c>
      <c r="AV26" s="479">
        <v>-23001940.579999998</v>
      </c>
      <c r="AW26" s="247">
        <f t="shared" ref="AW26:AW29" si="3">+(AT26+J26+(M26+P26+S26+V26+Y26+AB26+AE26+AH26+AK26+AN26+AQ26)*2)/24</f>
        <v>-95946747.760000005</v>
      </c>
      <c r="AX26" s="247">
        <f t="shared" ref="AX26:AX29" si="4">+(AU26+K26+(N26+Q26+T26+W26+Z26+AC26+AF26+AI26+AL26+AO26+AR26)*2)/24</f>
        <v>-73443638.25333333</v>
      </c>
      <c r="AY26" s="247">
        <f t="shared" ref="AY26:AY29" si="5">+(AV26+L26+(O26+R26+U26+X26+AA26+AD26+AG26+AJ26+AM26+AP26+AS26)*2)/24</f>
        <v>-22503109.506666671</v>
      </c>
    </row>
    <row r="27" spans="1:56">
      <c r="A27" s="327">
        <v>19</v>
      </c>
      <c r="B27" s="474" t="s">
        <v>1970</v>
      </c>
      <c r="C27" s="444" t="s">
        <v>1184</v>
      </c>
      <c r="D27" s="444"/>
      <c r="E27" s="444" t="s">
        <v>1952</v>
      </c>
      <c r="F27" s="475" t="s">
        <v>853</v>
      </c>
      <c r="G27" s="475" t="s">
        <v>1971</v>
      </c>
      <c r="H27" s="475" t="s">
        <v>410</v>
      </c>
      <c r="I27" s="476" t="s">
        <v>410</v>
      </c>
      <c r="J27" s="477">
        <v>-298910.77</v>
      </c>
      <c r="K27" s="478">
        <v>-228547.15</v>
      </c>
      <c r="L27" s="479">
        <v>-70363.62</v>
      </c>
      <c r="M27" s="477">
        <v>-297733.95</v>
      </c>
      <c r="N27" s="478">
        <v>-227915.33</v>
      </c>
      <c r="O27" s="479">
        <v>-69818.62</v>
      </c>
      <c r="P27" s="477">
        <v>-296557.15000000002</v>
      </c>
      <c r="Q27" s="478">
        <v>-227014.49</v>
      </c>
      <c r="R27" s="479">
        <v>-69542.66</v>
      </c>
      <c r="S27" s="477">
        <v>-295380.34999999998</v>
      </c>
      <c r="T27" s="478">
        <v>-226113.65</v>
      </c>
      <c r="U27" s="479">
        <v>-69266.7</v>
      </c>
      <c r="V27" s="477">
        <v>-294203.53000000003</v>
      </c>
      <c r="W27" s="478">
        <v>-225212.79</v>
      </c>
      <c r="X27" s="479">
        <v>-68990.740000000005</v>
      </c>
      <c r="Y27" s="477">
        <v>-293026.71999999997</v>
      </c>
      <c r="Z27" s="478">
        <v>-224311.94</v>
      </c>
      <c r="AA27" s="479">
        <v>-68714.78</v>
      </c>
      <c r="AB27" s="477">
        <v>-291849.90999999997</v>
      </c>
      <c r="AC27" s="478">
        <v>-223411.09</v>
      </c>
      <c r="AD27" s="479">
        <v>-68438.820000000007</v>
      </c>
      <c r="AE27" s="477">
        <v>-290673.11</v>
      </c>
      <c r="AF27" s="478">
        <v>-222510.25</v>
      </c>
      <c r="AG27" s="479">
        <v>-68162.86</v>
      </c>
      <c r="AH27" s="477">
        <v>-289496.3</v>
      </c>
      <c r="AI27" s="478">
        <v>-221609.4</v>
      </c>
      <c r="AJ27" s="479">
        <v>-67886.899999999994</v>
      </c>
      <c r="AK27" s="477">
        <v>-288319.49</v>
      </c>
      <c r="AL27" s="478">
        <v>-220708.55</v>
      </c>
      <c r="AM27" s="479">
        <v>-67610.9399999999</v>
      </c>
      <c r="AN27" s="477">
        <v>-287142.69</v>
      </c>
      <c r="AO27" s="478">
        <v>-219807.71</v>
      </c>
      <c r="AP27" s="479">
        <v>-67334.979999999894</v>
      </c>
      <c r="AQ27" s="477">
        <v>-285965.88</v>
      </c>
      <c r="AR27" s="478">
        <v>-218906.86</v>
      </c>
      <c r="AS27" s="479">
        <v>-67059.019999999902</v>
      </c>
      <c r="AT27" s="477">
        <v>-284789.06</v>
      </c>
      <c r="AU27" s="478">
        <v>-218006</v>
      </c>
      <c r="AV27" s="479">
        <v>-66783.059999999896</v>
      </c>
      <c r="AW27" s="247">
        <f t="shared" si="3"/>
        <v>-291849.91624999995</v>
      </c>
      <c r="AX27" s="247">
        <f t="shared" si="4"/>
        <v>-223399.88625000001</v>
      </c>
      <c r="AY27" s="247">
        <f t="shared" si="5"/>
        <v>-68450.02999999997</v>
      </c>
    </row>
    <row r="28" spans="1:56">
      <c r="A28" s="327">
        <v>20</v>
      </c>
      <c r="B28" s="474" t="s">
        <v>1972</v>
      </c>
      <c r="C28" s="444" t="s">
        <v>1184</v>
      </c>
      <c r="D28" s="444"/>
      <c r="E28" s="444" t="s">
        <v>410</v>
      </c>
      <c r="F28" s="475" t="s">
        <v>851</v>
      </c>
      <c r="G28" s="475" t="s">
        <v>1973</v>
      </c>
      <c r="H28" s="475" t="s">
        <v>410</v>
      </c>
      <c r="I28" s="476" t="s">
        <v>410</v>
      </c>
      <c r="J28" s="480">
        <v>-3872422.04</v>
      </c>
      <c r="K28" s="480">
        <v>0</v>
      </c>
      <c r="L28" s="481">
        <v>-3872422.04</v>
      </c>
      <c r="M28" s="480">
        <v>-3872775.8</v>
      </c>
      <c r="N28" s="480">
        <v>0</v>
      </c>
      <c r="O28" s="481">
        <v>-3872775.8</v>
      </c>
      <c r="P28" s="480">
        <v>-3873129.56</v>
      </c>
      <c r="Q28" s="480">
        <v>0</v>
      </c>
      <c r="R28" s="481">
        <v>-3873129.56</v>
      </c>
      <c r="S28" s="480">
        <v>-3843445.26</v>
      </c>
      <c r="T28" s="480">
        <v>0</v>
      </c>
      <c r="U28" s="481">
        <v>-3843445.26</v>
      </c>
      <c r="V28" s="480">
        <v>-3839198.49</v>
      </c>
      <c r="W28" s="480">
        <v>0</v>
      </c>
      <c r="X28" s="481">
        <v>-3839198.49</v>
      </c>
      <c r="Y28" s="480">
        <v>-3834951.74</v>
      </c>
      <c r="Z28" s="480">
        <v>0</v>
      </c>
      <c r="AA28" s="481">
        <v>-3834951.74</v>
      </c>
      <c r="AB28" s="480">
        <v>-3847427.87</v>
      </c>
      <c r="AC28" s="480">
        <v>0</v>
      </c>
      <c r="AD28" s="481">
        <v>-3847427.87</v>
      </c>
      <c r="AE28" s="480">
        <v>-3845968.28</v>
      </c>
      <c r="AF28" s="480">
        <v>0</v>
      </c>
      <c r="AG28" s="481">
        <v>-3845968.28</v>
      </c>
      <c r="AH28" s="480">
        <v>-3844508.66</v>
      </c>
      <c r="AI28" s="480">
        <v>0</v>
      </c>
      <c r="AJ28" s="481">
        <v>-3844508.66</v>
      </c>
      <c r="AK28" s="480">
        <v>-3893025.52</v>
      </c>
      <c r="AL28" s="480">
        <v>0</v>
      </c>
      <c r="AM28" s="481">
        <v>-3893025.52</v>
      </c>
      <c r="AN28" s="480">
        <v>-3897118.86</v>
      </c>
      <c r="AO28" s="480">
        <v>0</v>
      </c>
      <c r="AP28" s="481">
        <v>-3897118.86</v>
      </c>
      <c r="AQ28" s="480">
        <v>-4047193.88</v>
      </c>
      <c r="AR28" s="480">
        <v>0</v>
      </c>
      <c r="AS28" s="481">
        <v>-4047193.88</v>
      </c>
      <c r="AT28" s="480">
        <v>-4085566.09</v>
      </c>
      <c r="AU28" s="480">
        <v>0</v>
      </c>
      <c r="AV28" s="481">
        <v>-4085566.09</v>
      </c>
      <c r="AW28" s="247">
        <f t="shared" si="3"/>
        <v>-3884811.4987500007</v>
      </c>
      <c r="AX28" s="247">
        <f t="shared" si="4"/>
        <v>0</v>
      </c>
      <c r="AY28" s="247">
        <f t="shared" si="5"/>
        <v>-3884811.4987500007</v>
      </c>
    </row>
    <row r="29" spans="1:56" ht="16.5" thickBot="1">
      <c r="A29" s="327">
        <v>21</v>
      </c>
      <c r="B29" s="474" t="s">
        <v>1974</v>
      </c>
      <c r="C29" s="444" t="s">
        <v>1184</v>
      </c>
      <c r="D29" s="444"/>
      <c r="E29" s="444" t="s">
        <v>410</v>
      </c>
      <c r="F29" s="475" t="s">
        <v>853</v>
      </c>
      <c r="G29" s="475" t="s">
        <v>1975</v>
      </c>
      <c r="H29" s="475" t="s">
        <v>410</v>
      </c>
      <c r="I29" s="476" t="s">
        <v>410</v>
      </c>
      <c r="J29" s="480">
        <v>-13181.63</v>
      </c>
      <c r="K29" s="480">
        <v>0</v>
      </c>
      <c r="L29" s="482">
        <v>-13181.63</v>
      </c>
      <c r="M29" s="480">
        <v>-13129.73</v>
      </c>
      <c r="N29" s="480">
        <v>0</v>
      </c>
      <c r="O29" s="482">
        <v>-13129.73</v>
      </c>
      <c r="P29" s="480">
        <v>-13077.84</v>
      </c>
      <c r="Q29" s="480">
        <v>0</v>
      </c>
      <c r="R29" s="482">
        <v>-13077.84</v>
      </c>
      <c r="S29" s="480">
        <v>-15536.55</v>
      </c>
      <c r="T29" s="480">
        <v>0</v>
      </c>
      <c r="U29" s="482">
        <v>-15536.55</v>
      </c>
      <c r="V29" s="480">
        <v>-15474.65</v>
      </c>
      <c r="W29" s="480">
        <v>0</v>
      </c>
      <c r="X29" s="482">
        <v>-15474.65</v>
      </c>
      <c r="Y29" s="480">
        <v>-15412.75</v>
      </c>
      <c r="Z29" s="480">
        <v>0</v>
      </c>
      <c r="AA29" s="482">
        <v>-15412.75</v>
      </c>
      <c r="AB29" s="480">
        <v>-15350.85</v>
      </c>
      <c r="AC29" s="480">
        <v>0</v>
      </c>
      <c r="AD29" s="482">
        <v>-15350.85</v>
      </c>
      <c r="AE29" s="480">
        <v>-15288.96</v>
      </c>
      <c r="AF29" s="480">
        <v>0</v>
      </c>
      <c r="AG29" s="482">
        <v>-15288.96</v>
      </c>
      <c r="AH29" s="480">
        <v>-15227.06</v>
      </c>
      <c r="AI29" s="480">
        <v>0</v>
      </c>
      <c r="AJ29" s="482">
        <v>-15227.06</v>
      </c>
      <c r="AK29" s="480">
        <v>-15165.16</v>
      </c>
      <c r="AL29" s="480">
        <v>0</v>
      </c>
      <c r="AM29" s="482">
        <v>-15165.16</v>
      </c>
      <c r="AN29" s="480">
        <v>-15103.26</v>
      </c>
      <c r="AO29" s="480">
        <v>0</v>
      </c>
      <c r="AP29" s="482">
        <v>-15103.26</v>
      </c>
      <c r="AQ29" s="480">
        <v>-15041.37</v>
      </c>
      <c r="AR29" s="480">
        <v>0</v>
      </c>
      <c r="AS29" s="482">
        <v>-15041.37</v>
      </c>
      <c r="AT29" s="480">
        <v>-14979.47</v>
      </c>
      <c r="AU29" s="480">
        <v>0</v>
      </c>
      <c r="AV29" s="482">
        <v>-14979.47</v>
      </c>
      <c r="AW29" s="463">
        <f t="shared" si="3"/>
        <v>-14824.060833333331</v>
      </c>
      <c r="AX29" s="463">
        <f t="shared" si="4"/>
        <v>0</v>
      </c>
      <c r="AY29" s="463">
        <f t="shared" si="5"/>
        <v>-14824.060833333331</v>
      </c>
    </row>
    <row r="30" spans="1:56" ht="16.5" thickBot="1">
      <c r="A30" s="327">
        <v>22</v>
      </c>
      <c r="B30" s="449"/>
      <c r="C30" s="444"/>
      <c r="D30" s="444"/>
      <c r="E30" s="444"/>
      <c r="F30" s="444"/>
      <c r="G30" s="444"/>
      <c r="H30" s="444"/>
      <c r="I30" s="445"/>
      <c r="J30" s="464">
        <f t="shared" ref="J30:AV30" si="6">SUM(J26:J29)</f>
        <v>-100108953.87</v>
      </c>
      <c r="K30" s="465">
        <f t="shared" si="6"/>
        <v>-73572373.540000007</v>
      </c>
      <c r="L30" s="466">
        <f t="shared" si="6"/>
        <v>-26536580.329999998</v>
      </c>
      <c r="M30" s="464">
        <f t="shared" si="6"/>
        <v>-100063924.25</v>
      </c>
      <c r="N30" s="465">
        <f t="shared" si="6"/>
        <v>-73624273.319999993</v>
      </c>
      <c r="O30" s="466">
        <f t="shared" si="6"/>
        <v>-26439650.930000003</v>
      </c>
      <c r="P30" s="464">
        <f t="shared" si="6"/>
        <v>-100018894.64000002</v>
      </c>
      <c r="Q30" s="465">
        <f t="shared" si="6"/>
        <v>-73589572.069999993</v>
      </c>
      <c r="R30" s="466">
        <f t="shared" si="6"/>
        <v>-26429322.57</v>
      </c>
      <c r="S30" s="464">
        <f t="shared" si="6"/>
        <v>-99631503.269999996</v>
      </c>
      <c r="T30" s="465">
        <f t="shared" si="6"/>
        <v>-73313865.170000002</v>
      </c>
      <c r="U30" s="466">
        <f t="shared" si="6"/>
        <v>-26317638.099999998</v>
      </c>
      <c r="V30" s="464">
        <f t="shared" si="6"/>
        <v>-99475024.060000002</v>
      </c>
      <c r="W30" s="465">
        <f t="shared" si="6"/>
        <v>-73197378.620000005</v>
      </c>
      <c r="X30" s="466">
        <f t="shared" si="6"/>
        <v>-26277645.439999998</v>
      </c>
      <c r="Y30" s="464">
        <f t="shared" si="6"/>
        <v>-99318544.929999992</v>
      </c>
      <c r="Z30" s="465">
        <f t="shared" si="6"/>
        <v>-73080892.120000005</v>
      </c>
      <c r="AA30" s="466">
        <f t="shared" si="6"/>
        <v>-26237652.810000002</v>
      </c>
      <c r="AB30" s="464">
        <f t="shared" si="6"/>
        <v>-99496723.649999991</v>
      </c>
      <c r="AC30" s="465">
        <f t="shared" si="6"/>
        <v>-73207784.840000004</v>
      </c>
      <c r="AD30" s="466">
        <f t="shared" si="6"/>
        <v>-26288938.810000002</v>
      </c>
      <c r="AE30" s="464">
        <f t="shared" si="6"/>
        <v>-99396020.819999993</v>
      </c>
      <c r="AF30" s="465">
        <f t="shared" si="6"/>
        <v>-73131861.519999996</v>
      </c>
      <c r="AG30" s="466">
        <f t="shared" si="6"/>
        <v>-26264159.300000001</v>
      </c>
      <c r="AH30" s="464">
        <f t="shared" si="6"/>
        <v>-99295317.969999999</v>
      </c>
      <c r="AI30" s="465">
        <f t="shared" si="6"/>
        <v>-73055938.210000008</v>
      </c>
      <c r="AJ30" s="466">
        <f t="shared" si="6"/>
        <v>-26239379.759999998</v>
      </c>
      <c r="AK30" s="464">
        <f t="shared" si="6"/>
        <v>-100573625.72999999</v>
      </c>
      <c r="AL30" s="465">
        <f t="shared" si="6"/>
        <v>-73997390.530000001</v>
      </c>
      <c r="AM30" s="466">
        <f t="shared" si="6"/>
        <v>-26576235.199999999</v>
      </c>
      <c r="AN30" s="464">
        <f t="shared" si="6"/>
        <v>-100626146.29000001</v>
      </c>
      <c r="AO30" s="465">
        <f t="shared" si="6"/>
        <v>-74034508.949999988</v>
      </c>
      <c r="AP30" s="466">
        <f t="shared" si="6"/>
        <v>-26591637.34</v>
      </c>
      <c r="AQ30" s="464">
        <f t="shared" si="6"/>
        <v>-102471279.50999999</v>
      </c>
      <c r="AR30" s="465">
        <f t="shared" si="6"/>
        <v>-75332123.379999995</v>
      </c>
      <c r="AS30" s="466">
        <f t="shared" si="6"/>
        <v>-27139156.129999999</v>
      </c>
      <c r="AT30" s="464">
        <f t="shared" si="6"/>
        <v>-102474633.55000001</v>
      </c>
      <c r="AU30" s="465">
        <f t="shared" si="6"/>
        <v>-75305364.349999994</v>
      </c>
      <c r="AV30" s="466">
        <f t="shared" si="6"/>
        <v>-27169269.199999996</v>
      </c>
      <c r="AW30" s="467">
        <f>SUM(AW25:AW29)</f>
        <v>-100138233.23583335</v>
      </c>
      <c r="AX30" s="468">
        <f t="shared" ref="AX30" si="7">SUM(AX25:AX29)</f>
        <v>-73667038.139583334</v>
      </c>
      <c r="AY30" s="469">
        <f t="shared" ref="AY30" si="8">SUM(AY25:AY29)</f>
        <v>-26471195.096250009</v>
      </c>
    </row>
    <row r="31" spans="1:56" ht="17.25" thickTop="1" thickBot="1">
      <c r="A31" s="327">
        <v>23</v>
      </c>
      <c r="B31" s="483" t="s">
        <v>1999</v>
      </c>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row>
    <row r="32" spans="1:56">
      <c r="A32" s="35">
        <v>24</v>
      </c>
      <c r="C32" s="90" t="s">
        <v>1184</v>
      </c>
      <c r="E32" s="90" t="s">
        <v>1990</v>
      </c>
      <c r="F32" s="90" t="s">
        <v>851</v>
      </c>
      <c r="G32" s="90" t="s">
        <v>1991</v>
      </c>
      <c r="H32" s="90"/>
      <c r="I32" s="90"/>
      <c r="J32" s="484">
        <v>38942.18</v>
      </c>
      <c r="K32" s="485"/>
      <c r="L32" s="486"/>
      <c r="M32" s="485">
        <v>38536.93</v>
      </c>
      <c r="N32" s="485"/>
      <c r="O32" s="486"/>
      <c r="P32" s="485">
        <v>38131.699999999997</v>
      </c>
      <c r="Q32" s="485"/>
      <c r="R32" s="486"/>
      <c r="S32" s="485">
        <v>30325.16</v>
      </c>
      <c r="T32" s="485"/>
      <c r="U32" s="486"/>
      <c r="V32" s="485">
        <v>29796.79</v>
      </c>
      <c r="W32" s="485"/>
      <c r="X32" s="486"/>
      <c r="Y32" s="485">
        <v>29268.42</v>
      </c>
      <c r="Z32" s="485"/>
      <c r="AA32" s="486"/>
      <c r="AB32" s="485">
        <v>28716.29</v>
      </c>
      <c r="AC32" s="485"/>
      <c r="AD32" s="486"/>
      <c r="AE32" s="485">
        <v>28183.94</v>
      </c>
      <c r="AF32" s="485"/>
      <c r="AG32" s="486"/>
      <c r="AH32" s="485">
        <v>27651.63</v>
      </c>
      <c r="AI32" s="485"/>
      <c r="AJ32" s="486"/>
      <c r="AK32" s="485">
        <v>28514.799999999999</v>
      </c>
      <c r="AL32" s="485"/>
      <c r="AM32" s="486"/>
      <c r="AN32" s="485">
        <v>28137.52</v>
      </c>
      <c r="AO32" s="485"/>
      <c r="AP32" s="486"/>
      <c r="AQ32" s="485">
        <v>29498.17</v>
      </c>
      <c r="AR32" s="485"/>
      <c r="AS32" s="486"/>
      <c r="AT32" s="485">
        <v>31017.37</v>
      </c>
      <c r="AU32" s="485"/>
      <c r="AV32" s="486"/>
      <c r="AW32" s="247">
        <f t="shared" ref="AW32:AW37" si="9">+(AT32+J32+(M32+P32+S32+V32+Y32+AB32+AE32+AH32+AK32+AN32+AQ32)*2)/24</f>
        <v>30978.427083333339</v>
      </c>
      <c r="AX32" s="90"/>
      <c r="AY32" s="90"/>
    </row>
    <row r="33" spans="1:51">
      <c r="A33" s="35">
        <v>25</v>
      </c>
      <c r="C33" s="90" t="s">
        <v>1184</v>
      </c>
      <c r="E33" s="90" t="s">
        <v>1990</v>
      </c>
      <c r="F33" s="90" t="s">
        <v>851</v>
      </c>
      <c r="G33" s="90" t="s">
        <v>1992</v>
      </c>
      <c r="H33" s="90"/>
      <c r="I33" s="90"/>
      <c r="J33" s="487">
        <v>-214358.06</v>
      </c>
      <c r="K33" s="488"/>
      <c r="L33" s="489"/>
      <c r="M33" s="488">
        <v>-213529.1</v>
      </c>
      <c r="N33" s="488"/>
      <c r="O33" s="489"/>
      <c r="P33" s="488">
        <v>-212700.13</v>
      </c>
      <c r="Q33" s="488"/>
      <c r="R33" s="489"/>
      <c r="S33" s="488">
        <v>-998639.19</v>
      </c>
      <c r="T33" s="488"/>
      <c r="U33" s="489"/>
      <c r="V33" s="488">
        <v>-996839.2</v>
      </c>
      <c r="W33" s="488"/>
      <c r="X33" s="489"/>
      <c r="Y33" s="488">
        <v>-995039.19</v>
      </c>
      <c r="Z33" s="488"/>
      <c r="AA33" s="489"/>
      <c r="AB33" s="488">
        <v>-993281.09</v>
      </c>
      <c r="AC33" s="488"/>
      <c r="AD33" s="489"/>
      <c r="AE33" s="488">
        <v>-991488.07</v>
      </c>
      <c r="AF33" s="488"/>
      <c r="AG33" s="489"/>
      <c r="AH33" s="488">
        <v>-989695.05</v>
      </c>
      <c r="AI33" s="488"/>
      <c r="AJ33" s="489"/>
      <c r="AK33" s="488">
        <v>-1003601.37</v>
      </c>
      <c r="AL33" s="488"/>
      <c r="AM33" s="489"/>
      <c r="AN33" s="488">
        <v>-1003552.74</v>
      </c>
      <c r="AO33" s="488"/>
      <c r="AP33" s="489"/>
      <c r="AQ33" s="488">
        <v>-944033.17</v>
      </c>
      <c r="AR33" s="488"/>
      <c r="AS33" s="489"/>
      <c r="AT33" s="488">
        <v>-903902.86</v>
      </c>
      <c r="AU33" s="488"/>
      <c r="AV33" s="489"/>
      <c r="AW33" s="247">
        <f t="shared" si="9"/>
        <v>-825127.39666666684</v>
      </c>
      <c r="AX33" s="90"/>
      <c r="AY33" s="90"/>
    </row>
    <row r="34" spans="1:51">
      <c r="A34" s="35">
        <v>26</v>
      </c>
      <c r="C34" s="90" t="s">
        <v>1184</v>
      </c>
      <c r="E34" s="90" t="s">
        <v>1990</v>
      </c>
      <c r="F34" s="90" t="s">
        <v>851</v>
      </c>
      <c r="G34" s="90" t="s">
        <v>1993</v>
      </c>
      <c r="H34" s="90"/>
      <c r="I34" s="90"/>
      <c r="J34" s="487">
        <v>581511.75</v>
      </c>
      <c r="K34" s="488"/>
      <c r="L34" s="489"/>
      <c r="M34" s="488">
        <v>581511.75</v>
      </c>
      <c r="N34" s="488"/>
      <c r="O34" s="489"/>
      <c r="P34" s="488">
        <v>581511.75</v>
      </c>
      <c r="Q34" s="488"/>
      <c r="R34" s="489"/>
      <c r="S34" s="488">
        <v>581511.75</v>
      </c>
      <c r="T34" s="488"/>
      <c r="U34" s="489"/>
      <c r="V34" s="488">
        <v>581511.75</v>
      </c>
      <c r="W34" s="488"/>
      <c r="X34" s="489"/>
      <c r="Y34" s="488">
        <v>581511.75</v>
      </c>
      <c r="Z34" s="488"/>
      <c r="AA34" s="489"/>
      <c r="AB34" s="488">
        <v>581511.75</v>
      </c>
      <c r="AC34" s="488"/>
      <c r="AD34" s="489"/>
      <c r="AE34" s="488">
        <v>581511.75</v>
      </c>
      <c r="AF34" s="488"/>
      <c r="AG34" s="489"/>
      <c r="AH34" s="488">
        <v>581511.75</v>
      </c>
      <c r="AI34" s="488"/>
      <c r="AJ34" s="489"/>
      <c r="AK34" s="488">
        <v>581511.75</v>
      </c>
      <c r="AL34" s="488"/>
      <c r="AM34" s="489"/>
      <c r="AN34" s="488">
        <v>581511.75</v>
      </c>
      <c r="AO34" s="488"/>
      <c r="AP34" s="489"/>
      <c r="AQ34" s="488">
        <v>581511.75</v>
      </c>
      <c r="AR34" s="488"/>
      <c r="AS34" s="489"/>
      <c r="AT34" s="488">
        <v>542744.30000000005</v>
      </c>
      <c r="AU34" s="488"/>
      <c r="AV34" s="489"/>
      <c r="AW34" s="247">
        <f t="shared" si="9"/>
        <v>579896.43958333333</v>
      </c>
      <c r="AX34" s="90"/>
      <c r="AY34" s="90"/>
    </row>
    <row r="35" spans="1:51">
      <c r="A35" s="327">
        <v>27</v>
      </c>
      <c r="C35" s="90" t="s">
        <v>1184</v>
      </c>
      <c r="E35" s="90" t="s">
        <v>1952</v>
      </c>
      <c r="F35" s="90" t="s">
        <v>851</v>
      </c>
      <c r="G35" s="90" t="s">
        <v>1994</v>
      </c>
      <c r="H35" s="90"/>
      <c r="I35" s="90"/>
      <c r="J35" s="487">
        <v>883065.23</v>
      </c>
      <c r="K35" s="488"/>
      <c r="L35" s="489"/>
      <c r="M35" s="488">
        <v>873875.83</v>
      </c>
      <c r="N35" s="488"/>
      <c r="O35" s="489"/>
      <c r="P35" s="488">
        <v>864686.41</v>
      </c>
      <c r="Q35" s="488"/>
      <c r="R35" s="489"/>
      <c r="S35" s="488">
        <v>576540.86</v>
      </c>
      <c r="T35" s="488"/>
      <c r="U35" s="489"/>
      <c r="V35" s="488">
        <v>566495.44999999995</v>
      </c>
      <c r="W35" s="488"/>
      <c r="X35" s="489"/>
      <c r="Y35" s="488">
        <v>556450.04</v>
      </c>
      <c r="Z35" s="488"/>
      <c r="AA35" s="489"/>
      <c r="AB35" s="488">
        <v>545952.99</v>
      </c>
      <c r="AC35" s="488"/>
      <c r="AD35" s="489"/>
      <c r="AE35" s="488">
        <v>535832.31999999995</v>
      </c>
      <c r="AF35" s="488"/>
      <c r="AG35" s="489"/>
      <c r="AH35" s="488">
        <v>525711.64</v>
      </c>
      <c r="AI35" s="488"/>
      <c r="AJ35" s="489"/>
      <c r="AK35" s="488">
        <v>542122.19999999995</v>
      </c>
      <c r="AL35" s="488"/>
      <c r="AM35" s="489"/>
      <c r="AN35" s="488">
        <v>534949.46</v>
      </c>
      <c r="AO35" s="488"/>
      <c r="AP35" s="489"/>
      <c r="AQ35" s="488">
        <v>560818.09</v>
      </c>
      <c r="AR35" s="488"/>
      <c r="AS35" s="489"/>
      <c r="AT35" s="488">
        <v>589700.96</v>
      </c>
      <c r="AU35" s="488"/>
      <c r="AV35" s="489"/>
      <c r="AW35" s="247">
        <f t="shared" si="9"/>
        <v>618318.19874999998</v>
      </c>
      <c r="AX35" s="90"/>
      <c r="AY35" s="90"/>
    </row>
    <row r="36" spans="1:51">
      <c r="A36" s="327">
        <v>28</v>
      </c>
      <c r="C36" s="90" t="s">
        <v>1184</v>
      </c>
      <c r="E36" s="90" t="s">
        <v>1952</v>
      </c>
      <c r="F36" s="90" t="s">
        <v>851</v>
      </c>
      <c r="G36" s="90" t="s">
        <v>1995</v>
      </c>
      <c r="H36" s="90"/>
      <c r="I36" s="90"/>
      <c r="J36" s="487">
        <v>1854336.33</v>
      </c>
      <c r="K36" s="488"/>
      <c r="L36" s="489"/>
      <c r="M36" s="488">
        <v>1836441.33</v>
      </c>
      <c r="N36" s="488"/>
      <c r="O36" s="489"/>
      <c r="P36" s="488">
        <v>1818546.33</v>
      </c>
      <c r="Q36" s="488"/>
      <c r="R36" s="489"/>
      <c r="S36" s="488">
        <v>2069357.94</v>
      </c>
      <c r="T36" s="488"/>
      <c r="U36" s="489"/>
      <c r="V36" s="488">
        <v>2048902.18</v>
      </c>
      <c r="W36" s="488"/>
      <c r="X36" s="489"/>
      <c r="Y36" s="488">
        <v>2028446.39</v>
      </c>
      <c r="Z36" s="488"/>
      <c r="AA36" s="489"/>
      <c r="AB36" s="488">
        <v>2007193.81</v>
      </c>
      <c r="AC36" s="488"/>
      <c r="AD36" s="489"/>
      <c r="AE36" s="488">
        <v>1986605.22</v>
      </c>
      <c r="AF36" s="488"/>
      <c r="AG36" s="489"/>
      <c r="AH36" s="488">
        <v>1966016.64</v>
      </c>
      <c r="AI36" s="488"/>
      <c r="AJ36" s="489"/>
      <c r="AK36" s="488">
        <v>2010399.81</v>
      </c>
      <c r="AL36" s="488"/>
      <c r="AM36" s="489"/>
      <c r="AN36" s="488">
        <v>1997030.29</v>
      </c>
      <c r="AO36" s="488"/>
      <c r="AP36" s="489"/>
      <c r="AQ36" s="488">
        <v>1985552.47</v>
      </c>
      <c r="AR36" s="488"/>
      <c r="AS36" s="489"/>
      <c r="AT36" s="488">
        <v>1999061.83</v>
      </c>
      <c r="AU36" s="488"/>
      <c r="AV36" s="489"/>
      <c r="AW36" s="247">
        <f t="shared" si="9"/>
        <v>1973432.6241666668</v>
      </c>
      <c r="AX36" s="90"/>
      <c r="AY36" s="90"/>
    </row>
    <row r="37" spans="1:51">
      <c r="A37" s="327">
        <v>29</v>
      </c>
      <c r="C37" s="90" t="s">
        <v>1184</v>
      </c>
      <c r="E37" s="90" t="s">
        <v>1952</v>
      </c>
      <c r="F37" s="90" t="s">
        <v>851</v>
      </c>
      <c r="G37" s="90" t="s">
        <v>1996</v>
      </c>
      <c r="H37" s="90"/>
      <c r="I37" s="90"/>
      <c r="J37" s="490">
        <v>-161895.75</v>
      </c>
      <c r="K37" s="488"/>
      <c r="L37" s="489"/>
      <c r="M37" s="488">
        <v>-161895.75</v>
      </c>
      <c r="N37" s="488"/>
      <c r="O37" s="489"/>
      <c r="P37" s="488">
        <v>-161895.75</v>
      </c>
      <c r="Q37" s="488"/>
      <c r="R37" s="489"/>
      <c r="S37" s="488">
        <v>-161895.75</v>
      </c>
      <c r="T37" s="488"/>
      <c r="U37" s="489"/>
      <c r="V37" s="488">
        <v>-161895.75</v>
      </c>
      <c r="W37" s="488"/>
      <c r="X37" s="489"/>
      <c r="Y37" s="488">
        <v>-161895.75</v>
      </c>
      <c r="Z37" s="488"/>
      <c r="AA37" s="489"/>
      <c r="AB37" s="488">
        <v>-161895.75</v>
      </c>
      <c r="AC37" s="488"/>
      <c r="AD37" s="489"/>
      <c r="AE37" s="488">
        <v>-161895.75</v>
      </c>
      <c r="AF37" s="488"/>
      <c r="AG37" s="489"/>
      <c r="AH37" s="488">
        <v>-161895.75</v>
      </c>
      <c r="AI37" s="488"/>
      <c r="AJ37" s="489"/>
      <c r="AK37" s="488">
        <v>-161895.75</v>
      </c>
      <c r="AL37" s="488"/>
      <c r="AM37" s="489"/>
      <c r="AN37" s="488">
        <v>-161895.75</v>
      </c>
      <c r="AO37" s="488"/>
      <c r="AP37" s="489"/>
      <c r="AQ37" s="488">
        <v>-161895.75</v>
      </c>
      <c r="AR37" s="488"/>
      <c r="AS37" s="489"/>
      <c r="AT37" s="488">
        <v>-151102.70000000001</v>
      </c>
      <c r="AU37" s="488"/>
      <c r="AV37" s="489"/>
      <c r="AW37" s="247">
        <f t="shared" si="9"/>
        <v>-161446.03958333333</v>
      </c>
      <c r="AX37" s="90"/>
      <c r="AY37" s="90"/>
    </row>
    <row r="38" spans="1:51">
      <c r="A38" s="327">
        <v>30</v>
      </c>
      <c r="C38" s="90"/>
      <c r="E38" s="90"/>
      <c r="F38" s="90"/>
      <c r="G38" s="90"/>
      <c r="H38" s="90"/>
      <c r="I38" s="90"/>
      <c r="J38" s="491">
        <f>SUM(J32:J37)</f>
        <v>2981601.68</v>
      </c>
      <c r="K38" s="488"/>
      <c r="L38" s="489"/>
      <c r="M38" s="491">
        <f>SUM(M32:M37)</f>
        <v>2954940.99</v>
      </c>
      <c r="N38" s="488"/>
      <c r="O38" s="489"/>
      <c r="P38" s="491">
        <f>SUM(P32:P37)</f>
        <v>2928280.31</v>
      </c>
      <c r="Q38" s="488"/>
      <c r="R38" s="489"/>
      <c r="S38" s="491">
        <f>SUM(S32:S37)</f>
        <v>2097200.77</v>
      </c>
      <c r="T38" s="488"/>
      <c r="U38" s="489"/>
      <c r="V38" s="491">
        <f>SUM(V32:V37)</f>
        <v>2067971.2199999997</v>
      </c>
      <c r="W38" s="488"/>
      <c r="X38" s="489"/>
      <c r="Y38" s="491">
        <f>SUM(Y32:Y37)</f>
        <v>2038741.6600000001</v>
      </c>
      <c r="Z38" s="488"/>
      <c r="AA38" s="489"/>
      <c r="AB38" s="491">
        <f>SUM(AB32:AB37)</f>
        <v>2008198</v>
      </c>
      <c r="AC38" s="488"/>
      <c r="AD38" s="489"/>
      <c r="AE38" s="491">
        <f>SUM(AE32:AE37)</f>
        <v>1978749.4100000001</v>
      </c>
      <c r="AF38" s="488"/>
      <c r="AG38" s="489"/>
      <c r="AH38" s="491">
        <f>SUM(AH32:AH37)</f>
        <v>1949300.8599999999</v>
      </c>
      <c r="AI38" s="488"/>
      <c r="AJ38" s="489"/>
      <c r="AK38" s="491">
        <f>SUM(AK32:AK37)</f>
        <v>1997051.44</v>
      </c>
      <c r="AL38" s="488"/>
      <c r="AM38" s="489"/>
      <c r="AN38" s="491">
        <f>SUM(AN32:AN37)</f>
        <v>1976180.5300000003</v>
      </c>
      <c r="AO38" s="488"/>
      <c r="AP38" s="489"/>
      <c r="AQ38" s="491">
        <f>SUM(AQ32:AQ37)</f>
        <v>2051451.56</v>
      </c>
      <c r="AR38" s="488"/>
      <c r="AS38" s="489"/>
      <c r="AT38" s="491">
        <f>SUM(AT32:AT37)</f>
        <v>2107518.9</v>
      </c>
      <c r="AU38" s="488"/>
      <c r="AV38" s="489"/>
      <c r="AW38" s="491">
        <f>SUM(AW32:AW37)</f>
        <v>2216052.2533333334</v>
      </c>
      <c r="AX38" s="90"/>
      <c r="AY38" s="90"/>
    </row>
    <row r="39" spans="1:51">
      <c r="A39" s="327">
        <v>31</v>
      </c>
      <c r="C39" s="90"/>
      <c r="E39" s="90"/>
      <c r="F39" s="90"/>
      <c r="G39" s="90"/>
      <c r="H39" s="90"/>
      <c r="I39" s="90"/>
      <c r="J39" s="487"/>
      <c r="K39" s="488"/>
      <c r="L39" s="489"/>
      <c r="M39" s="488"/>
      <c r="N39" s="488"/>
      <c r="O39" s="489"/>
      <c r="P39" s="488"/>
      <c r="Q39" s="488"/>
      <c r="R39" s="489"/>
      <c r="S39" s="488"/>
      <c r="T39" s="488"/>
      <c r="U39" s="489"/>
      <c r="V39" s="488"/>
      <c r="W39" s="488"/>
      <c r="X39" s="489"/>
      <c r="Y39" s="488"/>
      <c r="Z39" s="488"/>
      <c r="AA39" s="489"/>
      <c r="AB39" s="488"/>
      <c r="AC39" s="488"/>
      <c r="AD39" s="489"/>
      <c r="AE39" s="488"/>
      <c r="AF39" s="488"/>
      <c r="AG39" s="489"/>
      <c r="AH39" s="488"/>
      <c r="AI39" s="488"/>
      <c r="AJ39" s="489"/>
      <c r="AK39" s="488"/>
      <c r="AL39" s="488"/>
      <c r="AM39" s="489"/>
      <c r="AN39" s="488"/>
      <c r="AO39" s="488"/>
      <c r="AP39" s="489"/>
      <c r="AQ39" s="488"/>
      <c r="AR39" s="488"/>
      <c r="AS39" s="489"/>
      <c r="AT39" s="488"/>
      <c r="AU39" s="488"/>
      <c r="AV39" s="489"/>
      <c r="AW39" s="90"/>
      <c r="AX39" s="90"/>
      <c r="AY39" s="90"/>
    </row>
    <row r="40" spans="1:51">
      <c r="A40" s="327">
        <v>32</v>
      </c>
      <c r="C40" s="90" t="s">
        <v>1184</v>
      </c>
      <c r="E40" s="90" t="s">
        <v>1990</v>
      </c>
      <c r="F40" s="90" t="s">
        <v>853</v>
      </c>
      <c r="G40" s="90" t="s">
        <v>1993</v>
      </c>
      <c r="H40" s="90"/>
      <c r="I40" s="90"/>
      <c r="J40" s="487">
        <v>-1866272.87</v>
      </c>
      <c r="K40" s="488"/>
      <c r="L40" s="489"/>
      <c r="M40" s="488">
        <v>-1866801.81</v>
      </c>
      <c r="N40" s="488"/>
      <c r="O40" s="489"/>
      <c r="P40" s="488">
        <v>-1867330.76</v>
      </c>
      <c r="Q40" s="488"/>
      <c r="R40" s="489"/>
      <c r="S40" s="488">
        <v>-2160511.04</v>
      </c>
      <c r="T40" s="488"/>
      <c r="U40" s="489"/>
      <c r="V40" s="488">
        <v>-2161140.1</v>
      </c>
      <c r="W40" s="488"/>
      <c r="X40" s="489"/>
      <c r="Y40" s="488">
        <v>-2161769.15</v>
      </c>
      <c r="Z40" s="488"/>
      <c r="AA40" s="489"/>
      <c r="AB40" s="488">
        <v>-2161571.6</v>
      </c>
      <c r="AC40" s="488"/>
      <c r="AD40" s="489"/>
      <c r="AE40" s="488">
        <v>-2162063.12</v>
      </c>
      <c r="AF40" s="488"/>
      <c r="AG40" s="489"/>
      <c r="AH40" s="488">
        <v>-2162554.64</v>
      </c>
      <c r="AI40" s="488"/>
      <c r="AJ40" s="489"/>
      <c r="AK40" s="488">
        <v>-2157345.3199999998</v>
      </c>
      <c r="AL40" s="488"/>
      <c r="AM40" s="489"/>
      <c r="AN40" s="488">
        <v>-2157203.5499999998</v>
      </c>
      <c r="AO40" s="488"/>
      <c r="AP40" s="489"/>
      <c r="AQ40" s="488">
        <v>-2157061.7999999998</v>
      </c>
      <c r="AR40" s="488"/>
      <c r="AS40" s="489"/>
      <c r="AT40" s="488">
        <v>-2094061.52</v>
      </c>
      <c r="AU40" s="488"/>
      <c r="AV40" s="489"/>
      <c r="AW40" s="247">
        <f t="shared" ref="AW40:AW41" si="10">+(AT40+J40+(M40+P40+S40+V40+Y40+AB40+AE40+AH40+AK40+AN40+AQ40)*2)/24</f>
        <v>-2096293.3404166671</v>
      </c>
      <c r="AX40" s="90"/>
      <c r="AY40" s="90"/>
    </row>
    <row r="41" spans="1:51">
      <c r="A41" s="327">
        <v>33</v>
      </c>
      <c r="C41" s="90" t="s">
        <v>1184</v>
      </c>
      <c r="E41" s="90" t="s">
        <v>1952</v>
      </c>
      <c r="F41" s="90" t="s">
        <v>853</v>
      </c>
      <c r="G41" s="90" t="s">
        <v>1996</v>
      </c>
      <c r="H41" s="90"/>
      <c r="I41" s="90"/>
      <c r="J41" s="490">
        <v>-34608022.850000001</v>
      </c>
      <c r="K41" s="488"/>
      <c r="L41" s="489"/>
      <c r="M41" s="488">
        <v>-34620017.43</v>
      </c>
      <c r="N41" s="488"/>
      <c r="O41" s="489"/>
      <c r="P41" s="488">
        <v>-34632012.07</v>
      </c>
      <c r="Q41" s="488"/>
      <c r="R41" s="489"/>
      <c r="S41" s="488">
        <v>-34594533.43</v>
      </c>
      <c r="T41" s="488"/>
      <c r="U41" s="489"/>
      <c r="V41" s="488">
        <v>-34606492.979999997</v>
      </c>
      <c r="W41" s="488"/>
      <c r="X41" s="489"/>
      <c r="Y41" s="488">
        <v>-34618452.57</v>
      </c>
      <c r="Z41" s="488"/>
      <c r="AA41" s="489"/>
      <c r="AB41" s="488">
        <v>-34614696.380000003</v>
      </c>
      <c r="AC41" s="488"/>
      <c r="AD41" s="489"/>
      <c r="AE41" s="488">
        <v>-34624041.229999997</v>
      </c>
      <c r="AF41" s="488"/>
      <c r="AG41" s="489"/>
      <c r="AH41" s="488">
        <v>-34633386.079999998</v>
      </c>
      <c r="AI41" s="488"/>
      <c r="AJ41" s="489"/>
      <c r="AK41" s="488">
        <v>-34534346.850000001</v>
      </c>
      <c r="AL41" s="488"/>
      <c r="AM41" s="489"/>
      <c r="AN41" s="488">
        <v>-34531651.57</v>
      </c>
      <c r="AO41" s="488"/>
      <c r="AP41" s="489"/>
      <c r="AQ41" s="488">
        <v>-34528956.350000001</v>
      </c>
      <c r="AR41" s="488"/>
      <c r="AS41" s="489"/>
      <c r="AT41" s="488">
        <v>-33763265.57</v>
      </c>
      <c r="AU41" s="488"/>
      <c r="AV41" s="489"/>
      <c r="AW41" s="247">
        <f t="shared" si="10"/>
        <v>-34560352.595833331</v>
      </c>
      <c r="AX41" s="90"/>
      <c r="AY41" s="90"/>
    </row>
    <row r="42" spans="1:51">
      <c r="A42" s="327">
        <v>34</v>
      </c>
      <c r="B42" s="90"/>
      <c r="C42" s="90"/>
      <c r="D42" s="90"/>
      <c r="E42" s="90"/>
      <c r="F42" s="90"/>
      <c r="G42" s="90"/>
      <c r="H42" s="90"/>
      <c r="I42" s="90"/>
      <c r="J42" s="487">
        <f>+J40+J41</f>
        <v>-36474295.719999999</v>
      </c>
      <c r="K42" s="488"/>
      <c r="L42" s="489"/>
      <c r="M42" s="487">
        <f>+M40+M41</f>
        <v>-36486819.240000002</v>
      </c>
      <c r="N42" s="488"/>
      <c r="O42" s="489"/>
      <c r="P42" s="487">
        <f>+P40+P41</f>
        <v>-36499342.829999998</v>
      </c>
      <c r="Q42" s="488"/>
      <c r="R42" s="489"/>
      <c r="S42" s="487">
        <f>+S40+S41</f>
        <v>-36755044.469999999</v>
      </c>
      <c r="T42" s="488"/>
      <c r="U42" s="489"/>
      <c r="V42" s="487">
        <f>+V40+V41</f>
        <v>-36767633.079999998</v>
      </c>
      <c r="W42" s="488"/>
      <c r="X42" s="489"/>
      <c r="Y42" s="487">
        <f>+Y40+Y41</f>
        <v>-36780221.719999999</v>
      </c>
      <c r="Z42" s="488"/>
      <c r="AA42" s="489"/>
      <c r="AB42" s="487">
        <f>+AB40+AB41</f>
        <v>-36776267.980000004</v>
      </c>
      <c r="AC42" s="488"/>
      <c r="AD42" s="489"/>
      <c r="AE42" s="487">
        <f>+AE40+AE41</f>
        <v>-36786104.349999994</v>
      </c>
      <c r="AF42" s="488"/>
      <c r="AG42" s="489"/>
      <c r="AH42" s="487">
        <f>+AH40+AH41</f>
        <v>-36795940.719999999</v>
      </c>
      <c r="AI42" s="488"/>
      <c r="AJ42" s="489"/>
      <c r="AK42" s="487">
        <f>+AK40+AK41</f>
        <v>-36691692.170000002</v>
      </c>
      <c r="AL42" s="488"/>
      <c r="AM42" s="489"/>
      <c r="AN42" s="487">
        <f>+AN40+AN41</f>
        <v>-36688855.119999997</v>
      </c>
      <c r="AO42" s="488"/>
      <c r="AP42" s="489"/>
      <c r="AQ42" s="487">
        <f>+AQ40+AQ41</f>
        <v>-36686018.149999999</v>
      </c>
      <c r="AR42" s="488"/>
      <c r="AS42" s="489"/>
      <c r="AT42" s="487">
        <f>+AT40+AT41</f>
        <v>-35857327.090000004</v>
      </c>
      <c r="AU42" s="488"/>
      <c r="AV42" s="489"/>
      <c r="AW42" s="487">
        <f>+AW40+AW41</f>
        <v>-36656645.936250001</v>
      </c>
      <c r="AX42" s="90"/>
      <c r="AY42" s="90"/>
    </row>
    <row r="43" spans="1:51">
      <c r="A43" s="327">
        <v>35</v>
      </c>
      <c r="B43" s="90"/>
      <c r="C43" s="90"/>
      <c r="D43" s="90"/>
      <c r="E43" s="90"/>
      <c r="F43" s="90"/>
      <c r="G43" s="90"/>
      <c r="H43" s="90"/>
      <c r="I43" s="90"/>
      <c r="J43" s="487"/>
      <c r="K43" s="488"/>
      <c r="L43" s="489"/>
      <c r="M43" s="487"/>
      <c r="N43" s="488"/>
      <c r="O43" s="489"/>
      <c r="P43" s="487"/>
      <c r="Q43" s="488"/>
      <c r="R43" s="489"/>
      <c r="S43" s="487"/>
      <c r="T43" s="488"/>
      <c r="U43" s="489"/>
      <c r="V43" s="487"/>
      <c r="W43" s="488"/>
      <c r="X43" s="489"/>
      <c r="Y43" s="487"/>
      <c r="Z43" s="488"/>
      <c r="AA43" s="489"/>
      <c r="AB43" s="487"/>
      <c r="AC43" s="488"/>
      <c r="AD43" s="489"/>
      <c r="AE43" s="487"/>
      <c r="AF43" s="488"/>
      <c r="AG43" s="489"/>
      <c r="AH43" s="487"/>
      <c r="AI43" s="488"/>
      <c r="AJ43" s="489"/>
      <c r="AK43" s="487"/>
      <c r="AL43" s="488"/>
      <c r="AM43" s="489"/>
      <c r="AN43" s="487"/>
      <c r="AO43" s="488"/>
      <c r="AP43" s="489"/>
      <c r="AQ43" s="487"/>
      <c r="AR43" s="488"/>
      <c r="AS43" s="489"/>
      <c r="AT43" s="487"/>
      <c r="AU43" s="488"/>
      <c r="AV43" s="489"/>
      <c r="AW43" s="487"/>
      <c r="AX43" s="90"/>
      <c r="AY43" s="90"/>
    </row>
    <row r="44" spans="1:51">
      <c r="A44" s="327">
        <v>36</v>
      </c>
      <c r="B44" s="90"/>
      <c r="C44" s="90"/>
      <c r="D44" s="90"/>
      <c r="E44" s="90"/>
      <c r="F44" s="90"/>
      <c r="G44" s="90"/>
      <c r="H44" s="90"/>
      <c r="I44" s="90"/>
      <c r="J44" s="492">
        <f>+J30+J38+J42</f>
        <v>-133601647.91</v>
      </c>
      <c r="K44" s="488"/>
      <c r="L44" s="489"/>
      <c r="M44" s="492">
        <f>+M30+M38+M42</f>
        <v>-133595802.5</v>
      </c>
      <c r="N44" s="488"/>
      <c r="O44" s="489"/>
      <c r="P44" s="492">
        <f>+P30+P38+P42</f>
        <v>-133589957.16000001</v>
      </c>
      <c r="Q44" s="488"/>
      <c r="R44" s="489"/>
      <c r="S44" s="492">
        <f>+S30+S38+S42</f>
        <v>-134289346.97</v>
      </c>
      <c r="T44" s="488"/>
      <c r="U44" s="489"/>
      <c r="V44" s="492">
        <f>+V30+V38+V42</f>
        <v>-134174685.92</v>
      </c>
      <c r="W44" s="488"/>
      <c r="X44" s="489"/>
      <c r="Y44" s="492">
        <f>+Y30+Y38+Y42</f>
        <v>-134060024.98999999</v>
      </c>
      <c r="Z44" s="488"/>
      <c r="AA44" s="489"/>
      <c r="AB44" s="492">
        <f>+AB30+AB38+AB42</f>
        <v>-134264793.63</v>
      </c>
      <c r="AC44" s="488"/>
      <c r="AD44" s="489"/>
      <c r="AE44" s="492">
        <f>+AE30+AE38+AE42</f>
        <v>-134203375.75999999</v>
      </c>
      <c r="AF44" s="488"/>
      <c r="AG44" s="489"/>
      <c r="AH44" s="492">
        <f>+AH30+AH38+AH42</f>
        <v>-134141957.83</v>
      </c>
      <c r="AI44" s="488"/>
      <c r="AJ44" s="489"/>
      <c r="AK44" s="492">
        <f>+AK30+AK38+AK42</f>
        <v>-135268266.45999998</v>
      </c>
      <c r="AL44" s="488"/>
      <c r="AM44" s="489"/>
      <c r="AN44" s="492">
        <f>+AN30+AN38+AN42</f>
        <v>-135338820.88</v>
      </c>
      <c r="AO44" s="488"/>
      <c r="AP44" s="489"/>
      <c r="AQ44" s="492">
        <f>+AQ30+AQ38+AQ42</f>
        <v>-137105846.09999999</v>
      </c>
      <c r="AR44" s="488"/>
      <c r="AS44" s="489"/>
      <c r="AT44" s="492">
        <f>+AT30+AT38+AT42</f>
        <v>-136224441.74000001</v>
      </c>
      <c r="AU44" s="488"/>
      <c r="AV44" s="489"/>
      <c r="AW44" s="492">
        <f>+AW30+AW38+AW42</f>
        <v>-134578826.91875002</v>
      </c>
      <c r="AX44" s="90"/>
      <c r="AY44" s="90"/>
    </row>
    <row r="45" spans="1:51" ht="16.5" thickBot="1">
      <c r="A45" s="327">
        <v>37</v>
      </c>
      <c r="B45" s="90"/>
      <c r="C45" s="90"/>
      <c r="D45" s="90"/>
      <c r="E45" s="90"/>
      <c r="F45" s="90"/>
      <c r="G45" s="90"/>
      <c r="H45" s="90"/>
      <c r="I45" s="90"/>
      <c r="J45" s="487"/>
      <c r="K45" s="488"/>
      <c r="L45" s="489"/>
      <c r="M45" s="487"/>
      <c r="N45" s="488"/>
      <c r="O45" s="489"/>
      <c r="P45" s="487"/>
      <c r="Q45" s="488"/>
      <c r="R45" s="489"/>
      <c r="S45" s="487"/>
      <c r="T45" s="488"/>
      <c r="U45" s="489"/>
      <c r="V45" s="487"/>
      <c r="W45" s="488"/>
      <c r="X45" s="489"/>
      <c r="Y45" s="487"/>
      <c r="Z45" s="488"/>
      <c r="AA45" s="489"/>
      <c r="AB45" s="487"/>
      <c r="AC45" s="488"/>
      <c r="AD45" s="489"/>
      <c r="AE45" s="487"/>
      <c r="AF45" s="488"/>
      <c r="AG45" s="489"/>
      <c r="AH45" s="487"/>
      <c r="AI45" s="488"/>
      <c r="AJ45" s="489"/>
      <c r="AK45" s="487"/>
      <c r="AL45" s="488"/>
      <c r="AM45" s="489"/>
      <c r="AN45" s="487"/>
      <c r="AO45" s="488"/>
      <c r="AP45" s="489"/>
      <c r="AQ45" s="487"/>
      <c r="AR45" s="488"/>
      <c r="AS45" s="489"/>
      <c r="AT45" s="487"/>
      <c r="AU45" s="488"/>
      <c r="AV45" s="489"/>
      <c r="AW45" s="487"/>
      <c r="AX45" s="90"/>
      <c r="AY45" s="90"/>
    </row>
    <row r="46" spans="1:51">
      <c r="A46" s="35">
        <v>38</v>
      </c>
      <c r="B46" s="1050" t="s">
        <v>2129</v>
      </c>
      <c r="C46" s="1051"/>
      <c r="D46" s="1051"/>
      <c r="E46" s="1052"/>
      <c r="F46" s="90"/>
      <c r="G46" s="90"/>
      <c r="H46" s="90"/>
      <c r="I46" s="90"/>
      <c r="J46" s="487"/>
      <c r="K46" s="488"/>
      <c r="L46" s="489"/>
      <c r="M46" s="487"/>
      <c r="N46" s="488"/>
      <c r="O46" s="489"/>
      <c r="P46" s="487"/>
      <c r="Q46" s="488"/>
      <c r="R46" s="489"/>
      <c r="S46" s="487"/>
      <c r="T46" s="488"/>
      <c r="U46" s="489"/>
      <c r="V46" s="487"/>
      <c r="W46" s="488"/>
      <c r="X46" s="489"/>
      <c r="Y46" s="487"/>
      <c r="Z46" s="488"/>
      <c r="AA46" s="489"/>
      <c r="AB46" s="487"/>
      <c r="AC46" s="488"/>
      <c r="AD46" s="489"/>
      <c r="AE46" s="487"/>
      <c r="AF46" s="488"/>
      <c r="AG46" s="489"/>
      <c r="AH46" s="487"/>
      <c r="AI46" s="488"/>
      <c r="AJ46" s="489"/>
      <c r="AK46" s="487"/>
      <c r="AL46" s="488"/>
      <c r="AM46" s="489"/>
      <c r="AN46" s="487"/>
      <c r="AO46" s="488"/>
      <c r="AP46" s="489"/>
      <c r="AQ46" s="487"/>
      <c r="AR46" s="488"/>
      <c r="AS46" s="489"/>
      <c r="AT46" s="487"/>
      <c r="AU46" s="488"/>
      <c r="AV46" s="489"/>
      <c r="AW46" s="487"/>
      <c r="AX46" s="90"/>
      <c r="AY46" s="90"/>
    </row>
    <row r="47" spans="1:51">
      <c r="A47" s="35">
        <v>39</v>
      </c>
      <c r="B47" s="1053"/>
      <c r="C47" s="1054"/>
      <c r="D47" s="1054"/>
      <c r="E47" s="1055"/>
      <c r="F47" s="90"/>
      <c r="G47" s="90" t="s">
        <v>1997</v>
      </c>
      <c r="H47" s="90"/>
      <c r="I47" s="90"/>
      <c r="J47" s="487">
        <f>+J26+J38+J28</f>
        <v>-96815259.790000007</v>
      </c>
      <c r="K47" s="488"/>
      <c r="L47" s="489"/>
      <c r="M47" s="487">
        <f>+M26+M38+M28</f>
        <v>-96798119.579999998</v>
      </c>
      <c r="N47" s="488"/>
      <c r="O47" s="489"/>
      <c r="P47" s="487">
        <f>+P26+P38+P28</f>
        <v>-96780979.340000004</v>
      </c>
      <c r="Q47" s="488"/>
      <c r="R47" s="489"/>
      <c r="S47" s="487">
        <f>+S26+S38+S28</f>
        <v>-97223385.600000009</v>
      </c>
      <c r="T47" s="488"/>
      <c r="U47" s="489"/>
      <c r="V47" s="487">
        <f>+V26+V38+V28</f>
        <v>-97097374.659999996</v>
      </c>
      <c r="W47" s="488"/>
      <c r="X47" s="489"/>
      <c r="Y47" s="487">
        <f>+Y26+Y38+Y28</f>
        <v>-96971363.799999997</v>
      </c>
      <c r="Z47" s="488"/>
      <c r="AA47" s="489"/>
      <c r="AB47" s="487">
        <f>+AB26+AB38+AB28</f>
        <v>-97181324.890000001</v>
      </c>
      <c r="AC47" s="488"/>
      <c r="AD47" s="489"/>
      <c r="AE47" s="487">
        <f>+AE26+AE38+AE28</f>
        <v>-97111309.340000004</v>
      </c>
      <c r="AF47" s="488"/>
      <c r="AG47" s="489"/>
      <c r="AH47" s="487">
        <f>+AH26+AH38+AH28</f>
        <v>-97041293.75</v>
      </c>
      <c r="AI47" s="488"/>
      <c r="AJ47" s="489"/>
      <c r="AK47" s="487">
        <f>+AK26+AK38+AK28</f>
        <v>-98273089.640000001</v>
      </c>
      <c r="AL47" s="488"/>
      <c r="AM47" s="489"/>
      <c r="AN47" s="487">
        <f>+AN26+AN38+AN28</f>
        <v>-98347719.810000002</v>
      </c>
      <c r="AO47" s="488"/>
      <c r="AP47" s="489"/>
      <c r="AQ47" s="487">
        <f>+AQ26+AQ38+AQ28</f>
        <v>-100118820.69999999</v>
      </c>
      <c r="AR47" s="488"/>
      <c r="AS47" s="489"/>
      <c r="AT47" s="487">
        <f>+AT26+AT38+AT28</f>
        <v>-100067346.12</v>
      </c>
      <c r="AU47" s="488"/>
      <c r="AV47" s="489"/>
      <c r="AW47" s="487">
        <f>+AW26+AW38+AW28</f>
        <v>-97615507.005416676</v>
      </c>
      <c r="AX47" s="90"/>
      <c r="AY47" s="90"/>
    </row>
    <row r="48" spans="1:51">
      <c r="A48" s="35">
        <v>40</v>
      </c>
      <c r="B48" s="1053"/>
      <c r="C48" s="1054"/>
      <c r="D48" s="1054"/>
      <c r="E48" s="1055"/>
      <c r="F48" s="90"/>
      <c r="G48" s="90" t="s">
        <v>1998</v>
      </c>
      <c r="H48" s="90"/>
      <c r="I48" s="90"/>
      <c r="J48" s="490">
        <f>+J27+J29+J42</f>
        <v>-36786388.119999997</v>
      </c>
      <c r="K48" s="488"/>
      <c r="L48" s="489"/>
      <c r="M48" s="490">
        <f>+M27+M29+M42</f>
        <v>-36797682.920000002</v>
      </c>
      <c r="N48" s="488"/>
      <c r="O48" s="489"/>
      <c r="P48" s="490">
        <f>+P27+P29+P42</f>
        <v>-36808977.82</v>
      </c>
      <c r="Q48" s="488"/>
      <c r="R48" s="489"/>
      <c r="S48" s="490">
        <f>+S27+S29+S42</f>
        <v>-37065961.369999997</v>
      </c>
      <c r="T48" s="488"/>
      <c r="U48" s="489"/>
      <c r="V48" s="490">
        <f>+V27+V29+V42</f>
        <v>-37077311.259999998</v>
      </c>
      <c r="W48" s="488"/>
      <c r="X48" s="489"/>
      <c r="Y48" s="490">
        <f>+Y27+Y29+Y42</f>
        <v>-37088661.189999998</v>
      </c>
      <c r="Z48" s="488"/>
      <c r="AA48" s="489"/>
      <c r="AB48" s="490">
        <f>+AB27+AB29+AB42</f>
        <v>-37083468.740000002</v>
      </c>
      <c r="AC48" s="488"/>
      <c r="AD48" s="489"/>
      <c r="AE48" s="490">
        <f>+AE27+AE29+AE42</f>
        <v>-37092066.419999994</v>
      </c>
      <c r="AF48" s="488"/>
      <c r="AG48" s="489"/>
      <c r="AH48" s="490">
        <f>+AH27+AH29+AH42</f>
        <v>-37100664.079999998</v>
      </c>
      <c r="AI48" s="488"/>
      <c r="AJ48" s="489"/>
      <c r="AK48" s="490">
        <f>+AK27+AK29+AK42</f>
        <v>-36995176.82</v>
      </c>
      <c r="AL48" s="488"/>
      <c r="AM48" s="489"/>
      <c r="AN48" s="490">
        <f>+AN27+AN29+AN42</f>
        <v>-36991101.07</v>
      </c>
      <c r="AO48" s="488"/>
      <c r="AP48" s="489"/>
      <c r="AQ48" s="490">
        <f>+AQ27+AQ29+AQ42</f>
        <v>-36987025.399999999</v>
      </c>
      <c r="AR48" s="488"/>
      <c r="AS48" s="489"/>
      <c r="AT48" s="490">
        <f>+AT27+AT29+AT42</f>
        <v>-36157095.620000005</v>
      </c>
      <c r="AU48" s="488"/>
      <c r="AV48" s="489"/>
      <c r="AW48" s="490">
        <f>+AW27+AW29+AW42</f>
        <v>-36963319.913333334</v>
      </c>
      <c r="AX48" s="90"/>
      <c r="AY48" s="90"/>
    </row>
    <row r="49" spans="1:51" ht="16.5" thickBot="1">
      <c r="A49" s="327">
        <v>41</v>
      </c>
      <c r="B49" s="1053"/>
      <c r="C49" s="1054"/>
      <c r="D49" s="1054"/>
      <c r="E49" s="1055"/>
      <c r="F49" s="90"/>
      <c r="G49" s="90"/>
      <c r="H49" s="90"/>
      <c r="I49" s="90"/>
      <c r="J49" s="493">
        <f>+J47+J48</f>
        <v>-133601647.91</v>
      </c>
      <c r="K49" s="494"/>
      <c r="L49" s="495"/>
      <c r="M49" s="493">
        <f>+M47+M48</f>
        <v>-133595802.5</v>
      </c>
      <c r="N49" s="494"/>
      <c r="O49" s="495"/>
      <c r="P49" s="493">
        <f>+P47+P48</f>
        <v>-133589957.16</v>
      </c>
      <c r="Q49" s="494"/>
      <c r="R49" s="495"/>
      <c r="S49" s="493">
        <f>+S47+S48</f>
        <v>-134289346.97</v>
      </c>
      <c r="T49" s="494"/>
      <c r="U49" s="495"/>
      <c r="V49" s="493">
        <f>+V47+V48</f>
        <v>-134174685.91999999</v>
      </c>
      <c r="W49" s="494"/>
      <c r="X49" s="495"/>
      <c r="Y49" s="493">
        <f>+Y47+Y48</f>
        <v>-134060024.98999999</v>
      </c>
      <c r="Z49" s="494"/>
      <c r="AA49" s="495"/>
      <c r="AB49" s="493">
        <f>+AB47+AB48</f>
        <v>-134264793.63</v>
      </c>
      <c r="AC49" s="494"/>
      <c r="AD49" s="495"/>
      <c r="AE49" s="493">
        <f>+AE47+AE48</f>
        <v>-134203375.75999999</v>
      </c>
      <c r="AF49" s="494"/>
      <c r="AG49" s="495"/>
      <c r="AH49" s="493">
        <f>+AH47+AH48</f>
        <v>-134141957.83</v>
      </c>
      <c r="AI49" s="494"/>
      <c r="AJ49" s="495"/>
      <c r="AK49" s="493">
        <f>+AK47+AK48</f>
        <v>-135268266.46000001</v>
      </c>
      <c r="AL49" s="494"/>
      <c r="AM49" s="495"/>
      <c r="AN49" s="493">
        <f>+AN47+AN48</f>
        <v>-135338820.88</v>
      </c>
      <c r="AO49" s="494"/>
      <c r="AP49" s="495"/>
      <c r="AQ49" s="493">
        <f>+AQ47+AQ48</f>
        <v>-137105846.09999999</v>
      </c>
      <c r="AR49" s="494"/>
      <c r="AS49" s="495"/>
      <c r="AT49" s="493">
        <f>+AT47+AT48</f>
        <v>-136224441.74000001</v>
      </c>
      <c r="AU49" s="494"/>
      <c r="AV49" s="495"/>
      <c r="AW49" s="493">
        <f>+AW47+AW48</f>
        <v>-134578826.91875002</v>
      </c>
      <c r="AX49" s="90"/>
      <c r="AY49" s="90"/>
    </row>
    <row r="50" spans="1:51" ht="16.5" thickBot="1">
      <c r="A50" s="327">
        <v>42</v>
      </c>
      <c r="B50" s="1056"/>
      <c r="C50" s="1057"/>
      <c r="D50" s="1057"/>
      <c r="E50" s="1058"/>
      <c r="F50" s="90" t="s">
        <v>2000</v>
      </c>
      <c r="G50" s="90"/>
      <c r="H50" s="90"/>
      <c r="I50" s="90"/>
      <c r="J50" s="90">
        <f>+'Working Capital Work Paper'!F315</f>
        <v>-96815259.790000007</v>
      </c>
      <c r="M50" s="90">
        <f>+'Working Capital Work Paper'!G315</f>
        <v>-96798119.579999998</v>
      </c>
      <c r="P50" s="90">
        <f>+'Working Capital Work Paper'!H315</f>
        <v>-96780979.340000004</v>
      </c>
      <c r="S50" s="90">
        <f>+'Working Capital Work Paper'!I315</f>
        <v>-97223385.599999994</v>
      </c>
      <c r="V50" s="90">
        <f>+'Working Capital Work Paper'!J315</f>
        <v>-97097374.659999996</v>
      </c>
      <c r="W50" s="90"/>
      <c r="X50" s="90"/>
      <c r="Y50" s="90">
        <f>+'Working Capital Work Paper'!K315</f>
        <v>-96971363.799999997</v>
      </c>
      <c r="Z50" s="90"/>
      <c r="AA50" s="90"/>
      <c r="AB50" s="90">
        <f>+'Working Capital Work Paper'!L315</f>
        <v>-97181324.890000001</v>
      </c>
      <c r="AC50" s="90"/>
      <c r="AD50" s="90"/>
      <c r="AE50" s="90">
        <f>+'Working Capital Work Paper'!M315</f>
        <v>-97111309.340000004</v>
      </c>
      <c r="AF50" s="90"/>
      <c r="AG50" s="90"/>
      <c r="AH50" s="90">
        <f>+'Working Capital Work Paper'!N315</f>
        <v>-97041293.75</v>
      </c>
      <c r="AI50" s="90"/>
      <c r="AJ50" s="90"/>
      <c r="AK50" s="90">
        <f>+'Working Capital Work Paper'!O315</f>
        <v>-98273089.640000001</v>
      </c>
      <c r="AL50" s="90"/>
      <c r="AM50" s="90"/>
      <c r="AN50" s="90">
        <f>+'Working Capital Work Paper'!P315</f>
        <v>-98347719.810000002</v>
      </c>
      <c r="AO50" s="90"/>
      <c r="AP50" s="90"/>
      <c r="AQ50" s="90">
        <f>+'Working Capital Work Paper'!Q315</f>
        <v>-100118820.7</v>
      </c>
      <c r="AR50" s="90"/>
      <c r="AS50" s="90"/>
      <c r="AT50" s="90">
        <f>+'Working Capital Work Paper'!R315</f>
        <v>-100067346.12</v>
      </c>
      <c r="AV50" s="90"/>
      <c r="AW50" s="90">
        <f>+'Working Capital Work Paper'!S315</f>
        <v>-97615507.005416676</v>
      </c>
      <c r="AX50" s="90"/>
      <c r="AY50" s="90"/>
    </row>
    <row r="51" spans="1:51">
      <c r="A51" s="327">
        <v>43</v>
      </c>
      <c r="B51" s="90"/>
      <c r="C51" s="90"/>
      <c r="D51" s="90"/>
      <c r="E51" s="90"/>
      <c r="F51" s="90" t="s">
        <v>2001</v>
      </c>
      <c r="G51" s="90"/>
      <c r="H51" s="90"/>
      <c r="I51" s="90"/>
      <c r="J51" s="90">
        <f>+'Working Capital Work Paper'!F316</f>
        <v>-36786388.119999997</v>
      </c>
      <c r="M51" s="90">
        <f>+'Working Capital Work Paper'!G316</f>
        <v>-36797682.920000002</v>
      </c>
      <c r="P51" s="90">
        <f>+'Working Capital Work Paper'!H316</f>
        <v>-36808977.82</v>
      </c>
      <c r="S51" s="90">
        <f>+'Working Capital Work Paper'!I316</f>
        <v>-37065961.369999997</v>
      </c>
      <c r="V51" s="90">
        <f>+'Working Capital Work Paper'!J316</f>
        <v>-37077311.259999998</v>
      </c>
      <c r="W51" s="90"/>
      <c r="X51" s="90"/>
      <c r="Y51" s="90">
        <f>+'Working Capital Work Paper'!K316</f>
        <v>-37088661.189999998</v>
      </c>
      <c r="Z51" s="90"/>
      <c r="AA51" s="90"/>
      <c r="AB51" s="90">
        <f>+'Working Capital Work Paper'!L316</f>
        <v>-37083468.740000002</v>
      </c>
      <c r="AC51" s="90"/>
      <c r="AD51" s="90"/>
      <c r="AE51" s="90">
        <f>+'Working Capital Work Paper'!M316</f>
        <v>-37092066.420000002</v>
      </c>
      <c r="AF51" s="90"/>
      <c r="AG51" s="90"/>
      <c r="AH51" s="90">
        <f>+'Working Capital Work Paper'!N316</f>
        <v>-37100664.079999998</v>
      </c>
      <c r="AI51" s="90"/>
      <c r="AJ51" s="90"/>
      <c r="AK51" s="90">
        <f>+'Working Capital Work Paper'!O316</f>
        <v>-36995176.82</v>
      </c>
      <c r="AL51" s="90"/>
      <c r="AM51" s="90"/>
      <c r="AN51" s="90">
        <f>+'Working Capital Work Paper'!P316</f>
        <v>-36991101.07</v>
      </c>
      <c r="AO51" s="90"/>
      <c r="AP51" s="90"/>
      <c r="AQ51" s="90">
        <f>+'Working Capital Work Paper'!Q316</f>
        <v>-36987025.399999999</v>
      </c>
      <c r="AR51" s="90"/>
      <c r="AS51" s="90"/>
      <c r="AT51" s="90">
        <f>+'Working Capital Work Paper'!R316</f>
        <v>-36157095.619999997</v>
      </c>
      <c r="AV51" s="90"/>
      <c r="AW51" s="90">
        <f>+'Working Capital Work Paper'!S316</f>
        <v>-36963319.913333334</v>
      </c>
      <c r="AX51" s="90"/>
      <c r="AY51" s="90"/>
    </row>
    <row r="52" spans="1:51">
      <c r="A52" s="327">
        <v>44</v>
      </c>
      <c r="B52" s="90"/>
      <c r="C52" s="90"/>
      <c r="D52" s="90"/>
      <c r="E52" s="90"/>
      <c r="F52" s="90" t="s">
        <v>2002</v>
      </c>
      <c r="G52" s="90"/>
      <c r="H52" s="90"/>
      <c r="I52" s="90"/>
      <c r="J52" s="90">
        <f>+J47-J50</f>
        <v>0</v>
      </c>
      <c r="K52" s="90"/>
      <c r="L52" s="90"/>
      <c r="M52" s="90">
        <f>+M47-M50</f>
        <v>0</v>
      </c>
      <c r="N52" s="90"/>
      <c r="O52" s="90"/>
      <c r="P52" s="90">
        <f>+P47-P50</f>
        <v>0</v>
      </c>
      <c r="Q52" s="90"/>
      <c r="R52" s="90"/>
      <c r="S52" s="90">
        <f>+S47-S50</f>
        <v>0</v>
      </c>
      <c r="T52" s="90"/>
      <c r="U52" s="90"/>
      <c r="V52" s="90">
        <f>+V47-V50</f>
        <v>0</v>
      </c>
      <c r="W52" s="90"/>
      <c r="X52" s="90"/>
      <c r="Y52" s="90">
        <f>+Y47-Y50</f>
        <v>0</v>
      </c>
      <c r="Z52" s="90"/>
      <c r="AA52" s="90"/>
      <c r="AB52" s="90">
        <f>+AB47-AB50</f>
        <v>0</v>
      </c>
      <c r="AC52" s="90"/>
      <c r="AD52" s="90"/>
      <c r="AE52" s="90">
        <f>+AE47-AE50</f>
        <v>0</v>
      </c>
      <c r="AF52" s="90"/>
      <c r="AG52" s="90"/>
      <c r="AH52" s="90">
        <f>+AH47-AH50</f>
        <v>0</v>
      </c>
      <c r="AI52" s="90"/>
      <c r="AJ52" s="90"/>
      <c r="AK52" s="90">
        <f>+AK47-AK50</f>
        <v>0</v>
      </c>
      <c r="AL52" s="90"/>
      <c r="AM52" s="90"/>
      <c r="AN52" s="90">
        <f>+AN47-AN50</f>
        <v>0</v>
      </c>
      <c r="AO52" s="90"/>
      <c r="AP52" s="90"/>
      <c r="AQ52" s="90">
        <f>+AQ47-AQ50</f>
        <v>0</v>
      </c>
      <c r="AR52" s="90"/>
      <c r="AS52" s="90"/>
      <c r="AT52" s="90">
        <f>+AT47-AT50</f>
        <v>0</v>
      </c>
      <c r="AU52" s="90"/>
      <c r="AV52" s="90"/>
      <c r="AW52" s="90">
        <f>+AW47-AW50</f>
        <v>0</v>
      </c>
      <c r="AX52" s="90"/>
      <c r="AY52" s="90"/>
    </row>
    <row r="53" spans="1:51">
      <c r="A53" s="327">
        <v>45</v>
      </c>
      <c r="B53" s="90"/>
      <c r="C53" s="90"/>
      <c r="D53" s="90"/>
      <c r="E53" s="90"/>
      <c r="F53" s="90" t="s">
        <v>2002</v>
      </c>
      <c r="G53" s="90"/>
      <c r="H53" s="90"/>
      <c r="I53" s="90"/>
      <c r="J53" s="90">
        <f>+J48-J51</f>
        <v>0</v>
      </c>
      <c r="K53" s="90"/>
      <c r="L53" s="90"/>
      <c r="M53" s="90">
        <f>+M48-M51</f>
        <v>0</v>
      </c>
      <c r="N53" s="90"/>
      <c r="O53" s="90"/>
      <c r="P53" s="90">
        <f>+P48-P51</f>
        <v>0</v>
      </c>
      <c r="Q53" s="90"/>
      <c r="R53" s="90"/>
      <c r="S53" s="90">
        <f>+S48-S51</f>
        <v>0</v>
      </c>
      <c r="T53" s="90"/>
      <c r="U53" s="90"/>
      <c r="V53" s="90">
        <f>+V48-V51</f>
        <v>0</v>
      </c>
      <c r="W53" s="90"/>
      <c r="X53" s="90"/>
      <c r="Y53" s="90">
        <f>+Y48-Y51</f>
        <v>0</v>
      </c>
      <c r="Z53" s="90"/>
      <c r="AA53" s="90"/>
      <c r="AB53" s="90">
        <f>+AB48-AB51</f>
        <v>0</v>
      </c>
      <c r="AC53" s="90"/>
      <c r="AD53" s="90"/>
      <c r="AE53" s="90">
        <f>+AE48-AE51</f>
        <v>0</v>
      </c>
      <c r="AF53" s="90"/>
      <c r="AG53" s="90"/>
      <c r="AH53" s="90">
        <f>+AH48-AH51</f>
        <v>0</v>
      </c>
      <c r="AI53" s="90"/>
      <c r="AJ53" s="90"/>
      <c r="AK53" s="90">
        <f>+AK48-AK51</f>
        <v>0</v>
      </c>
      <c r="AL53" s="90"/>
      <c r="AM53" s="90"/>
      <c r="AN53" s="90">
        <f>+AN48-AN51</f>
        <v>0</v>
      </c>
      <c r="AO53" s="90"/>
      <c r="AP53" s="90"/>
      <c r="AQ53" s="90">
        <f>+AQ48-AQ51</f>
        <v>0</v>
      </c>
      <c r="AR53" s="90"/>
      <c r="AS53" s="90"/>
      <c r="AT53" s="90">
        <f>+AT48-AT51</f>
        <v>0</v>
      </c>
      <c r="AU53" s="90"/>
      <c r="AV53" s="90"/>
      <c r="AW53" s="90">
        <f>+AW48-AW51</f>
        <v>0</v>
      </c>
      <c r="AX53" s="90"/>
      <c r="AY53" s="90"/>
    </row>
    <row r="54" spans="1:51">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row>
    <row r="55" spans="1:51">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row>
    <row r="56" spans="1:51">
      <c r="J56" s="496"/>
      <c r="K56" s="496"/>
      <c r="L56" s="496"/>
      <c r="M56" s="496"/>
      <c r="N56" s="496"/>
      <c r="O56" s="496"/>
      <c r="P56" s="496"/>
      <c r="Q56" s="496"/>
      <c r="R56" s="496"/>
      <c r="S56" s="496"/>
      <c r="T56" s="496"/>
      <c r="U56" s="496"/>
      <c r="V56" s="496"/>
      <c r="W56" s="496"/>
      <c r="X56" s="496"/>
      <c r="Y56" s="496"/>
      <c r="Z56" s="496"/>
      <c r="AA56" s="496"/>
      <c r="AB56" s="496"/>
      <c r="AC56" s="496"/>
      <c r="AD56" s="496"/>
      <c r="AE56" s="496"/>
      <c r="AF56" s="496"/>
      <c r="AG56" s="496"/>
      <c r="AH56" s="496"/>
      <c r="AI56" s="496"/>
      <c r="AJ56" s="496"/>
      <c r="AK56" s="496"/>
      <c r="AL56" s="496"/>
      <c r="AM56" s="496"/>
      <c r="AN56" s="496"/>
      <c r="AO56" s="496"/>
      <c r="AP56" s="496"/>
      <c r="AQ56" s="496"/>
      <c r="AR56" s="496"/>
      <c r="AS56" s="496"/>
      <c r="AT56" s="496"/>
      <c r="AU56" s="496"/>
      <c r="AV56" s="496"/>
    </row>
    <row r="57" spans="1:51">
      <c r="J57" s="496"/>
      <c r="K57" s="496"/>
      <c r="L57" s="496"/>
      <c r="M57" s="496"/>
      <c r="N57" s="496"/>
      <c r="O57" s="496"/>
      <c r="P57" s="496"/>
      <c r="Q57" s="496"/>
      <c r="R57" s="496"/>
      <c r="S57" s="496"/>
      <c r="T57" s="496"/>
      <c r="U57" s="496"/>
      <c r="V57" s="496"/>
      <c r="W57" s="496"/>
      <c r="X57" s="496"/>
      <c r="Y57" s="496"/>
      <c r="Z57" s="496"/>
      <c r="AA57" s="496"/>
      <c r="AB57" s="496"/>
      <c r="AC57" s="496"/>
      <c r="AD57" s="496"/>
      <c r="AE57" s="496"/>
      <c r="AF57" s="496"/>
      <c r="AG57" s="496"/>
      <c r="AH57" s="496"/>
      <c r="AI57" s="496"/>
      <c r="AJ57" s="496"/>
      <c r="AK57" s="496"/>
      <c r="AL57" s="496"/>
      <c r="AM57" s="496"/>
      <c r="AN57" s="496"/>
      <c r="AO57" s="496"/>
      <c r="AP57" s="496"/>
      <c r="AQ57" s="496"/>
      <c r="AR57" s="496"/>
      <c r="AS57" s="496"/>
      <c r="AT57" s="496"/>
      <c r="AU57" s="496"/>
      <c r="AV57" s="496"/>
    </row>
    <row r="58" spans="1:51">
      <c r="J58" s="496"/>
      <c r="K58" s="496"/>
      <c r="L58" s="496"/>
      <c r="M58" s="496"/>
      <c r="N58" s="496"/>
      <c r="O58" s="496"/>
      <c r="P58" s="496"/>
      <c r="Q58" s="496"/>
      <c r="R58" s="496"/>
      <c r="S58" s="496"/>
      <c r="T58" s="496"/>
      <c r="U58" s="496"/>
      <c r="V58" s="496"/>
      <c r="W58" s="496"/>
      <c r="X58" s="496"/>
      <c r="Y58" s="496"/>
      <c r="Z58" s="496"/>
      <c r="AA58" s="496"/>
      <c r="AB58" s="496"/>
      <c r="AC58" s="496"/>
      <c r="AD58" s="496"/>
      <c r="AE58" s="496"/>
      <c r="AF58" s="496"/>
      <c r="AG58" s="496"/>
      <c r="AH58" s="496"/>
      <c r="AI58" s="496"/>
      <c r="AJ58" s="496"/>
      <c r="AK58" s="496"/>
      <c r="AL58" s="496"/>
      <c r="AM58" s="496"/>
      <c r="AN58" s="496"/>
      <c r="AO58" s="496"/>
      <c r="AP58" s="496"/>
      <c r="AQ58" s="496"/>
      <c r="AR58" s="496"/>
      <c r="AS58" s="496"/>
      <c r="AT58" s="496"/>
      <c r="AU58" s="496"/>
      <c r="AV58" s="496"/>
    </row>
    <row r="59" spans="1:51">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6"/>
      <c r="AI59" s="496"/>
      <c r="AJ59" s="496"/>
      <c r="AK59" s="496"/>
      <c r="AL59" s="496"/>
      <c r="AM59" s="496"/>
      <c r="AN59" s="496"/>
      <c r="AO59" s="496"/>
      <c r="AP59" s="496"/>
      <c r="AQ59" s="496"/>
      <c r="AR59" s="496"/>
      <c r="AS59" s="496"/>
      <c r="AT59" s="496"/>
      <c r="AU59" s="496"/>
      <c r="AV59" s="496"/>
    </row>
    <row r="60" spans="1:51">
      <c r="J60" s="496"/>
      <c r="K60" s="496"/>
      <c r="L60" s="496"/>
      <c r="M60" s="496"/>
      <c r="N60" s="496"/>
      <c r="O60" s="496"/>
      <c r="P60" s="496"/>
      <c r="Q60" s="496"/>
      <c r="R60" s="496"/>
      <c r="S60" s="496"/>
      <c r="T60" s="496"/>
      <c r="U60" s="496"/>
      <c r="V60" s="496"/>
      <c r="W60" s="496"/>
      <c r="X60" s="496"/>
      <c r="Y60" s="496"/>
      <c r="Z60" s="496"/>
      <c r="AA60" s="496"/>
      <c r="AB60" s="496"/>
      <c r="AC60" s="496"/>
      <c r="AD60" s="496"/>
      <c r="AE60" s="496"/>
      <c r="AF60" s="496"/>
      <c r="AG60" s="496"/>
      <c r="AH60" s="496"/>
      <c r="AI60" s="496"/>
      <c r="AJ60" s="496"/>
      <c r="AK60" s="496"/>
      <c r="AL60" s="496"/>
      <c r="AM60" s="496"/>
      <c r="AN60" s="496"/>
      <c r="AO60" s="496"/>
      <c r="AP60" s="496"/>
      <c r="AQ60" s="496"/>
      <c r="AR60" s="496"/>
      <c r="AS60" s="496"/>
      <c r="AT60" s="496"/>
      <c r="AU60" s="496"/>
      <c r="AV60" s="496"/>
    </row>
    <row r="61" spans="1:51">
      <c r="J61" s="496"/>
      <c r="K61" s="496"/>
      <c r="L61" s="496"/>
      <c r="M61" s="496"/>
      <c r="N61" s="496"/>
      <c r="O61" s="496"/>
      <c r="P61" s="496"/>
      <c r="Q61" s="496"/>
      <c r="R61" s="496"/>
      <c r="S61" s="496"/>
      <c r="T61" s="496"/>
      <c r="U61" s="496"/>
      <c r="V61" s="496"/>
      <c r="W61" s="496"/>
      <c r="X61" s="496"/>
      <c r="Y61" s="496"/>
      <c r="Z61" s="496"/>
      <c r="AA61" s="496"/>
      <c r="AB61" s="496"/>
      <c r="AC61" s="496"/>
      <c r="AD61" s="496"/>
      <c r="AE61" s="496"/>
      <c r="AF61" s="496"/>
      <c r="AG61" s="496"/>
      <c r="AH61" s="496"/>
      <c r="AI61" s="496"/>
      <c r="AJ61" s="496"/>
      <c r="AK61" s="496"/>
      <c r="AL61" s="496"/>
      <c r="AM61" s="496"/>
      <c r="AN61" s="496"/>
      <c r="AO61" s="496"/>
      <c r="AP61" s="496"/>
      <c r="AQ61" s="496"/>
      <c r="AR61" s="496"/>
      <c r="AS61" s="496"/>
      <c r="AT61" s="496"/>
      <c r="AU61" s="496"/>
      <c r="AV61" s="496"/>
    </row>
  </sheetData>
  <mergeCells count="35">
    <mergeCell ref="AX24:BD25"/>
    <mergeCell ref="R1:U1"/>
    <mergeCell ref="R2:U2"/>
    <mergeCell ref="R3:U3"/>
    <mergeCell ref="R4:U4"/>
    <mergeCell ref="R5:U5"/>
    <mergeCell ref="AB1:AE1"/>
    <mergeCell ref="AB2:AE2"/>
    <mergeCell ref="AB3:AE3"/>
    <mergeCell ref="AB4:AE4"/>
    <mergeCell ref="AB5:AE5"/>
    <mergeCell ref="AK1:AO1"/>
    <mergeCell ref="AK2:AO2"/>
    <mergeCell ref="B46:E50"/>
    <mergeCell ref="AU1:AY1"/>
    <mergeCell ref="AU2:AY2"/>
    <mergeCell ref="AU3:AY3"/>
    <mergeCell ref="AU4:AY4"/>
    <mergeCell ref="AU5:AY5"/>
    <mergeCell ref="B16:I16"/>
    <mergeCell ref="B25:I25"/>
    <mergeCell ref="B9:E13"/>
    <mergeCell ref="F9:I9"/>
    <mergeCell ref="F10:I10"/>
    <mergeCell ref="F11:I11"/>
    <mergeCell ref="F12:I12"/>
    <mergeCell ref="F3:J3"/>
    <mergeCell ref="E4:K4"/>
    <mergeCell ref="F5:J5"/>
    <mergeCell ref="F13:I13"/>
    <mergeCell ref="E1:K1"/>
    <mergeCell ref="F2:J2"/>
    <mergeCell ref="AK3:AO3"/>
    <mergeCell ref="AK4:AO4"/>
    <mergeCell ref="AK5:AO5"/>
  </mergeCells>
  <printOptions horizontalCentered="1"/>
  <pageMargins left="0.7" right="0.7" top="0.75" bottom="0.75" header="0.3" footer="0.3"/>
  <pageSetup scale="57" orientation="landscape" r:id="rId1"/>
  <headerFooter scaleWithDoc="0" alignWithMargins="0">
    <oddHeader>&amp;RPage &amp;P of &amp;N</oddHeader>
    <oddFooter>&amp;LElectronic Tab Name:&amp;A</oddFooter>
  </headerFooter>
  <rowBreaks count="1" manualBreakCount="1">
    <brk id="30" max="16383" man="1"/>
  </rowBreaks>
  <colBreaks count="2" manualBreakCount="2">
    <brk id="24" max="57" man="1"/>
    <brk id="4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46"/>
  <sheetViews>
    <sheetView workbookViewId="0">
      <selection activeCell="A3" sqref="A3:H3"/>
    </sheetView>
  </sheetViews>
  <sheetFormatPr defaultRowHeight="15.75"/>
  <cols>
    <col min="1" max="1" width="1.42578125" style="6" bestFit="1" customWidth="1"/>
    <col min="2" max="2" width="4.85546875" style="6" bestFit="1" customWidth="1"/>
    <col min="3" max="3" width="9.140625" style="6"/>
    <col min="4" max="4" width="54.140625" style="6" bestFit="1" customWidth="1"/>
    <col min="5" max="5" width="16.85546875" style="6" bestFit="1" customWidth="1"/>
    <col min="6" max="16384" width="9.140625" style="6"/>
  </cols>
  <sheetData>
    <row r="1" spans="2:8">
      <c r="D1" s="5"/>
      <c r="E1" s="5"/>
      <c r="F1" s="5"/>
      <c r="G1" s="5"/>
      <c r="H1" s="5"/>
    </row>
    <row r="2" spans="2:8">
      <c r="C2" s="1025" t="s">
        <v>61</v>
      </c>
      <c r="D2" s="1025"/>
      <c r="E2" s="1025"/>
      <c r="F2" s="5"/>
      <c r="G2" s="5"/>
      <c r="H2" s="5"/>
    </row>
    <row r="3" spans="2:8">
      <c r="C3" s="1025" t="s">
        <v>1690</v>
      </c>
      <c r="D3" s="1025"/>
      <c r="E3" s="1025"/>
      <c r="F3" s="5"/>
      <c r="G3" s="5"/>
      <c r="H3" s="5"/>
    </row>
    <row r="4" spans="2:8">
      <c r="C4" s="1025" t="s">
        <v>1700</v>
      </c>
      <c r="D4" s="1025"/>
      <c r="E4" s="1025"/>
      <c r="F4" s="5"/>
      <c r="G4" s="5"/>
      <c r="H4" s="5"/>
    </row>
    <row r="5" spans="2:8">
      <c r="C5" s="1025" t="s">
        <v>1673</v>
      </c>
      <c r="D5" s="1025"/>
      <c r="E5" s="1025"/>
      <c r="F5" s="5"/>
      <c r="G5" s="5"/>
      <c r="H5" s="5"/>
    </row>
    <row r="6" spans="2:8">
      <c r="C6" s="1025" t="s">
        <v>985</v>
      </c>
      <c r="D6" s="1025"/>
      <c r="E6" s="1025"/>
      <c r="F6" s="5"/>
      <c r="G6" s="5"/>
      <c r="H6" s="5"/>
    </row>
    <row r="9" spans="2:8">
      <c r="B9" s="497"/>
      <c r="C9" s="498"/>
      <c r="D9" s="499" t="s">
        <v>61</v>
      </c>
      <c r="E9" s="500"/>
    </row>
    <row r="10" spans="2:8">
      <c r="B10" s="501"/>
      <c r="C10" s="19"/>
      <c r="D10" s="502" t="s">
        <v>1673</v>
      </c>
      <c r="E10" s="503"/>
    </row>
    <row r="11" spans="2:8">
      <c r="B11" s="504"/>
      <c r="C11" s="505"/>
      <c r="D11" s="506" t="s">
        <v>379</v>
      </c>
      <c r="E11" s="507"/>
    </row>
    <row r="12" spans="2:8">
      <c r="B12" s="508"/>
      <c r="C12" s="19"/>
      <c r="D12" s="19"/>
      <c r="E12" s="508"/>
    </row>
    <row r="13" spans="2:8">
      <c r="B13" s="509" t="s">
        <v>380</v>
      </c>
      <c r="C13" s="18"/>
      <c r="D13" s="18"/>
      <c r="E13" s="509" t="s">
        <v>59</v>
      </c>
    </row>
    <row r="14" spans="2:8">
      <c r="B14" s="510" t="s">
        <v>381</v>
      </c>
      <c r="C14" s="506"/>
      <c r="D14" s="506" t="s">
        <v>382</v>
      </c>
      <c r="E14" s="510" t="s">
        <v>379</v>
      </c>
    </row>
    <row r="15" spans="2:8">
      <c r="B15" s="511"/>
      <c r="C15" s="512"/>
      <c r="D15" s="512" t="s">
        <v>116</v>
      </c>
      <c r="E15" s="511" t="s">
        <v>117</v>
      </c>
    </row>
    <row r="16" spans="2:8">
      <c r="B16" s="513"/>
      <c r="C16" s="19"/>
      <c r="D16" s="19"/>
      <c r="E16" s="513"/>
    </row>
    <row r="17" spans="1:7">
      <c r="B17" s="509">
        <v>1</v>
      </c>
      <c r="C17" s="19"/>
      <c r="D17" s="19" t="s">
        <v>383</v>
      </c>
      <c r="E17" s="514">
        <f>-'Working Capital Work Paper'!U342</f>
        <v>401629941.89166671</v>
      </c>
      <c r="G17" s="19"/>
    </row>
    <row r="18" spans="1:7">
      <c r="B18" s="509"/>
      <c r="C18" s="19"/>
      <c r="D18" s="19"/>
      <c r="E18" s="515"/>
    </row>
    <row r="19" spans="1:7">
      <c r="B19" s="509">
        <v>2</v>
      </c>
      <c r="C19" s="19"/>
      <c r="D19" s="19" t="s">
        <v>384</v>
      </c>
      <c r="E19" s="516">
        <f>+'Working Capital Work Paper'!V342</f>
        <v>333641208.78666663</v>
      </c>
    </row>
    <row r="20" spans="1:7">
      <c r="B20" s="509">
        <v>3</v>
      </c>
      <c r="C20" s="19"/>
      <c r="D20" s="19" t="s">
        <v>385</v>
      </c>
      <c r="E20" s="516">
        <f>+'Working Capital Work Paper'!W342</f>
        <v>31260829.359166674</v>
      </c>
    </row>
    <row r="21" spans="1:7">
      <c r="B21" s="509">
        <v>4</v>
      </c>
      <c r="C21" s="19"/>
      <c r="D21" s="19" t="s">
        <v>386</v>
      </c>
      <c r="E21" s="517">
        <f>+E19+E20</f>
        <v>364902038.14583331</v>
      </c>
    </row>
    <row r="22" spans="1:7">
      <c r="B22" s="509"/>
      <c r="C22" s="19"/>
      <c r="D22" s="19"/>
      <c r="E22" s="515"/>
    </row>
    <row r="23" spans="1:7" ht="16.5" thickBot="1">
      <c r="B23" s="509">
        <v>5</v>
      </c>
      <c r="C23" s="19"/>
      <c r="D23" s="19" t="s">
        <v>387</v>
      </c>
      <c r="E23" s="518">
        <f>+E17-E21</f>
        <v>36727903.745833397</v>
      </c>
    </row>
    <row r="24" spans="1:7" ht="16.5" thickTop="1">
      <c r="B24" s="509"/>
      <c r="C24" s="19"/>
      <c r="D24" s="19"/>
      <c r="E24" s="513"/>
    </row>
    <row r="25" spans="1:7" ht="16.5" thickBot="1">
      <c r="B25" s="509">
        <v>6</v>
      </c>
      <c r="C25" s="19"/>
      <c r="D25" s="19" t="s">
        <v>388</v>
      </c>
      <c r="E25" s="519">
        <f>+E23/E21</f>
        <v>0.1006514075187354</v>
      </c>
    </row>
    <row r="26" spans="1:7" ht="16.5" thickTop="1">
      <c r="B26" s="510"/>
      <c r="C26" s="505"/>
      <c r="D26" s="505"/>
      <c r="E26" s="520"/>
    </row>
    <row r="27" spans="1:7">
      <c r="B27" s="521"/>
      <c r="C27" s="19"/>
      <c r="D27" s="18" t="s">
        <v>61</v>
      </c>
      <c r="E27" s="503"/>
    </row>
    <row r="28" spans="1:7">
      <c r="B28" s="521"/>
      <c r="C28" s="19"/>
      <c r="D28" s="502" t="s">
        <v>1673</v>
      </c>
      <c r="E28" s="503"/>
    </row>
    <row r="29" spans="1:7">
      <c r="B29" s="522"/>
      <c r="C29" s="505"/>
      <c r="D29" s="506" t="s">
        <v>389</v>
      </c>
      <c r="E29" s="507"/>
    </row>
    <row r="30" spans="1:7">
      <c r="A30" s="6" t="s">
        <v>57</v>
      </c>
      <c r="B30" s="523"/>
      <c r="C30" s="19"/>
      <c r="D30" s="19"/>
      <c r="E30" s="508"/>
    </row>
    <row r="31" spans="1:7">
      <c r="B31" s="509" t="s">
        <v>380</v>
      </c>
      <c r="C31" s="18"/>
      <c r="D31" s="18"/>
      <c r="E31" s="509"/>
    </row>
    <row r="32" spans="1:7">
      <c r="B32" s="510" t="s">
        <v>381</v>
      </c>
      <c r="C32" s="506"/>
      <c r="D32" s="506" t="s">
        <v>382</v>
      </c>
      <c r="E32" s="510" t="s">
        <v>390</v>
      </c>
    </row>
    <row r="33" spans="2:5">
      <c r="B33" s="511"/>
      <c r="C33" s="512"/>
      <c r="D33" s="512" t="s">
        <v>116</v>
      </c>
      <c r="E33" s="511" t="s">
        <v>117</v>
      </c>
    </row>
    <row r="34" spans="2:5">
      <c r="B34" s="509"/>
      <c r="C34" s="19"/>
      <c r="D34" s="19"/>
      <c r="E34" s="513"/>
    </row>
    <row r="35" spans="2:5">
      <c r="B35" s="509">
        <v>7</v>
      </c>
      <c r="C35" s="19"/>
      <c r="D35" s="19" t="s">
        <v>391</v>
      </c>
      <c r="E35" s="515">
        <f>+'Rate Base'!D13</f>
        <v>677314165.18981874</v>
      </c>
    </row>
    <row r="36" spans="2:5">
      <c r="B36" s="509">
        <v>8</v>
      </c>
      <c r="C36" s="19"/>
      <c r="D36" s="28" t="s">
        <v>392</v>
      </c>
      <c r="E36" s="515">
        <f>+'Rate Base'!D14</f>
        <v>-345424354.83661753</v>
      </c>
    </row>
    <row r="37" spans="2:5">
      <c r="B37" s="509">
        <v>9</v>
      </c>
      <c r="C37" s="19"/>
      <c r="D37" s="28" t="s">
        <v>375</v>
      </c>
      <c r="E37" s="515">
        <f>+'Rate Base'!D16</f>
        <v>-3771590.387083333</v>
      </c>
    </row>
    <row r="38" spans="2:5">
      <c r="B38" s="509">
        <v>10</v>
      </c>
      <c r="C38" s="19"/>
      <c r="D38" s="28" t="s">
        <v>393</v>
      </c>
      <c r="E38" s="524">
        <f>+'Rate Base'!D17</f>
        <v>-73667038.139583334</v>
      </c>
    </row>
    <row r="39" spans="2:5">
      <c r="B39" s="509"/>
      <c r="C39" s="19"/>
      <c r="D39" s="28"/>
      <c r="E39" s="515"/>
    </row>
    <row r="40" spans="2:5">
      <c r="B40" s="509">
        <v>11</v>
      </c>
      <c r="C40" s="19"/>
      <c r="D40" s="28" t="s">
        <v>394</v>
      </c>
      <c r="E40" s="515">
        <f>SUM(E35:E38)</f>
        <v>254451181.82653451</v>
      </c>
    </row>
    <row r="41" spans="2:5">
      <c r="B41" s="509"/>
      <c r="C41" s="19"/>
      <c r="D41" s="28"/>
      <c r="E41" s="515"/>
    </row>
    <row r="42" spans="2:5">
      <c r="B42" s="509">
        <v>12</v>
      </c>
      <c r="C42" s="19"/>
      <c r="D42" s="28" t="s">
        <v>1981</v>
      </c>
      <c r="E42" s="525">
        <f>+E25</f>
        <v>0.1006514075187354</v>
      </c>
    </row>
    <row r="43" spans="2:5">
      <c r="B43" s="509"/>
      <c r="C43" s="19"/>
      <c r="D43" s="28"/>
      <c r="E43" s="515"/>
    </row>
    <row r="44" spans="2:5" ht="16.5" thickBot="1">
      <c r="B44" s="509">
        <v>13</v>
      </c>
      <c r="C44" s="19"/>
      <c r="D44" s="28" t="s">
        <v>1982</v>
      </c>
      <c r="E44" s="526">
        <f>+E40*E42</f>
        <v>25610869.595646363</v>
      </c>
    </row>
    <row r="45" spans="2:5" ht="16.5" thickTop="1">
      <c r="B45" s="510"/>
      <c r="C45" s="505"/>
      <c r="D45" s="527"/>
      <c r="E45" s="524"/>
    </row>
    <row r="46" spans="2:5">
      <c r="B46" s="8"/>
    </row>
  </sheetData>
  <mergeCells count="5">
    <mergeCell ref="C2:E2"/>
    <mergeCell ref="C3:E3"/>
    <mergeCell ref="C4:E4"/>
    <mergeCell ref="C5:E5"/>
    <mergeCell ref="C6:E6"/>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N17"/>
  <sheetViews>
    <sheetView view="pageBreakPreview" zoomScaleNormal="100" zoomScaleSheetLayoutView="100" workbookViewId="0">
      <selection activeCell="A3" sqref="A3:H3"/>
    </sheetView>
  </sheetViews>
  <sheetFormatPr defaultRowHeight="15.75"/>
  <cols>
    <col min="1" max="1" width="1.42578125" style="6" customWidth="1"/>
    <col min="2" max="2" width="2.5703125" style="6" customWidth="1"/>
    <col min="3" max="3" width="10.5703125" style="8" bestFit="1" customWidth="1"/>
    <col min="4" max="4" width="43" style="6" bestFit="1" customWidth="1"/>
    <col min="5" max="5" width="4.140625" style="6" customWidth="1"/>
    <col min="6" max="6" width="17.5703125" style="6" bestFit="1" customWidth="1"/>
    <col min="7" max="7" width="6" style="6" customWidth="1"/>
    <col min="8" max="8" width="10.140625" style="6" bestFit="1" customWidth="1"/>
    <col min="9" max="9" width="5.140625" style="6" customWidth="1"/>
    <col min="10" max="10" width="13.7109375" style="6" bestFit="1" customWidth="1"/>
    <col min="11" max="13" width="9.140625" style="6"/>
    <col min="14" max="14" width="13.85546875" style="6" bestFit="1" customWidth="1"/>
    <col min="15" max="16384" width="9.140625" style="6"/>
  </cols>
  <sheetData>
    <row r="1" spans="2:14">
      <c r="B1" s="528"/>
      <c r="C1" s="1025" t="s">
        <v>61</v>
      </c>
      <c r="D1" s="1025"/>
      <c r="E1" s="1025"/>
      <c r="F1" s="1025"/>
      <c r="G1" s="1025"/>
      <c r="H1" s="1025"/>
      <c r="I1" s="1025"/>
      <c r="J1" s="1025"/>
      <c r="K1" s="529"/>
      <c r="L1" s="530"/>
      <c r="M1" s="529"/>
    </row>
    <row r="2" spans="2:14">
      <c r="B2" s="528"/>
      <c r="C2" s="1025" t="s">
        <v>1690</v>
      </c>
      <c r="D2" s="1025"/>
      <c r="E2" s="1025"/>
      <c r="F2" s="1025"/>
      <c r="G2" s="1025"/>
      <c r="H2" s="1025"/>
      <c r="I2" s="1025"/>
      <c r="J2" s="1025"/>
      <c r="K2" s="531"/>
      <c r="L2" s="531"/>
      <c r="M2" s="531"/>
    </row>
    <row r="3" spans="2:14">
      <c r="B3" s="528"/>
      <c r="C3" s="1025" t="s">
        <v>1701</v>
      </c>
      <c r="D3" s="1025"/>
      <c r="E3" s="1025"/>
      <c r="F3" s="1025"/>
      <c r="G3" s="1025"/>
      <c r="H3" s="1025"/>
      <c r="I3" s="1025"/>
      <c r="J3" s="1025"/>
      <c r="K3" s="531"/>
      <c r="L3" s="531"/>
      <c r="M3" s="531"/>
    </row>
    <row r="4" spans="2:14">
      <c r="B4" s="528"/>
      <c r="C4" s="1025" t="s">
        <v>979</v>
      </c>
      <c r="D4" s="1025"/>
      <c r="E4" s="1025"/>
      <c r="F4" s="1025"/>
      <c r="G4" s="1025"/>
      <c r="H4" s="1025"/>
      <c r="I4" s="1025"/>
      <c r="J4" s="1025"/>
      <c r="K4" s="532"/>
      <c r="L4" s="532"/>
      <c r="M4" s="532"/>
    </row>
    <row r="5" spans="2:14">
      <c r="B5" s="528"/>
      <c r="C5" s="1025" t="s">
        <v>985</v>
      </c>
      <c r="D5" s="1025"/>
      <c r="E5" s="1025"/>
      <c r="F5" s="1025"/>
      <c r="G5" s="1025"/>
      <c r="H5" s="1025"/>
      <c r="I5" s="1025"/>
      <c r="J5" s="1025"/>
      <c r="K5" s="533"/>
      <c r="L5" s="533"/>
      <c r="M5" s="533"/>
    </row>
    <row r="6" spans="2:14">
      <c r="E6" s="1065"/>
      <c r="F6" s="1065"/>
      <c r="G6" s="1065"/>
      <c r="H6" s="1065"/>
      <c r="I6" s="1065"/>
      <c r="J6" s="1065"/>
    </row>
    <row r="7" spans="2:14">
      <c r="B7" s="534"/>
      <c r="C7" s="535"/>
      <c r="D7" s="528"/>
      <c r="E7" s="529"/>
      <c r="F7" s="529"/>
      <c r="G7" s="529"/>
      <c r="H7" s="529"/>
      <c r="I7" s="529"/>
      <c r="J7" s="529"/>
      <c r="K7" s="534"/>
      <c r="L7" s="534"/>
      <c r="M7" s="528"/>
    </row>
    <row r="8" spans="2:14" s="8" customFormat="1">
      <c r="B8" s="536"/>
      <c r="C8" s="537" t="s">
        <v>48</v>
      </c>
      <c r="D8" s="537" t="s">
        <v>1731</v>
      </c>
      <c r="E8" s="537"/>
      <c r="F8" s="537" t="s">
        <v>1729</v>
      </c>
      <c r="G8" s="537"/>
      <c r="H8" s="537" t="s">
        <v>1732</v>
      </c>
      <c r="I8" s="537"/>
      <c r="J8" s="537" t="s">
        <v>1733</v>
      </c>
      <c r="K8" s="536"/>
      <c r="L8" s="538"/>
      <c r="M8" s="537"/>
    </row>
    <row r="9" spans="2:14">
      <c r="B9" s="534"/>
      <c r="C9" s="539" t="s">
        <v>1727</v>
      </c>
      <c r="D9" s="540" t="s">
        <v>49</v>
      </c>
      <c r="E9" s="541"/>
      <c r="F9" s="541" t="s">
        <v>50</v>
      </c>
      <c r="G9" s="541"/>
      <c r="H9" s="542" t="s">
        <v>51</v>
      </c>
      <c r="I9" s="542"/>
      <c r="J9" s="543" t="s">
        <v>52</v>
      </c>
      <c r="K9" s="534"/>
      <c r="L9" s="534"/>
      <c r="M9" s="528"/>
    </row>
    <row r="10" spans="2:14">
      <c r="B10" s="534"/>
      <c r="C10" s="521"/>
      <c r="D10" s="544"/>
      <c r="E10" s="544"/>
      <c r="F10" s="544"/>
      <c r="G10" s="544"/>
      <c r="H10" s="544"/>
      <c r="I10" s="544"/>
      <c r="J10" s="545" t="s">
        <v>51</v>
      </c>
      <c r="K10" s="534"/>
      <c r="L10" s="534"/>
      <c r="M10" s="528"/>
    </row>
    <row r="11" spans="2:14">
      <c r="C11" s="521">
        <v>1</v>
      </c>
      <c r="D11" s="546" t="s">
        <v>53</v>
      </c>
      <c r="E11" s="544"/>
      <c r="F11" s="547">
        <v>0.5</v>
      </c>
      <c r="G11" s="548"/>
      <c r="H11" s="549">
        <v>5.2949999999999997E-2</v>
      </c>
      <c r="I11" s="550"/>
      <c r="J11" s="551">
        <f>ROUND(+F11*H11,5)</f>
        <v>2.648E-2</v>
      </c>
      <c r="K11" s="534"/>
      <c r="L11" s="552"/>
      <c r="M11" s="528"/>
      <c r="N11" s="553"/>
    </row>
    <row r="12" spans="2:14">
      <c r="C12" s="521">
        <v>2</v>
      </c>
      <c r="D12" s="546" t="s">
        <v>54</v>
      </c>
      <c r="E12" s="544"/>
      <c r="F12" s="547">
        <v>0</v>
      </c>
      <c r="G12" s="548"/>
      <c r="H12" s="549">
        <v>0</v>
      </c>
      <c r="I12" s="550"/>
      <c r="J12" s="551">
        <f>ROUND(+F12*H12,5)</f>
        <v>0</v>
      </c>
      <c r="K12" s="534"/>
      <c r="L12" s="552"/>
      <c r="M12" s="528"/>
    </row>
    <row r="13" spans="2:14">
      <c r="C13" s="521">
        <v>3</v>
      </c>
      <c r="D13" s="546" t="s">
        <v>55</v>
      </c>
      <c r="E13" s="544"/>
      <c r="F13" s="547">
        <v>0.5</v>
      </c>
      <c r="G13" s="548"/>
      <c r="H13" s="549">
        <v>9.9000000000000005E-2</v>
      </c>
      <c r="I13" s="550"/>
      <c r="J13" s="551">
        <f>ROUND(+F13*H13,5)</f>
        <v>4.9500000000000002E-2</v>
      </c>
      <c r="K13" s="534"/>
      <c r="L13" s="552"/>
      <c r="M13" s="528"/>
    </row>
    <row r="14" spans="2:14" ht="16.5" thickBot="1">
      <c r="B14" s="534"/>
      <c r="C14" s="521">
        <v>4</v>
      </c>
      <c r="D14" s="546" t="s">
        <v>56</v>
      </c>
      <c r="E14" s="544"/>
      <c r="F14" s="554">
        <f>SUM(F11:F13)</f>
        <v>1</v>
      </c>
      <c r="G14" s="548"/>
      <c r="H14" s="548"/>
      <c r="I14" s="550"/>
      <c r="J14" s="555">
        <f>SUM(J11:J13)</f>
        <v>7.5980000000000006E-2</v>
      </c>
      <c r="K14" s="534"/>
      <c r="L14" s="534"/>
      <c r="M14" s="528"/>
    </row>
    <row r="15" spans="2:14" ht="16.5" thickTop="1">
      <c r="B15" s="534"/>
      <c r="C15" s="556"/>
      <c r="D15" s="557"/>
      <c r="E15" s="557"/>
      <c r="F15" s="557"/>
      <c r="G15" s="557"/>
      <c r="H15" s="557"/>
      <c r="I15" s="557"/>
      <c r="J15" s="558"/>
      <c r="K15" s="534"/>
      <c r="L15" s="534"/>
      <c r="M15" s="528"/>
    </row>
    <row r="16" spans="2:14">
      <c r="B16" s="534"/>
      <c r="C16" s="536"/>
      <c r="D16" s="534"/>
      <c r="E16" s="534"/>
      <c r="F16" s="534"/>
      <c r="G16" s="534"/>
      <c r="H16" s="534"/>
      <c r="I16" s="534"/>
      <c r="J16" s="534"/>
      <c r="K16" s="534"/>
      <c r="L16" s="534"/>
      <c r="M16" s="528"/>
    </row>
    <row r="17" spans="2:12">
      <c r="B17" s="528"/>
      <c r="C17" s="537"/>
      <c r="D17" s="528" t="s">
        <v>2131</v>
      </c>
      <c r="E17" s="528"/>
      <c r="F17" s="528"/>
      <c r="G17" s="528"/>
      <c r="H17" s="528"/>
      <c r="I17" s="528"/>
      <c r="J17" s="528"/>
      <c r="K17" s="528"/>
      <c r="L17" s="528"/>
    </row>
  </sheetData>
  <mergeCells count="6">
    <mergeCell ref="E6:J6"/>
    <mergeCell ref="C1:J1"/>
    <mergeCell ref="C2:J2"/>
    <mergeCell ref="C3:J3"/>
    <mergeCell ref="C4:J4"/>
    <mergeCell ref="C5:J5"/>
  </mergeCells>
  <printOptions horizontalCentered="1"/>
  <pageMargins left="0.7" right="0.7" top="0.75" bottom="0.75" header="0.3" footer="0.3"/>
  <pageSetup scale="79" orientation="portrait" r:id="rId1"/>
  <headerFooter scaleWithDoc="0" alignWithMargins="0">
    <oddHeader>&amp;RPage &amp;P of &amp;N</oddHeader>
    <oddFooter>&amp;LElectronic Tab Name:&amp;A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7"/>
  <sheetViews>
    <sheetView zoomScale="80" zoomScaleNormal="80" workbookViewId="0">
      <selection activeCell="A18" sqref="A18"/>
    </sheetView>
  </sheetViews>
  <sheetFormatPr defaultRowHeight="15.75"/>
  <cols>
    <col min="1" max="1" width="3.5703125" style="6" bestFit="1" customWidth="1"/>
    <col min="2" max="2" width="35.140625" style="6" bestFit="1" customWidth="1"/>
    <col min="3" max="3" width="1" style="6" customWidth="1"/>
    <col min="4" max="4" width="14.5703125" style="6" bestFit="1" customWidth="1"/>
    <col min="5" max="5" width="1" style="6" customWidth="1"/>
    <col min="6" max="6" width="0.85546875" style="6" customWidth="1"/>
    <col min="7" max="7" width="12.85546875" style="6" bestFit="1" customWidth="1"/>
    <col min="8" max="9" width="1.28515625" style="6" customWidth="1"/>
    <col min="10" max="10" width="14" style="6" bestFit="1" customWidth="1"/>
    <col min="11" max="11" width="0.85546875" style="6" customWidth="1"/>
    <col min="12" max="12" width="1.42578125" style="6" customWidth="1"/>
    <col min="13" max="13" width="12.85546875" style="6" bestFit="1" customWidth="1"/>
    <col min="14" max="14" width="1" style="6" customWidth="1"/>
    <col min="15" max="15" width="0.85546875" style="6" customWidth="1"/>
    <col min="16" max="16" width="14.7109375" style="6" bestFit="1" customWidth="1"/>
    <col min="17" max="17" width="1.5703125" style="6" customWidth="1"/>
    <col min="18" max="18" width="1.140625" style="6" customWidth="1"/>
    <col min="19" max="19" width="9.140625" style="6"/>
    <col min="20" max="20" width="11.85546875" style="6" customWidth="1"/>
    <col min="21" max="21" width="12.28515625" style="6" bestFit="1" customWidth="1"/>
    <col min="22" max="22" width="10.5703125" style="6" bestFit="1" customWidth="1"/>
    <col min="23" max="16384" width="9.140625" style="6"/>
  </cols>
  <sheetData>
    <row r="1" spans="1:21">
      <c r="A1" s="1012" t="s">
        <v>119</v>
      </c>
      <c r="B1" s="1012"/>
      <c r="C1" s="1012"/>
      <c r="D1" s="1012"/>
      <c r="E1" s="1012"/>
      <c r="F1" s="1012"/>
      <c r="G1" s="1012"/>
      <c r="H1" s="1012"/>
      <c r="I1" s="1012"/>
      <c r="J1" s="1012"/>
      <c r="K1" s="1012"/>
      <c r="L1" s="1012"/>
      <c r="M1" s="1012"/>
      <c r="N1" s="1012"/>
      <c r="O1" s="1012"/>
      <c r="P1" s="1012"/>
      <c r="Q1" s="1012"/>
      <c r="R1" s="19"/>
    </row>
    <row r="2" spans="1:21">
      <c r="A2" s="1012" t="s">
        <v>1678</v>
      </c>
      <c r="B2" s="1012"/>
      <c r="C2" s="1012"/>
      <c r="D2" s="1012"/>
      <c r="E2" s="1012"/>
      <c r="F2" s="1012"/>
      <c r="G2" s="1012"/>
      <c r="H2" s="1012"/>
      <c r="I2" s="1012"/>
      <c r="J2" s="1012"/>
      <c r="K2" s="1012"/>
      <c r="L2" s="1012"/>
      <c r="M2" s="1012"/>
      <c r="N2" s="1012"/>
      <c r="O2" s="1012"/>
      <c r="P2" s="1012"/>
      <c r="Q2" s="1012"/>
      <c r="R2" s="42"/>
    </row>
    <row r="3" spans="1:21">
      <c r="A3" s="1013" t="s">
        <v>985</v>
      </c>
      <c r="B3" s="1013"/>
      <c r="C3" s="1013"/>
      <c r="D3" s="1013"/>
      <c r="E3" s="1013"/>
      <c r="F3" s="1013"/>
      <c r="G3" s="1013"/>
      <c r="H3" s="1013"/>
      <c r="I3" s="1013"/>
      <c r="J3" s="1013"/>
      <c r="K3" s="1013"/>
      <c r="L3" s="1013"/>
      <c r="M3" s="1013"/>
      <c r="N3" s="1013"/>
      <c r="O3" s="1013"/>
      <c r="P3" s="1013"/>
      <c r="Q3" s="1013"/>
      <c r="R3" s="42"/>
    </row>
    <row r="4" spans="1:21">
      <c r="A4" s="43"/>
      <c r="B4" s="43"/>
      <c r="C4" s="43"/>
      <c r="D4" s="43"/>
      <c r="E4" s="43"/>
      <c r="F4" s="43"/>
      <c r="G4" s="43"/>
      <c r="H4" s="43"/>
      <c r="I4" s="43"/>
      <c r="J4" s="43"/>
      <c r="K4" s="43"/>
      <c r="L4" s="43"/>
      <c r="M4" s="43"/>
      <c r="N4" s="43"/>
      <c r="O4" s="43"/>
      <c r="P4" s="43"/>
      <c r="Q4" s="42"/>
      <c r="R4" s="42"/>
    </row>
    <row r="5" spans="1:21">
      <c r="A5" s="44"/>
      <c r="B5" s="44"/>
      <c r="C5" s="45"/>
      <c r="D5" s="46">
        <v>42735</v>
      </c>
      <c r="E5" s="47"/>
      <c r="F5" s="48"/>
      <c r="G5" s="49" t="s">
        <v>80</v>
      </c>
      <c r="H5" s="47"/>
      <c r="I5" s="48"/>
      <c r="J5" s="49" t="s">
        <v>70</v>
      </c>
      <c r="K5" s="47"/>
      <c r="L5" s="48"/>
      <c r="M5" s="49" t="s">
        <v>72</v>
      </c>
      <c r="N5" s="49"/>
      <c r="O5" s="47"/>
      <c r="P5" s="50" t="s">
        <v>2</v>
      </c>
      <c r="Q5" s="51"/>
      <c r="R5" s="42"/>
    </row>
    <row r="6" spans="1:21">
      <c r="A6" s="42"/>
      <c r="B6" s="42"/>
      <c r="C6" s="52"/>
      <c r="D6" s="53" t="s">
        <v>0</v>
      </c>
      <c r="E6" s="52"/>
      <c r="F6" s="42"/>
      <c r="G6" s="54" t="s">
        <v>81</v>
      </c>
      <c r="H6" s="55"/>
      <c r="I6" s="56"/>
      <c r="J6" s="57" t="s">
        <v>71</v>
      </c>
      <c r="K6" s="52"/>
      <c r="L6" s="42"/>
      <c r="M6" s="54" t="s">
        <v>969</v>
      </c>
      <c r="N6" s="54"/>
      <c r="O6" s="52"/>
      <c r="P6" s="58" t="s">
        <v>1649</v>
      </c>
      <c r="Q6" s="52"/>
      <c r="R6" s="42"/>
    </row>
    <row r="7" spans="1:21">
      <c r="A7" s="42"/>
      <c r="B7" s="42"/>
      <c r="C7" s="52"/>
      <c r="D7" s="53" t="s">
        <v>3</v>
      </c>
      <c r="E7" s="52"/>
      <c r="F7" s="42"/>
      <c r="G7" s="54" t="s">
        <v>1</v>
      </c>
      <c r="H7" s="52"/>
      <c r="I7" s="42"/>
      <c r="J7" s="54" t="s">
        <v>59</v>
      </c>
      <c r="K7" s="52"/>
      <c r="L7" s="42"/>
      <c r="M7" s="54" t="s">
        <v>73</v>
      </c>
      <c r="N7" s="54"/>
      <c r="O7" s="52"/>
      <c r="P7" s="59" t="s">
        <v>82</v>
      </c>
      <c r="Q7" s="52"/>
      <c r="R7" s="42"/>
    </row>
    <row r="8" spans="1:21">
      <c r="A8" s="42"/>
      <c r="B8" s="42"/>
      <c r="C8" s="52"/>
      <c r="D8" s="53" t="s">
        <v>4</v>
      </c>
      <c r="E8" s="52"/>
      <c r="F8" s="42"/>
      <c r="G8" s="54"/>
      <c r="H8" s="52"/>
      <c r="I8" s="42"/>
      <c r="J8" s="54"/>
      <c r="K8" s="52"/>
      <c r="L8" s="42"/>
      <c r="M8" s="54"/>
      <c r="N8" s="54"/>
      <c r="O8" s="52"/>
      <c r="P8" s="59" t="s">
        <v>83</v>
      </c>
      <c r="Q8" s="52"/>
      <c r="R8" s="42"/>
    </row>
    <row r="9" spans="1:21">
      <c r="A9" s="42"/>
      <c r="B9" s="42"/>
      <c r="C9" s="52"/>
      <c r="D9" s="53"/>
      <c r="E9" s="52"/>
      <c r="F9" s="42"/>
      <c r="G9" s="54"/>
      <c r="H9" s="52"/>
      <c r="I9" s="42"/>
      <c r="J9" s="54"/>
      <c r="K9" s="52"/>
      <c r="L9" s="42"/>
      <c r="M9" s="57"/>
      <c r="N9" s="57"/>
      <c r="O9" s="52"/>
      <c r="P9" s="59"/>
      <c r="Q9" s="52"/>
      <c r="R9" s="42"/>
    </row>
    <row r="10" spans="1:21">
      <c r="A10" s="42"/>
      <c r="B10" s="41" t="s">
        <v>6</v>
      </c>
      <c r="C10" s="52"/>
      <c r="D10" s="60" t="s">
        <v>5</v>
      </c>
      <c r="E10" s="52"/>
      <c r="F10" s="42"/>
      <c r="G10" s="61" t="s">
        <v>7</v>
      </c>
      <c r="H10" s="52"/>
      <c r="I10" s="42"/>
      <c r="J10" s="57" t="s">
        <v>8</v>
      </c>
      <c r="K10" s="52"/>
      <c r="L10" s="42"/>
      <c r="M10" s="61" t="s">
        <v>9</v>
      </c>
      <c r="N10" s="61"/>
      <c r="O10" s="52"/>
      <c r="P10" s="62" t="s">
        <v>10</v>
      </c>
      <c r="Q10" s="52"/>
      <c r="R10" s="42"/>
    </row>
    <row r="11" spans="1:21">
      <c r="A11" s="42"/>
      <c r="B11" s="42"/>
      <c r="C11" s="52"/>
      <c r="D11" s="63"/>
      <c r="E11" s="64"/>
      <c r="F11" s="65"/>
      <c r="G11" s="65"/>
      <c r="H11" s="64"/>
      <c r="I11" s="65"/>
      <c r="J11" s="65"/>
      <c r="K11" s="64"/>
      <c r="L11" s="65"/>
      <c r="M11" s="65"/>
      <c r="N11" s="65"/>
      <c r="O11" s="64"/>
      <c r="P11" s="64"/>
      <c r="Q11" s="66"/>
      <c r="R11" s="67"/>
    </row>
    <row r="12" spans="1:21">
      <c r="A12" s="42"/>
      <c r="B12" s="41" t="s">
        <v>11</v>
      </c>
      <c r="C12" s="52"/>
      <c r="D12" s="67"/>
      <c r="E12" s="52"/>
      <c r="F12" s="42"/>
      <c r="G12" s="68"/>
      <c r="H12" s="52"/>
      <c r="I12" s="42"/>
      <c r="J12" s="42"/>
      <c r="K12" s="52"/>
      <c r="L12" s="42"/>
      <c r="M12" s="42"/>
      <c r="N12" s="42"/>
      <c r="O12" s="52"/>
      <c r="P12" s="52"/>
      <c r="Q12" s="52"/>
      <c r="R12" s="42"/>
    </row>
    <row r="13" spans="1:21">
      <c r="A13" s="42">
        <v>1</v>
      </c>
      <c r="B13" s="69" t="s">
        <v>31</v>
      </c>
      <c r="C13" s="70"/>
      <c r="D13" s="71">
        <f>+'Operating Report'!G17</f>
        <v>182902832.87</v>
      </c>
      <c r="E13" s="72"/>
      <c r="F13" s="73"/>
      <c r="G13" s="73">
        <f>+'Exh MPP-5 - Summary of Adj'!AA16</f>
        <v>10375437.408959962</v>
      </c>
      <c r="H13" s="72"/>
      <c r="I13" s="73"/>
      <c r="J13" s="74">
        <f>+D13+G13</f>
        <v>193278270.27895996</v>
      </c>
      <c r="K13" s="72"/>
      <c r="L13" s="73"/>
      <c r="M13" s="74">
        <f>+'Exh MPP-3 - Rev Req Calc'!D21-M14</f>
        <v>4684984.0152483666</v>
      </c>
      <c r="N13" s="74"/>
      <c r="O13" s="72"/>
      <c r="P13" s="75">
        <f>+J13+M13</f>
        <v>197963254.29420832</v>
      </c>
      <c r="Q13" s="72"/>
      <c r="R13" s="76"/>
      <c r="T13" s="77"/>
      <c r="U13" s="77"/>
    </row>
    <row r="14" spans="1:21">
      <c r="A14" s="42">
        <v>2</v>
      </c>
      <c r="B14" s="69" t="s">
        <v>32</v>
      </c>
      <c r="C14" s="70"/>
      <c r="D14" s="78">
        <f>+'Operating Report'!G21</f>
        <v>21216454.399999999</v>
      </c>
      <c r="E14" s="72"/>
      <c r="F14" s="73"/>
      <c r="G14" s="73">
        <f>+'Exh MPP-5 - Summary of Adj'!AA17</f>
        <v>1787452.100000002</v>
      </c>
      <c r="H14" s="72"/>
      <c r="I14" s="73"/>
      <c r="J14" s="74">
        <f>+D14+G14</f>
        <v>23003906.5</v>
      </c>
      <c r="K14" s="72"/>
      <c r="L14" s="73"/>
      <c r="M14" s="73">
        <v>1200000</v>
      </c>
      <c r="N14" s="73"/>
      <c r="O14" s="72"/>
      <c r="P14" s="75">
        <f>+J14+M14</f>
        <v>24203906.5</v>
      </c>
      <c r="Q14" s="72"/>
      <c r="R14" s="79"/>
      <c r="T14" s="77"/>
      <c r="U14" s="77"/>
    </row>
    <row r="15" spans="1:21">
      <c r="A15" s="42">
        <v>3</v>
      </c>
      <c r="B15" s="69" t="s">
        <v>33</v>
      </c>
      <c r="C15" s="80"/>
      <c r="D15" s="81">
        <f>+'Operating Report'!G26-'Operating Report'!G21</f>
        <v>1011374.9600000009</v>
      </c>
      <c r="E15" s="72"/>
      <c r="F15" s="73"/>
      <c r="G15" s="73">
        <f>+'Exh MPP-5 - Summary of Adj'!AA18</f>
        <v>-101645</v>
      </c>
      <c r="H15" s="72"/>
      <c r="I15" s="73"/>
      <c r="J15" s="74">
        <f>+D15+G15</f>
        <v>909729.96000000089</v>
      </c>
      <c r="K15" s="72"/>
      <c r="L15" s="73"/>
      <c r="M15" s="73"/>
      <c r="N15" s="73"/>
      <c r="O15" s="72"/>
      <c r="P15" s="75">
        <f>+J15+M15</f>
        <v>909729.96000000089</v>
      </c>
      <c r="Q15" s="72"/>
      <c r="R15" s="79"/>
      <c r="T15" s="77"/>
      <c r="U15" s="77"/>
    </row>
    <row r="16" spans="1:21">
      <c r="A16" s="42">
        <v>4</v>
      </c>
      <c r="B16" s="82" t="s">
        <v>1368</v>
      </c>
      <c r="C16" s="70"/>
      <c r="D16" s="78">
        <f>SUM(D13:D15)</f>
        <v>205130662.23000002</v>
      </c>
      <c r="E16" s="72"/>
      <c r="F16" s="73"/>
      <c r="G16" s="83">
        <f>SUM(G13:G15)</f>
        <v>12061244.508959964</v>
      </c>
      <c r="H16" s="72"/>
      <c r="I16" s="73"/>
      <c r="J16" s="83">
        <f>SUM(J13:J15)</f>
        <v>217191906.73895997</v>
      </c>
      <c r="K16" s="72"/>
      <c r="L16" s="73"/>
      <c r="M16" s="83">
        <f>SUM(M13:M15)</f>
        <v>5884984.0152483666</v>
      </c>
      <c r="N16" s="77"/>
      <c r="O16" s="72"/>
      <c r="P16" s="84">
        <f>SUM(P13:P15)</f>
        <v>223076890.75420833</v>
      </c>
      <c r="Q16" s="72"/>
      <c r="R16" s="79"/>
      <c r="T16" s="77"/>
      <c r="U16" s="77"/>
    </row>
    <row r="17" spans="1:22">
      <c r="A17" s="42"/>
      <c r="B17" s="69"/>
      <c r="C17" s="70"/>
      <c r="D17" s="78"/>
      <c r="E17" s="72"/>
      <c r="F17" s="73"/>
      <c r="G17" s="77"/>
      <c r="H17" s="72"/>
      <c r="I17" s="73"/>
      <c r="J17" s="77"/>
      <c r="K17" s="72"/>
      <c r="L17" s="73"/>
      <c r="M17" s="77"/>
      <c r="N17" s="77"/>
      <c r="O17" s="72"/>
      <c r="P17" s="85"/>
      <c r="Q17" s="72"/>
      <c r="R17" s="79"/>
      <c r="T17" s="77"/>
      <c r="U17" s="77"/>
      <c r="V17" s="77"/>
    </row>
    <row r="18" spans="1:22">
      <c r="A18" s="42"/>
      <c r="B18" s="69" t="s">
        <v>12</v>
      </c>
      <c r="C18" s="70"/>
      <c r="D18" s="78"/>
      <c r="E18" s="72"/>
      <c r="F18" s="73"/>
      <c r="G18" s="77"/>
      <c r="H18" s="72"/>
      <c r="I18" s="73"/>
      <c r="J18" s="77"/>
      <c r="K18" s="72"/>
      <c r="L18" s="73"/>
      <c r="M18" s="77"/>
      <c r="N18" s="77"/>
      <c r="O18" s="72"/>
      <c r="P18" s="85"/>
      <c r="Q18" s="72"/>
      <c r="R18" s="79"/>
      <c r="T18" s="77"/>
      <c r="U18" s="77"/>
    </row>
    <row r="19" spans="1:22">
      <c r="A19" s="42">
        <v>5</v>
      </c>
      <c r="B19" s="69" t="s">
        <v>1369</v>
      </c>
      <c r="C19" s="70"/>
      <c r="D19" s="78">
        <f>+'Operating Report'!G36</f>
        <v>103593864.52000001</v>
      </c>
      <c r="E19" s="72"/>
      <c r="F19" s="73"/>
      <c r="G19" s="73">
        <f>+'Exh MPP-5 - Summary of Adj'!AA22</f>
        <v>4018538.273679968</v>
      </c>
      <c r="H19" s="72"/>
      <c r="I19" s="73"/>
      <c r="J19" s="74">
        <f>+D19+G19</f>
        <v>107612402.79367998</v>
      </c>
      <c r="K19" s="72"/>
      <c r="L19" s="73"/>
      <c r="M19" s="73"/>
      <c r="N19" s="73"/>
      <c r="O19" s="72"/>
      <c r="P19" s="75">
        <f>+J19+M19</f>
        <v>107612402.79367998</v>
      </c>
      <c r="Q19" s="72"/>
      <c r="R19" s="79"/>
      <c r="T19" s="77"/>
      <c r="U19" s="86"/>
      <c r="V19" s="77"/>
    </row>
    <row r="20" spans="1:22">
      <c r="A20" s="42">
        <v>6</v>
      </c>
      <c r="B20" s="69" t="s">
        <v>1370</v>
      </c>
      <c r="C20" s="70"/>
      <c r="D20" s="78">
        <f>+'Operating Report'!G52</f>
        <v>16946340.530000001</v>
      </c>
      <c r="E20" s="72"/>
      <c r="F20" s="73"/>
      <c r="G20" s="73">
        <f>+'Exh MPP-5 - Summary of Adj'!AA23</f>
        <v>488721.62750305777</v>
      </c>
      <c r="H20" s="72"/>
      <c r="I20" s="73"/>
      <c r="J20" s="74">
        <f>+D20+G20</f>
        <v>17435062.157503057</v>
      </c>
      <c r="K20" s="72"/>
      <c r="L20" s="73"/>
      <c r="M20" s="73">
        <f>+M16*('Exh MPP-4 - Conversion Factor'!C9+'Exh MPP-4 - Conversion Factor'!C10)</f>
        <v>238459.55229786382</v>
      </c>
      <c r="N20" s="73"/>
      <c r="O20" s="72"/>
      <c r="P20" s="87">
        <f>+J20+M20</f>
        <v>17673521.709800921</v>
      </c>
      <c r="Q20" s="72"/>
      <c r="R20" s="79"/>
      <c r="T20" s="77"/>
    </row>
    <row r="21" spans="1:22">
      <c r="A21" s="42">
        <v>7</v>
      </c>
      <c r="B21" s="88" t="s">
        <v>35</v>
      </c>
      <c r="C21" s="70"/>
      <c r="D21" s="78">
        <f>+'Operating Report'!G56</f>
        <v>518988.74</v>
      </c>
      <c r="E21" s="72"/>
      <c r="F21" s="73"/>
      <c r="G21" s="73">
        <f>+'Exh MPP-5 - Summary of Adj'!AA24</f>
        <v>16165.959663484771</v>
      </c>
      <c r="H21" s="72"/>
      <c r="I21" s="73"/>
      <c r="J21" s="74">
        <f t="shared" ref="J21:J30" si="0">+D21+G21</f>
        <v>535154.69966348482</v>
      </c>
      <c r="K21" s="72"/>
      <c r="L21" s="73"/>
      <c r="M21" s="73"/>
      <c r="N21" s="73"/>
      <c r="O21" s="72"/>
      <c r="P21" s="75">
        <f t="shared" ref="P21:P30" si="1">+J21+M21</f>
        <v>535154.69966348482</v>
      </c>
      <c r="Q21" s="72"/>
      <c r="R21" s="89"/>
      <c r="T21" s="90"/>
      <c r="V21" s="90"/>
    </row>
    <row r="22" spans="1:22">
      <c r="A22" s="42">
        <v>8</v>
      </c>
      <c r="B22" s="88" t="s">
        <v>13</v>
      </c>
      <c r="C22" s="70"/>
      <c r="D22" s="78">
        <f>+'Operating Report'!G84</f>
        <v>16326277.390000001</v>
      </c>
      <c r="E22" s="72"/>
      <c r="F22" s="73"/>
      <c r="G22" s="73">
        <f>+'Exh MPP-5 - Summary of Adj'!AA25</f>
        <v>1943873.3653953008</v>
      </c>
      <c r="H22" s="72"/>
      <c r="I22" s="73"/>
      <c r="J22" s="74">
        <f t="shared" si="0"/>
        <v>18270150.755395301</v>
      </c>
      <c r="K22" s="72"/>
      <c r="L22" s="73"/>
      <c r="M22" s="73"/>
      <c r="N22" s="73"/>
      <c r="O22" s="72"/>
      <c r="P22" s="75">
        <f t="shared" si="1"/>
        <v>18270150.755395301</v>
      </c>
      <c r="Q22" s="72"/>
      <c r="R22" s="89"/>
      <c r="T22" s="91"/>
      <c r="V22" s="90"/>
    </row>
    <row r="23" spans="1:22">
      <c r="A23" s="42">
        <v>9</v>
      </c>
      <c r="B23" s="88" t="s">
        <v>36</v>
      </c>
      <c r="C23" s="70"/>
      <c r="D23" s="78">
        <f>+'Operating Report'!G92</f>
        <v>6383108.290000001</v>
      </c>
      <c r="E23" s="72"/>
      <c r="F23" s="73"/>
      <c r="G23" s="73">
        <f>+'Exh MPP-5 - Summary of Adj'!AA26</f>
        <v>132813.48804515525</v>
      </c>
      <c r="H23" s="72"/>
      <c r="I23" s="73"/>
      <c r="J23" s="74">
        <f t="shared" si="0"/>
        <v>6515921.778045156</v>
      </c>
      <c r="K23" s="72"/>
      <c r="L23" s="73"/>
      <c r="M23" s="73">
        <f>+M16*'Exh MPP-4 - Conversion Factor'!C8</f>
        <v>22321.94915622304</v>
      </c>
      <c r="N23" s="73"/>
      <c r="O23" s="72"/>
      <c r="P23" s="75">
        <f t="shared" si="1"/>
        <v>6538243.7272013789</v>
      </c>
      <c r="Q23" s="72"/>
      <c r="R23" s="89"/>
      <c r="V23" s="90"/>
    </row>
    <row r="24" spans="1:22">
      <c r="A24" s="42">
        <v>10</v>
      </c>
      <c r="B24" s="88" t="s">
        <v>14</v>
      </c>
      <c r="C24" s="70"/>
      <c r="D24" s="78">
        <f>+'Operating Report'!G99</f>
        <v>824095.64</v>
      </c>
      <c r="E24" s="72"/>
      <c r="F24" s="73"/>
      <c r="G24" s="73">
        <f>+'Exh MPP-5 - Summary of Adj'!AA27</f>
        <v>-533333.36</v>
      </c>
      <c r="H24" s="72"/>
      <c r="I24" s="73"/>
      <c r="J24" s="74">
        <f t="shared" si="0"/>
        <v>290762.28000000003</v>
      </c>
      <c r="K24" s="72"/>
      <c r="L24" s="73"/>
      <c r="M24" s="73"/>
      <c r="N24" s="73"/>
      <c r="O24" s="72"/>
      <c r="P24" s="75">
        <f t="shared" si="1"/>
        <v>290762.28000000003</v>
      </c>
      <c r="Q24" s="72"/>
      <c r="R24" s="89"/>
    </row>
    <row r="25" spans="1:22">
      <c r="A25" s="42">
        <v>11</v>
      </c>
      <c r="B25" s="88" t="s">
        <v>15</v>
      </c>
      <c r="C25" s="70"/>
      <c r="D25" s="78">
        <f>+'Operating Report'!G106</f>
        <v>4916.59</v>
      </c>
      <c r="E25" s="72"/>
      <c r="F25" s="73"/>
      <c r="G25" s="73">
        <f>+'Exh MPP-5 - Summary of Adj'!AA28</f>
        <v>-4916.5899999999992</v>
      </c>
      <c r="H25" s="72"/>
      <c r="I25" s="73"/>
      <c r="J25" s="74">
        <f t="shared" si="0"/>
        <v>0</v>
      </c>
      <c r="K25" s="72"/>
      <c r="L25" s="73"/>
      <c r="M25" s="92"/>
      <c r="N25" s="92"/>
      <c r="O25" s="72"/>
      <c r="P25" s="75">
        <f t="shared" si="1"/>
        <v>0</v>
      </c>
      <c r="Q25" s="72"/>
      <c r="R25" s="89"/>
    </row>
    <row r="26" spans="1:22">
      <c r="A26" s="42">
        <v>12</v>
      </c>
      <c r="B26" s="88" t="s">
        <v>16</v>
      </c>
      <c r="C26" s="80"/>
      <c r="D26" s="78">
        <f>+'Operating Report'!G122</f>
        <v>16459957.959999999</v>
      </c>
      <c r="E26" s="72"/>
      <c r="F26" s="73"/>
      <c r="G26" s="73">
        <f>+'Exh MPP-5 - Summary of Adj'!AA29</f>
        <v>782061.97614301485</v>
      </c>
      <c r="H26" s="72"/>
      <c r="I26" s="73"/>
      <c r="J26" s="74">
        <f t="shared" si="0"/>
        <v>17242019.936143015</v>
      </c>
      <c r="K26" s="72"/>
      <c r="L26" s="73"/>
      <c r="M26" s="92"/>
      <c r="N26" s="92"/>
      <c r="O26" s="72"/>
      <c r="P26" s="75">
        <f t="shared" si="1"/>
        <v>17242019.936143015</v>
      </c>
      <c r="Q26" s="72"/>
      <c r="R26" s="76"/>
    </row>
    <row r="27" spans="1:22">
      <c r="A27" s="42">
        <v>13</v>
      </c>
      <c r="B27" s="88" t="s">
        <v>37</v>
      </c>
      <c r="C27" s="70"/>
      <c r="D27" s="71">
        <f>+'Operating Report'!G134</f>
        <v>19218442.350000001</v>
      </c>
      <c r="E27" s="72"/>
      <c r="F27" s="73"/>
      <c r="G27" s="73">
        <f>+'Exh MPP-5 - Summary of Adj'!AA30</f>
        <v>488864.03657593095</v>
      </c>
      <c r="H27" s="72"/>
      <c r="I27" s="73"/>
      <c r="J27" s="74">
        <f t="shared" si="0"/>
        <v>19707306.386575934</v>
      </c>
      <c r="K27" s="72"/>
      <c r="L27" s="73"/>
      <c r="M27" s="92"/>
      <c r="N27" s="92"/>
      <c r="O27" s="72"/>
      <c r="P27" s="75">
        <f t="shared" si="1"/>
        <v>19707306.386575934</v>
      </c>
      <c r="Q27" s="72"/>
      <c r="R27" s="79"/>
    </row>
    <row r="28" spans="1:22">
      <c r="A28" s="42">
        <v>14</v>
      </c>
      <c r="B28" s="88" t="s">
        <v>38</v>
      </c>
      <c r="C28" s="70"/>
      <c r="D28" s="93"/>
      <c r="E28" s="72"/>
      <c r="F28" s="73"/>
      <c r="G28" s="73">
        <f>+'Exh MPP-5 - Summary of Adj'!AA31</f>
        <v>0</v>
      </c>
      <c r="H28" s="72"/>
      <c r="I28" s="73"/>
      <c r="J28" s="74">
        <f t="shared" si="0"/>
        <v>0</v>
      </c>
      <c r="K28" s="72"/>
      <c r="L28" s="73"/>
      <c r="M28" s="73"/>
      <c r="N28" s="73"/>
      <c r="O28" s="72"/>
      <c r="P28" s="75">
        <f t="shared" si="1"/>
        <v>0</v>
      </c>
      <c r="Q28" s="72"/>
      <c r="R28" s="79"/>
    </row>
    <row r="29" spans="1:22">
      <c r="A29" s="42">
        <v>15</v>
      </c>
      <c r="B29" s="88" t="s">
        <v>39</v>
      </c>
      <c r="C29" s="70"/>
      <c r="D29" s="78">
        <f>+'Operating Report'!G139</f>
        <v>4095633.81</v>
      </c>
      <c r="E29" s="72"/>
      <c r="F29" s="73"/>
      <c r="G29" s="73">
        <f>+'Exh MPP-5 - Summary of Adj'!AA32</f>
        <v>307176.45845441258</v>
      </c>
      <c r="H29" s="72"/>
      <c r="I29" s="73"/>
      <c r="J29" s="74">
        <f t="shared" si="0"/>
        <v>4402810.2684544129</v>
      </c>
      <c r="K29" s="72"/>
      <c r="L29" s="73"/>
      <c r="M29" s="73"/>
      <c r="N29" s="73"/>
      <c r="O29" s="72"/>
      <c r="P29" s="75">
        <f t="shared" si="1"/>
        <v>4402810.2684544129</v>
      </c>
      <c r="Q29" s="72"/>
      <c r="R29" s="79"/>
    </row>
    <row r="30" spans="1:22">
      <c r="A30" s="42">
        <v>16</v>
      </c>
      <c r="B30" s="88" t="s">
        <v>40</v>
      </c>
      <c r="C30" s="70"/>
      <c r="D30" s="78">
        <f>+'Operating Report'!G148</f>
        <v>4154374.23</v>
      </c>
      <c r="E30" s="72"/>
      <c r="F30" s="73"/>
      <c r="G30" s="73">
        <f>+'Exh MPP-5 - Summary of Adj'!AA33</f>
        <v>1822275.1489591328</v>
      </c>
      <c r="H30" s="72"/>
      <c r="I30" s="73"/>
      <c r="J30" s="74">
        <f t="shared" si="0"/>
        <v>5976649.3789591324</v>
      </c>
      <c r="K30" s="72"/>
      <c r="L30" s="73"/>
      <c r="M30" s="73">
        <f>(+M16-M20-M23)*0.35</f>
        <v>1968470.8798279976</v>
      </c>
      <c r="N30" s="73"/>
      <c r="O30" s="72"/>
      <c r="P30" s="75">
        <f t="shared" si="1"/>
        <v>7945120.25878713</v>
      </c>
      <c r="Q30" s="72"/>
      <c r="R30" s="79"/>
    </row>
    <row r="31" spans="1:22" ht="16.5" thickBot="1">
      <c r="A31" s="42">
        <v>17</v>
      </c>
      <c r="B31" s="94" t="s">
        <v>41</v>
      </c>
      <c r="C31" s="52"/>
      <c r="D31" s="95">
        <f>SUM(D19:D30)</f>
        <v>188526000.04999998</v>
      </c>
      <c r="E31" s="72"/>
      <c r="F31" s="73"/>
      <c r="G31" s="96">
        <f>SUM(G19:G30)</f>
        <v>9462240.384419458</v>
      </c>
      <c r="H31" s="72"/>
      <c r="I31" s="73"/>
      <c r="J31" s="96">
        <f>SUM(J19:J30)</f>
        <v>197988240.43441945</v>
      </c>
      <c r="K31" s="72"/>
      <c r="L31" s="73"/>
      <c r="M31" s="96">
        <f>SUM(M19:M30)</f>
        <v>2229252.3812820846</v>
      </c>
      <c r="N31" s="97"/>
      <c r="O31" s="72"/>
      <c r="P31" s="98">
        <f>SUM(P19:P30)</f>
        <v>200217492.81570154</v>
      </c>
      <c r="Q31" s="72"/>
      <c r="R31" s="76"/>
    </row>
    <row r="32" spans="1:22" ht="17.25" thickTop="1" thickBot="1">
      <c r="A32" s="42">
        <v>18</v>
      </c>
      <c r="B32" s="94" t="s">
        <v>17</v>
      </c>
      <c r="C32" s="52"/>
      <c r="D32" s="95">
        <f>+D16-D31</f>
        <v>16604662.180000037</v>
      </c>
      <c r="E32" s="72"/>
      <c r="F32" s="73"/>
      <c r="G32" s="96">
        <f>+G16-G31</f>
        <v>2599004.1245405059</v>
      </c>
      <c r="H32" s="96"/>
      <c r="I32" s="73"/>
      <c r="J32" s="96">
        <f>+J16-J31</f>
        <v>19203666.304540515</v>
      </c>
      <c r="K32" s="72"/>
      <c r="L32" s="73"/>
      <c r="M32" s="96">
        <f>+M16-M31</f>
        <v>3655731.633966282</v>
      </c>
      <c r="N32" s="97"/>
      <c r="O32" s="72"/>
      <c r="P32" s="98">
        <f>+P16-P31</f>
        <v>22859397.938506782</v>
      </c>
      <c r="Q32" s="72"/>
      <c r="R32" s="76"/>
      <c r="T32" s="99"/>
    </row>
    <row r="33" spans="1:20" ht="16.5" thickTop="1">
      <c r="A33" s="42"/>
      <c r="B33" s="94"/>
      <c r="C33" s="52"/>
      <c r="D33" s="100"/>
      <c r="E33" s="72"/>
      <c r="F33" s="73"/>
      <c r="G33" s="97"/>
      <c r="H33" s="97"/>
      <c r="I33" s="73"/>
      <c r="J33" s="97"/>
      <c r="K33" s="72"/>
      <c r="L33" s="73"/>
      <c r="M33" s="97"/>
      <c r="N33" s="97"/>
      <c r="O33" s="72"/>
      <c r="P33" s="101"/>
      <c r="Q33" s="72"/>
      <c r="R33" s="76"/>
      <c r="T33" s="99"/>
    </row>
    <row r="34" spans="1:20">
      <c r="A34" s="42"/>
      <c r="B34" s="94" t="s">
        <v>42</v>
      </c>
      <c r="C34" s="70"/>
      <c r="D34" s="102"/>
      <c r="E34" s="72"/>
      <c r="F34" s="73"/>
      <c r="G34" s="73"/>
      <c r="H34" s="72"/>
      <c r="I34" s="73"/>
      <c r="J34" s="73"/>
      <c r="K34" s="72"/>
      <c r="L34" s="73"/>
      <c r="M34" s="73"/>
      <c r="N34" s="73"/>
      <c r="O34" s="72"/>
      <c r="P34" s="103"/>
      <c r="Q34" s="72"/>
      <c r="R34" s="89"/>
    </row>
    <row r="35" spans="1:20">
      <c r="A35" s="42">
        <v>19</v>
      </c>
      <c r="B35" s="69" t="s">
        <v>44</v>
      </c>
      <c r="C35" s="70"/>
      <c r="D35" s="71">
        <f>+'Rate Base'!D13</f>
        <v>677314165.18981874</v>
      </c>
      <c r="E35" s="72"/>
      <c r="F35" s="73"/>
      <c r="G35" s="73">
        <f>+'Exh MPP-5 - Summary of Adj'!AA38</f>
        <v>21095997.571410008</v>
      </c>
      <c r="H35" s="72"/>
      <c r="I35" s="73"/>
      <c r="J35" s="74">
        <f t="shared" ref="J35:J39" si="2">+D35+G35</f>
        <v>698410162.7612288</v>
      </c>
      <c r="K35" s="72"/>
      <c r="L35" s="73"/>
      <c r="M35" s="74"/>
      <c r="N35" s="74"/>
      <c r="O35" s="72"/>
      <c r="P35" s="75">
        <f t="shared" ref="P35:P39" si="3">+J35+M35</f>
        <v>698410162.7612288</v>
      </c>
      <c r="Q35" s="72"/>
      <c r="R35" s="76"/>
    </row>
    <row r="36" spans="1:20">
      <c r="A36" s="42">
        <v>20</v>
      </c>
      <c r="B36" s="69" t="s">
        <v>45</v>
      </c>
      <c r="C36" s="70"/>
      <c r="D36" s="78">
        <f>+'Rate Base'!D14</f>
        <v>-345424354.83661753</v>
      </c>
      <c r="E36" s="72"/>
      <c r="F36" s="73"/>
      <c r="G36" s="73">
        <f>+'Exh MPP-5 - Summary of Adj'!AA39</f>
        <v>-244432.01828796547</v>
      </c>
      <c r="H36" s="72"/>
      <c r="I36" s="73"/>
      <c r="J36" s="74">
        <f t="shared" si="2"/>
        <v>-345668786.85490549</v>
      </c>
      <c r="K36" s="72"/>
      <c r="L36" s="73"/>
      <c r="M36" s="74"/>
      <c r="N36" s="74"/>
      <c r="O36" s="72"/>
      <c r="P36" s="75">
        <f t="shared" si="3"/>
        <v>-345668786.85490549</v>
      </c>
      <c r="Q36" s="72"/>
      <c r="R36" s="79"/>
    </row>
    <row r="37" spans="1:20">
      <c r="A37" s="42">
        <v>21</v>
      </c>
      <c r="B37" s="80" t="s">
        <v>18</v>
      </c>
      <c r="C37" s="80"/>
      <c r="D37" s="78">
        <f>+'Rate Base'!D16</f>
        <v>-3771590.387083333</v>
      </c>
      <c r="E37" s="72"/>
      <c r="F37" s="73"/>
      <c r="G37" s="73">
        <f>+'Exh MPP-5 - Summary of Adj'!AA40</f>
        <v>0</v>
      </c>
      <c r="H37" s="72"/>
      <c r="I37" s="73"/>
      <c r="J37" s="74">
        <f t="shared" si="2"/>
        <v>-3771590.387083333</v>
      </c>
      <c r="K37" s="72"/>
      <c r="L37" s="73"/>
      <c r="M37" s="74"/>
      <c r="N37" s="74"/>
      <c r="O37" s="72"/>
      <c r="P37" s="75">
        <f t="shared" si="3"/>
        <v>-3771590.387083333</v>
      </c>
      <c r="Q37" s="72"/>
      <c r="R37" s="79"/>
    </row>
    <row r="38" spans="1:20">
      <c r="A38" s="42">
        <v>22</v>
      </c>
      <c r="B38" s="80" t="s">
        <v>46</v>
      </c>
      <c r="C38" s="70"/>
      <c r="D38" s="78">
        <f>+'Rate Base'!D17</f>
        <v>-73667038.139583334</v>
      </c>
      <c r="E38" s="72"/>
      <c r="F38" s="73"/>
      <c r="G38" s="73">
        <f>+'Exh MPP-5 - Summary of Adj'!AA41</f>
        <v>-52891.27766159024</v>
      </c>
      <c r="H38" s="72"/>
      <c r="I38" s="73"/>
      <c r="J38" s="74">
        <f t="shared" si="2"/>
        <v>-73719929.417244926</v>
      </c>
      <c r="K38" s="72"/>
      <c r="L38" s="73"/>
      <c r="M38" s="74"/>
      <c r="N38" s="74"/>
      <c r="O38" s="72"/>
      <c r="P38" s="75">
        <f t="shared" si="3"/>
        <v>-73719929.417244926</v>
      </c>
      <c r="Q38" s="72"/>
      <c r="R38" s="79"/>
    </row>
    <row r="39" spans="1:20">
      <c r="A39" s="42">
        <v>23</v>
      </c>
      <c r="B39" s="80" t="s">
        <v>47</v>
      </c>
      <c r="C39" s="70"/>
      <c r="D39" s="78">
        <f>+'Rate Base'!D18</f>
        <v>25610869.595646363</v>
      </c>
      <c r="E39" s="72"/>
      <c r="F39" s="73"/>
      <c r="G39" s="73">
        <f>+'Exh MPP-5 - Summary of Adj'!AA42</f>
        <v>0</v>
      </c>
      <c r="H39" s="72"/>
      <c r="I39" s="73"/>
      <c r="J39" s="74">
        <f t="shared" si="2"/>
        <v>25610869.595646363</v>
      </c>
      <c r="K39" s="72"/>
      <c r="L39" s="73"/>
      <c r="M39" s="74"/>
      <c r="N39" s="74"/>
      <c r="O39" s="72"/>
      <c r="P39" s="75">
        <f t="shared" si="3"/>
        <v>25610869.595646363</v>
      </c>
      <c r="Q39" s="72"/>
      <c r="R39" s="79"/>
    </row>
    <row r="40" spans="1:20" ht="16.5" thickBot="1">
      <c r="A40" s="42">
        <v>24</v>
      </c>
      <c r="B40" s="94" t="s">
        <v>43</v>
      </c>
      <c r="C40" s="42"/>
      <c r="D40" s="104">
        <f>SUM(D35:D39)</f>
        <v>280062051.42218089</v>
      </c>
      <c r="E40" s="72"/>
      <c r="F40" s="73"/>
      <c r="G40" s="104">
        <f>SUM(G35:G39)</f>
        <v>20798674.275460452</v>
      </c>
      <c r="H40" s="72"/>
      <c r="I40" s="73"/>
      <c r="J40" s="104">
        <f>SUM(J35:J39)</f>
        <v>300860725.69764143</v>
      </c>
      <c r="K40" s="72"/>
      <c r="L40" s="73"/>
      <c r="M40" s="104">
        <f>SUM(M35:M39)</f>
        <v>0</v>
      </c>
      <c r="N40" s="100"/>
      <c r="O40" s="72"/>
      <c r="P40" s="104">
        <f>SUM(P35:P39)</f>
        <v>300860725.69764143</v>
      </c>
      <c r="Q40" s="72"/>
      <c r="R40" s="76"/>
    </row>
    <row r="41" spans="1:20" ht="16.5" thickTop="1">
      <c r="A41" s="42">
        <v>25</v>
      </c>
      <c r="B41" s="94" t="s">
        <v>19</v>
      </c>
      <c r="C41" s="70"/>
      <c r="D41" s="105">
        <f>+D32/D40</f>
        <v>5.9289225711516548E-2</v>
      </c>
      <c r="E41" s="52"/>
      <c r="F41" s="42"/>
      <c r="G41" s="42"/>
      <c r="H41" s="52"/>
      <c r="I41" s="42"/>
      <c r="J41" s="106">
        <f>+J32/J40</f>
        <v>6.3829089888720755E-2</v>
      </c>
      <c r="K41" s="52"/>
      <c r="L41" s="42"/>
      <c r="M41" s="107"/>
      <c r="N41" s="107"/>
      <c r="O41" s="52"/>
      <c r="P41" s="108">
        <f>+P32/P40</f>
        <v>7.597999999999995E-2</v>
      </c>
      <c r="Q41" s="52"/>
      <c r="R41" s="42"/>
    </row>
    <row r="42" spans="1:20">
      <c r="A42" s="109"/>
      <c r="B42" s="110"/>
      <c r="C42" s="111"/>
      <c r="D42" s="112"/>
      <c r="E42" s="64"/>
      <c r="F42" s="65"/>
      <c r="G42" s="65"/>
      <c r="H42" s="64"/>
      <c r="I42" s="65"/>
      <c r="J42" s="113"/>
      <c r="K42" s="64"/>
      <c r="L42" s="65"/>
      <c r="M42" s="65"/>
      <c r="N42" s="65"/>
      <c r="O42" s="65"/>
      <c r="P42" s="114"/>
      <c r="Q42" s="115"/>
      <c r="R42" s="67"/>
    </row>
    <row r="43" spans="1:20">
      <c r="A43" s="43"/>
      <c r="B43" s="43"/>
      <c r="C43" s="43"/>
      <c r="D43" s="43"/>
      <c r="E43" s="43"/>
      <c r="F43" s="43"/>
      <c r="G43" s="43"/>
      <c r="H43" s="43"/>
      <c r="I43" s="43"/>
      <c r="J43" s="43"/>
      <c r="K43" s="43"/>
      <c r="L43" s="43"/>
      <c r="M43" s="43"/>
      <c r="N43" s="43"/>
      <c r="O43" s="43"/>
      <c r="P43" s="43"/>
      <c r="Q43" s="43"/>
      <c r="R43" s="43"/>
    </row>
    <row r="45" spans="1:20">
      <c r="M45" s="116"/>
    </row>
    <row r="47" spans="1:20">
      <c r="M47" s="91"/>
    </row>
  </sheetData>
  <mergeCells count="3">
    <mergeCell ref="A1:Q1"/>
    <mergeCell ref="A3:Q3"/>
    <mergeCell ref="A2:Q2"/>
  </mergeCells>
  <printOptions horizontalCentered="1"/>
  <pageMargins left="0.5" right="0.5" top="1" bottom="1" header="0.3" footer="0.3"/>
  <pageSetup scale="80" orientation="portrait" r:id="rId1"/>
  <headerFooter scaleWithDoc="0" alignWithMargins="0">
    <oddHeader>&amp;RDocket No. UG-17_____
Exhibit _____ (MPP-2)
Page 1 o f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3BB68-9B99-47CB-8051-7D2172C72593}">
  <sheetPr>
    <pageSetUpPr fitToPage="1"/>
  </sheetPr>
  <dimension ref="A1:U71"/>
  <sheetViews>
    <sheetView view="pageBreakPreview" zoomScaleNormal="75" zoomScaleSheetLayoutView="100" workbookViewId="0">
      <selection activeCell="A3" sqref="A3:H3"/>
    </sheetView>
  </sheetViews>
  <sheetFormatPr defaultColWidth="17.85546875" defaultRowHeight="12.75"/>
  <cols>
    <col min="1" max="1" width="7.85546875" style="1007" bestFit="1" customWidth="1"/>
    <col min="2" max="2" width="17.7109375" style="906" customWidth="1"/>
    <col min="3" max="3" width="11.28515625" style="906" bestFit="1" customWidth="1"/>
    <col min="4" max="4" width="8.7109375" style="906" customWidth="1"/>
    <col min="5" max="5" width="10.42578125" style="906" customWidth="1"/>
    <col min="6" max="6" width="22.42578125" style="906" customWidth="1"/>
    <col min="7" max="7" width="15.140625" style="906" customWidth="1"/>
    <col min="8" max="9" width="15.42578125" style="906" bestFit="1" customWidth="1"/>
    <col min="10" max="10" width="8.28515625" style="906" bestFit="1" customWidth="1"/>
    <col min="11" max="11" width="15.5703125" style="906" bestFit="1" customWidth="1"/>
    <col min="12" max="13" width="11.7109375" style="906" bestFit="1" customWidth="1"/>
    <col min="14" max="14" width="12.28515625" style="906" bestFit="1" customWidth="1"/>
    <col min="15" max="15" width="10.85546875" style="906" bestFit="1" customWidth="1"/>
    <col min="16" max="16" width="12" style="906" bestFit="1" customWidth="1"/>
    <col min="17" max="17" width="10.42578125" style="906" bestFit="1" customWidth="1"/>
    <col min="18" max="18" width="13.42578125" style="906" customWidth="1"/>
    <col min="19" max="19" width="15.140625" style="906" customWidth="1"/>
    <col min="20" max="20" width="26.5703125" style="906" customWidth="1"/>
    <col min="21" max="16384" width="17.85546875" style="906"/>
  </cols>
  <sheetData>
    <row r="1" spans="1:20" ht="15.75">
      <c r="H1" s="1025" t="s">
        <v>61</v>
      </c>
      <c r="I1" s="1025"/>
      <c r="J1" s="1025"/>
      <c r="K1" s="1025"/>
      <c r="L1" s="1025"/>
      <c r="M1" s="1025"/>
      <c r="N1" s="1025"/>
      <c r="O1" s="1025"/>
      <c r="P1" s="1025"/>
    </row>
    <row r="2" spans="1:20" ht="15.75">
      <c r="H2" s="1025" t="s">
        <v>1690</v>
      </c>
      <c r="I2" s="1025"/>
      <c r="J2" s="1025"/>
      <c r="K2" s="1025"/>
      <c r="L2" s="1025"/>
      <c r="M2" s="1025"/>
      <c r="N2" s="1025"/>
      <c r="O2" s="1025"/>
      <c r="P2" s="1025"/>
    </row>
    <row r="3" spans="1:20" ht="15.75">
      <c r="B3" s="985"/>
      <c r="H3" s="1025" t="s">
        <v>1702</v>
      </c>
      <c r="I3" s="1025"/>
      <c r="J3" s="1025"/>
      <c r="K3" s="1025"/>
      <c r="L3" s="1025"/>
      <c r="M3" s="1025"/>
      <c r="N3" s="1025"/>
      <c r="O3" s="1025"/>
      <c r="P3" s="1025"/>
    </row>
    <row r="4" spans="1:20" ht="15.75">
      <c r="H4" s="1025" t="s">
        <v>2160</v>
      </c>
      <c r="I4" s="1025"/>
      <c r="J4" s="1025"/>
      <c r="K4" s="1025"/>
      <c r="L4" s="1025"/>
      <c r="M4" s="1025"/>
      <c r="N4" s="1025"/>
      <c r="O4" s="1025"/>
      <c r="P4" s="1025"/>
    </row>
    <row r="5" spans="1:20" ht="15.75">
      <c r="B5" s="984"/>
      <c r="H5" s="1025" t="s">
        <v>985</v>
      </c>
      <c r="I5" s="1025"/>
      <c r="J5" s="1025"/>
      <c r="K5" s="1025"/>
      <c r="L5" s="1025"/>
      <c r="M5" s="1025"/>
      <c r="N5" s="1025"/>
      <c r="O5" s="1025"/>
      <c r="P5" s="1025"/>
    </row>
    <row r="6" spans="1:20" s="1007" customFormat="1" ht="15.75">
      <c r="B6" s="1008" t="s">
        <v>1731</v>
      </c>
      <c r="C6" s="1007" t="s">
        <v>1729</v>
      </c>
      <c r="D6" s="1007" t="s">
        <v>1730</v>
      </c>
      <c r="E6" s="1007" t="s">
        <v>1733</v>
      </c>
      <c r="F6" s="1007" t="s">
        <v>1734</v>
      </c>
      <c r="G6" s="1007" t="s">
        <v>1743</v>
      </c>
      <c r="H6" s="1009" t="s">
        <v>1744</v>
      </c>
      <c r="I6" s="1009" t="s">
        <v>1745</v>
      </c>
      <c r="J6" s="1009" t="s">
        <v>1746</v>
      </c>
      <c r="K6" s="1009" t="s">
        <v>1747</v>
      </c>
      <c r="L6" s="1009" t="s">
        <v>1748</v>
      </c>
      <c r="M6" s="1009" t="s">
        <v>1749</v>
      </c>
      <c r="N6" s="1009" t="s">
        <v>1750</v>
      </c>
      <c r="O6" s="1009" t="s">
        <v>1751</v>
      </c>
      <c r="P6" s="1009" t="s">
        <v>1752</v>
      </c>
      <c r="Q6" s="1007" t="s">
        <v>2026</v>
      </c>
      <c r="R6" s="1007" t="s">
        <v>2027</v>
      </c>
      <c r="S6" s="1007" t="s">
        <v>2028</v>
      </c>
      <c r="T6" s="1007" t="s">
        <v>2029</v>
      </c>
    </row>
    <row r="7" spans="1:20" ht="15.75" thickBot="1">
      <c r="B7" s="984" t="s">
        <v>2124</v>
      </c>
    </row>
    <row r="8" spans="1:20">
      <c r="A8" s="1007" t="s">
        <v>891</v>
      </c>
      <c r="B8" s="983"/>
      <c r="C8" s="982"/>
      <c r="D8" s="982"/>
      <c r="E8" s="981"/>
      <c r="F8" s="977"/>
      <c r="G8" s="977"/>
      <c r="H8" s="980"/>
      <c r="I8" s="980"/>
      <c r="J8" s="979"/>
      <c r="K8" s="978"/>
      <c r="L8" s="977"/>
      <c r="M8" s="977"/>
      <c r="N8" s="976"/>
      <c r="O8" s="978"/>
      <c r="P8" s="977"/>
      <c r="Q8" s="976"/>
      <c r="R8" s="978"/>
      <c r="S8" s="977"/>
      <c r="T8" s="976"/>
    </row>
    <row r="9" spans="1:20">
      <c r="A9" s="1007">
        <v>1</v>
      </c>
      <c r="B9" s="975" t="s">
        <v>61</v>
      </c>
      <c r="C9" s="971"/>
      <c r="D9" s="971"/>
      <c r="E9" s="970"/>
      <c r="F9" s="974" t="s">
        <v>61</v>
      </c>
      <c r="G9" s="965"/>
      <c r="H9" s="968"/>
      <c r="I9" s="968"/>
      <c r="J9" s="967"/>
      <c r="K9" s="973" t="s">
        <v>61</v>
      </c>
      <c r="L9" s="965"/>
      <c r="M9" s="965"/>
      <c r="N9" s="964"/>
      <c r="O9" s="973" t="s">
        <v>61</v>
      </c>
      <c r="P9" s="965"/>
      <c r="Q9" s="964"/>
      <c r="R9" s="973" t="s">
        <v>61</v>
      </c>
      <c r="S9" s="965"/>
      <c r="T9" s="964"/>
    </row>
    <row r="10" spans="1:20" ht="14.25">
      <c r="A10" s="1007">
        <v>2</v>
      </c>
      <c r="B10" s="975" t="s">
        <v>2123</v>
      </c>
      <c r="C10" s="971"/>
      <c r="D10" s="971"/>
      <c r="E10" s="970"/>
      <c r="F10" s="974" t="s">
        <v>2122</v>
      </c>
      <c r="G10" s="965"/>
      <c r="H10" s="968"/>
      <c r="I10" s="968"/>
      <c r="J10" s="967"/>
      <c r="K10" s="973" t="s">
        <v>2121</v>
      </c>
      <c r="L10" s="965"/>
      <c r="M10" s="965"/>
      <c r="N10" s="964"/>
      <c r="O10" s="973" t="s">
        <v>2120</v>
      </c>
      <c r="P10" s="965"/>
      <c r="Q10" s="964"/>
      <c r="R10" s="973" t="s">
        <v>123</v>
      </c>
      <c r="S10" s="965"/>
      <c r="T10" s="964"/>
    </row>
    <row r="11" spans="1:20">
      <c r="A11" s="1007">
        <v>3</v>
      </c>
      <c r="B11" s="972">
        <v>2015</v>
      </c>
      <c r="C11" s="971"/>
      <c r="D11" s="971"/>
      <c r="E11" s="970"/>
      <c r="F11" s="969">
        <f>+B11</f>
        <v>2015</v>
      </c>
      <c r="G11" s="965"/>
      <c r="H11" s="968"/>
      <c r="I11" s="968"/>
      <c r="J11" s="967"/>
      <c r="K11" s="966">
        <f>+B11</f>
        <v>2015</v>
      </c>
      <c r="L11" s="965"/>
      <c r="M11" s="965"/>
      <c r="N11" s="964"/>
      <c r="O11" s="966">
        <f>B11</f>
        <v>2015</v>
      </c>
      <c r="P11" s="965"/>
      <c r="Q11" s="964"/>
      <c r="R11" s="966">
        <f>B11</f>
        <v>2015</v>
      </c>
      <c r="S11" s="965"/>
      <c r="T11" s="964"/>
    </row>
    <row r="12" spans="1:20">
      <c r="B12" s="925"/>
      <c r="C12" s="924"/>
      <c r="D12" s="924"/>
      <c r="E12" s="923"/>
      <c r="F12" s="920"/>
      <c r="G12" s="920"/>
      <c r="H12" s="935"/>
      <c r="I12" s="935"/>
      <c r="J12" s="934"/>
      <c r="K12" s="921"/>
      <c r="L12" s="920"/>
      <c r="M12" s="920"/>
      <c r="N12" s="919"/>
      <c r="O12" s="921"/>
      <c r="P12" s="920"/>
      <c r="Q12" s="919"/>
      <c r="R12" s="921"/>
      <c r="S12" s="920"/>
      <c r="T12" s="919"/>
    </row>
    <row r="13" spans="1:20">
      <c r="A13" s="1007">
        <v>4</v>
      </c>
      <c r="B13" s="925"/>
      <c r="C13" s="924"/>
      <c r="D13" s="924"/>
      <c r="E13" s="923"/>
      <c r="F13" s="922" t="s">
        <v>2119</v>
      </c>
      <c r="G13" s="920"/>
      <c r="H13" s="960" t="s">
        <v>390</v>
      </c>
      <c r="I13" s="960" t="s">
        <v>1018</v>
      </c>
      <c r="J13" s="934"/>
      <c r="K13" s="921"/>
      <c r="L13" s="920"/>
      <c r="M13" s="920"/>
      <c r="N13" s="919"/>
      <c r="O13" s="921"/>
      <c r="P13" s="920"/>
      <c r="Q13" s="919"/>
      <c r="R13" s="921"/>
      <c r="S13" s="920"/>
      <c r="T13" s="919"/>
    </row>
    <row r="14" spans="1:20">
      <c r="A14" s="1007">
        <v>5</v>
      </c>
      <c r="B14" s="925"/>
      <c r="C14" s="963" t="s">
        <v>390</v>
      </c>
      <c r="D14" s="963" t="s">
        <v>1018</v>
      </c>
      <c r="E14" s="962" t="s">
        <v>59</v>
      </c>
      <c r="F14" s="920"/>
      <c r="G14" s="961"/>
      <c r="H14" s="960" t="s">
        <v>1189</v>
      </c>
      <c r="I14" s="960" t="s">
        <v>1189</v>
      </c>
      <c r="J14" s="934"/>
      <c r="K14" s="921"/>
      <c r="L14" s="920"/>
      <c r="M14" s="920"/>
      <c r="N14" s="919"/>
      <c r="O14" s="921"/>
      <c r="P14" s="955" t="s">
        <v>2118</v>
      </c>
      <c r="Q14" s="957"/>
      <c r="R14" s="942" t="s">
        <v>2117</v>
      </c>
      <c r="S14" s="920"/>
      <c r="T14" s="919"/>
    </row>
    <row r="15" spans="1:20">
      <c r="A15" s="1007">
        <v>6</v>
      </c>
      <c r="B15" s="925"/>
      <c r="C15" s="933"/>
      <c r="D15" s="933"/>
      <c r="E15" s="932"/>
      <c r="F15" s="920"/>
      <c r="G15" s="953" t="s">
        <v>2116</v>
      </c>
      <c r="H15" s="959" t="s">
        <v>2115</v>
      </c>
      <c r="I15" s="959" t="s">
        <v>2115</v>
      </c>
      <c r="J15" s="934"/>
      <c r="K15" s="921"/>
      <c r="L15" s="955" t="s">
        <v>390</v>
      </c>
      <c r="M15" s="955" t="s">
        <v>1018</v>
      </c>
      <c r="N15" s="957"/>
      <c r="O15" s="921"/>
      <c r="P15" s="953" t="s">
        <v>2114</v>
      </c>
      <c r="Q15" s="952" t="s">
        <v>2107</v>
      </c>
      <c r="R15" s="921"/>
      <c r="S15" s="920"/>
      <c r="T15" s="919"/>
    </row>
    <row r="16" spans="1:20">
      <c r="A16" s="1007">
        <v>7</v>
      </c>
      <c r="B16" s="939" t="s">
        <v>2113</v>
      </c>
      <c r="C16" s="937">
        <f>Q17</f>
        <v>0.74880000000000002</v>
      </c>
      <c r="D16" s="937">
        <f>E16-C16</f>
        <v>0.25119999999999998</v>
      </c>
      <c r="E16" s="936">
        <v>1</v>
      </c>
      <c r="F16" s="920"/>
      <c r="G16" s="927"/>
      <c r="H16" s="941"/>
      <c r="I16" s="941"/>
      <c r="J16" s="934"/>
      <c r="K16" s="921"/>
      <c r="L16" s="953" t="s">
        <v>2112</v>
      </c>
      <c r="M16" s="953" t="s">
        <v>2112</v>
      </c>
      <c r="N16" s="952" t="s">
        <v>59</v>
      </c>
      <c r="O16" s="921"/>
      <c r="P16" s="927"/>
      <c r="Q16" s="926"/>
      <c r="R16" s="921"/>
      <c r="S16" s="920"/>
      <c r="T16" s="919"/>
    </row>
    <row r="17" spans="1:21">
      <c r="A17" s="1007">
        <v>8</v>
      </c>
      <c r="B17" s="939" t="s">
        <v>2111</v>
      </c>
      <c r="C17" s="937">
        <f>H39</f>
        <v>0.73719999999999997</v>
      </c>
      <c r="D17" s="937">
        <f>E17-C17</f>
        <v>0.26280000000000003</v>
      </c>
      <c r="E17" s="936">
        <v>1</v>
      </c>
      <c r="F17" s="920"/>
      <c r="G17" s="944">
        <v>42004</v>
      </c>
      <c r="H17" s="948">
        <v>169</v>
      </c>
      <c r="I17" s="948">
        <v>55</v>
      </c>
      <c r="J17" s="934"/>
      <c r="K17" s="921"/>
      <c r="L17" s="927"/>
      <c r="M17" s="927"/>
      <c r="N17" s="926"/>
      <c r="O17" s="942" t="s">
        <v>390</v>
      </c>
      <c r="P17" s="948">
        <f>+P62</f>
        <v>204867.66666666666</v>
      </c>
      <c r="Q17" s="950">
        <f>ROUND(P17/P21,4)</f>
        <v>0.74880000000000002</v>
      </c>
      <c r="R17" s="921"/>
      <c r="S17" s="958">
        <f>R11</f>
        <v>2015</v>
      </c>
      <c r="T17" s="957"/>
    </row>
    <row r="18" spans="1:21">
      <c r="A18" s="1007">
        <v>9</v>
      </c>
      <c r="B18" s="939" t="s">
        <v>2110</v>
      </c>
      <c r="C18" s="946">
        <f>L25</f>
        <v>0.77239999999999998</v>
      </c>
      <c r="D18" s="946">
        <f>E18-C18</f>
        <v>0.22760000000000002</v>
      </c>
      <c r="E18" s="945">
        <v>1</v>
      </c>
      <c r="F18" s="920"/>
      <c r="G18" s="944">
        <f>G17+30</f>
        <v>42034</v>
      </c>
      <c r="H18" s="948">
        <v>169</v>
      </c>
      <c r="I18" s="948">
        <v>60</v>
      </c>
      <c r="J18" s="934"/>
      <c r="K18" s="942" t="s">
        <v>2109</v>
      </c>
      <c r="L18" s="907">
        <v>632616854</v>
      </c>
      <c r="M18" s="907">
        <v>186360173</v>
      </c>
      <c r="N18" s="956">
        <f>SUM(L18:M18)</f>
        <v>818977027</v>
      </c>
      <c r="O18" s="942" t="s">
        <v>1018</v>
      </c>
      <c r="P18" s="943">
        <f>+Q62</f>
        <v>68732.416666666672</v>
      </c>
      <c r="Q18" s="928">
        <f>Q21-Q17</f>
        <v>0.25119999999999998</v>
      </c>
      <c r="R18" s="921"/>
      <c r="S18" s="955" t="s">
        <v>2086</v>
      </c>
      <c r="T18" s="954" t="s">
        <v>974</v>
      </c>
    </row>
    <row r="19" spans="1:21">
      <c r="A19" s="1007">
        <v>10</v>
      </c>
      <c r="B19" s="925"/>
      <c r="C19" s="933"/>
      <c r="D19" s="933"/>
      <c r="E19" s="932"/>
      <c r="F19" s="920"/>
      <c r="G19" s="944">
        <f>G18+28</f>
        <v>42062</v>
      </c>
      <c r="H19" s="948">
        <v>168</v>
      </c>
      <c r="I19" s="948">
        <v>60</v>
      </c>
      <c r="J19" s="934"/>
      <c r="K19" s="921"/>
      <c r="L19" s="935"/>
      <c r="M19" s="935"/>
      <c r="N19" s="934"/>
      <c r="O19" s="921"/>
      <c r="P19" s="941"/>
      <c r="Q19" s="926"/>
      <c r="R19" s="921"/>
      <c r="S19" s="953" t="s">
        <v>42</v>
      </c>
      <c r="T19" s="952" t="s">
        <v>2108</v>
      </c>
    </row>
    <row r="20" spans="1:21">
      <c r="A20" s="1007">
        <v>11</v>
      </c>
      <c r="B20" s="925"/>
      <c r="C20" s="924"/>
      <c r="D20" s="924"/>
      <c r="E20" s="923"/>
      <c r="F20" s="920"/>
      <c r="G20" s="944">
        <f t="shared" ref="G20:G29" si="0">G19+30</f>
        <v>42092</v>
      </c>
      <c r="H20" s="948">
        <v>170</v>
      </c>
      <c r="I20" s="948">
        <v>57</v>
      </c>
      <c r="J20" s="934"/>
      <c r="K20" s="921"/>
      <c r="L20" s="941"/>
      <c r="M20" s="941"/>
      <c r="N20" s="951"/>
      <c r="O20" s="921"/>
      <c r="P20" s="935"/>
      <c r="Q20" s="919"/>
      <c r="R20" s="921"/>
      <c r="S20" s="941"/>
      <c r="T20" s="954"/>
    </row>
    <row r="21" spans="1:21">
      <c r="A21" s="1007">
        <v>12</v>
      </c>
      <c r="B21" s="988" t="s">
        <v>121</v>
      </c>
      <c r="C21" s="989">
        <f>AVERAGE(C16:C18)</f>
        <v>0.75280000000000002</v>
      </c>
      <c r="D21" s="989">
        <f>AVERAGE(D16:D18)</f>
        <v>0.2472</v>
      </c>
      <c r="E21" s="990">
        <f>AVERAGE(E16:E18)</f>
        <v>1</v>
      </c>
      <c r="F21" s="920"/>
      <c r="G21" s="944">
        <f t="shared" si="0"/>
        <v>42122</v>
      </c>
      <c r="H21" s="948">
        <v>173</v>
      </c>
      <c r="I21" s="948">
        <v>61</v>
      </c>
      <c r="J21" s="934"/>
      <c r="K21" s="921"/>
      <c r="L21" s="935"/>
      <c r="M21" s="935"/>
      <c r="N21" s="934"/>
      <c r="O21" s="942" t="s">
        <v>59</v>
      </c>
      <c r="P21" s="931">
        <f>SUM(P16:P19)</f>
        <v>273600.08333333331</v>
      </c>
      <c r="Q21" s="928">
        <v>1</v>
      </c>
      <c r="R21" s="942" t="s">
        <v>390</v>
      </c>
      <c r="S21" s="948">
        <v>239600696</v>
      </c>
      <c r="T21" s="954">
        <f>ROUND(S21/S25,4)</f>
        <v>0.76549999999999996</v>
      </c>
      <c r="U21" s="949"/>
    </row>
    <row r="22" spans="1:21">
      <c r="A22" s="1007">
        <v>13</v>
      </c>
      <c r="B22" s="925"/>
      <c r="C22" s="933"/>
      <c r="D22" s="933"/>
      <c r="E22" s="932"/>
      <c r="F22" s="920"/>
      <c r="G22" s="944">
        <f t="shared" si="0"/>
        <v>42152</v>
      </c>
      <c r="H22" s="948">
        <v>168</v>
      </c>
      <c r="I22" s="948">
        <v>61</v>
      </c>
      <c r="J22" s="934"/>
      <c r="K22" s="921"/>
      <c r="L22" s="927"/>
      <c r="M22" s="927"/>
      <c r="N22" s="926"/>
      <c r="O22" s="921"/>
      <c r="P22" s="941"/>
      <c r="Q22" s="926"/>
      <c r="R22" s="942" t="s">
        <v>1018</v>
      </c>
      <c r="S22" s="948">
        <v>73387620</v>
      </c>
      <c r="T22" s="952">
        <f>T25-T21</f>
        <v>0.23450000000000004</v>
      </c>
      <c r="U22" s="949"/>
    </row>
    <row r="23" spans="1:21">
      <c r="A23" s="1007">
        <v>14</v>
      </c>
      <c r="B23" s="925"/>
      <c r="C23" s="992"/>
      <c r="D23" s="924"/>
      <c r="E23" s="923"/>
      <c r="F23" s="920"/>
      <c r="G23" s="944">
        <f t="shared" si="0"/>
        <v>42182</v>
      </c>
      <c r="H23" s="948">
        <v>168</v>
      </c>
      <c r="I23" s="948">
        <v>61</v>
      </c>
      <c r="J23" s="934"/>
      <c r="K23" s="921"/>
      <c r="L23" s="920"/>
      <c r="M23" s="920"/>
      <c r="N23" s="919"/>
      <c r="O23" s="921"/>
      <c r="P23" s="920"/>
      <c r="Q23" s="919"/>
      <c r="R23" s="921"/>
      <c r="S23" s="941"/>
      <c r="T23" s="954"/>
    </row>
    <row r="24" spans="1:21">
      <c r="A24" s="1007">
        <v>15</v>
      </c>
      <c r="B24" s="925"/>
      <c r="C24" s="924"/>
      <c r="D24" s="924"/>
      <c r="E24" s="923"/>
      <c r="F24" s="920"/>
      <c r="G24" s="944">
        <f t="shared" si="0"/>
        <v>42212</v>
      </c>
      <c r="H24" s="948">
        <v>181</v>
      </c>
      <c r="I24" s="948">
        <v>64</v>
      </c>
      <c r="J24" s="934"/>
      <c r="K24" s="921"/>
      <c r="L24" s="920"/>
      <c r="M24" s="920"/>
      <c r="N24" s="919"/>
      <c r="O24" s="921"/>
      <c r="P24" s="920"/>
      <c r="Q24" s="919"/>
      <c r="R24" s="921"/>
      <c r="S24" s="935"/>
      <c r="T24" s="957"/>
    </row>
    <row r="25" spans="1:21">
      <c r="A25" s="1007">
        <v>16</v>
      </c>
      <c r="B25" s="925"/>
      <c r="C25" s="924"/>
      <c r="D25" s="924"/>
      <c r="E25" s="923"/>
      <c r="F25" s="920"/>
      <c r="G25" s="944">
        <f t="shared" si="0"/>
        <v>42242</v>
      </c>
      <c r="H25" s="948">
        <v>181</v>
      </c>
      <c r="I25" s="948">
        <v>65</v>
      </c>
      <c r="J25" s="934"/>
      <c r="K25" s="942" t="s">
        <v>2107</v>
      </c>
      <c r="L25" s="929">
        <f>ROUND(L18/N18,4)</f>
        <v>0.77239999999999998</v>
      </c>
      <c r="M25" s="929">
        <f>N25-L25</f>
        <v>0.22760000000000002</v>
      </c>
      <c r="N25" s="928">
        <v>1</v>
      </c>
      <c r="O25" s="921"/>
      <c r="P25" s="920"/>
      <c r="Q25" s="919"/>
      <c r="R25" s="921"/>
      <c r="S25" s="931">
        <f>SUM(S20:S23)</f>
        <v>312988316</v>
      </c>
      <c r="T25" s="952">
        <v>1</v>
      </c>
    </row>
    <row r="26" spans="1:21">
      <c r="A26" s="1007">
        <v>17</v>
      </c>
      <c r="B26" s="925"/>
      <c r="C26" s="924"/>
      <c r="D26" s="924"/>
      <c r="E26" s="923"/>
      <c r="F26" s="920"/>
      <c r="G26" s="944">
        <f t="shared" si="0"/>
        <v>42272</v>
      </c>
      <c r="H26" s="948">
        <v>181</v>
      </c>
      <c r="I26" s="948">
        <v>65</v>
      </c>
      <c r="J26" s="934"/>
      <c r="K26" s="921"/>
      <c r="L26" s="927"/>
      <c r="M26" s="927"/>
      <c r="N26" s="926"/>
      <c r="O26" s="921"/>
      <c r="P26" s="920"/>
      <c r="Q26" s="919"/>
      <c r="R26" s="921"/>
      <c r="S26" s="941"/>
      <c r="T26" s="926"/>
    </row>
    <row r="27" spans="1:21">
      <c r="A27" s="1007">
        <v>18</v>
      </c>
      <c r="B27" s="925"/>
      <c r="C27" s="924"/>
      <c r="D27" s="924"/>
      <c r="E27" s="923"/>
      <c r="F27" s="920"/>
      <c r="G27" s="944">
        <f t="shared" si="0"/>
        <v>42302</v>
      </c>
      <c r="H27" s="948">
        <v>178</v>
      </c>
      <c r="I27" s="948">
        <v>67</v>
      </c>
      <c r="J27" s="934"/>
      <c r="K27" s="921"/>
      <c r="L27" s="920"/>
      <c r="M27" s="920"/>
      <c r="N27" s="919"/>
      <c r="O27" s="921"/>
      <c r="P27" s="920"/>
      <c r="Q27" s="919"/>
      <c r="R27" s="921"/>
      <c r="S27" s="935"/>
      <c r="T27" s="919"/>
    </row>
    <row r="28" spans="1:21">
      <c r="A28" s="1007">
        <v>19</v>
      </c>
      <c r="B28" s="925"/>
      <c r="C28" s="924"/>
      <c r="D28" s="924"/>
      <c r="E28" s="923"/>
      <c r="F28" s="920"/>
      <c r="G28" s="944">
        <f t="shared" si="0"/>
        <v>42332</v>
      </c>
      <c r="H28" s="948">
        <v>176</v>
      </c>
      <c r="I28" s="948">
        <v>63</v>
      </c>
      <c r="J28" s="934"/>
      <c r="K28" s="921"/>
      <c r="L28" s="947"/>
      <c r="M28" s="947"/>
      <c r="N28" s="919"/>
      <c r="O28" s="921"/>
      <c r="P28" s="920"/>
      <c r="Q28" s="919"/>
      <c r="R28" s="921"/>
      <c r="S28" s="920"/>
      <c r="T28" s="919"/>
    </row>
    <row r="29" spans="1:21">
      <c r="A29" s="1007">
        <v>20</v>
      </c>
      <c r="B29" s="939" t="s">
        <v>123</v>
      </c>
      <c r="C29" s="946">
        <f>T21</f>
        <v>0.76549999999999996</v>
      </c>
      <c r="D29" s="946">
        <f>E29-C29</f>
        <v>0.23450000000000004</v>
      </c>
      <c r="E29" s="945">
        <v>1</v>
      </c>
      <c r="F29" s="920"/>
      <c r="G29" s="944">
        <f t="shared" si="0"/>
        <v>42362</v>
      </c>
      <c r="H29" s="943">
        <v>171</v>
      </c>
      <c r="I29" s="943">
        <v>62</v>
      </c>
      <c r="J29" s="934"/>
      <c r="K29" s="942"/>
      <c r="L29" s="920"/>
      <c r="M29" s="920"/>
      <c r="N29" s="919"/>
      <c r="O29" s="921"/>
      <c r="P29" s="920"/>
      <c r="Q29" s="919"/>
      <c r="R29" s="921"/>
      <c r="S29" s="920"/>
      <c r="T29" s="919"/>
    </row>
    <row r="30" spans="1:21">
      <c r="A30" s="1007">
        <v>21</v>
      </c>
      <c r="B30" s="925"/>
      <c r="C30" s="933"/>
      <c r="D30" s="933"/>
      <c r="E30" s="932"/>
      <c r="F30" s="920"/>
      <c r="G30" s="920"/>
      <c r="H30" s="941"/>
      <c r="I30" s="941" t="s">
        <v>57</v>
      </c>
      <c r="J30" s="934"/>
      <c r="K30" s="921"/>
      <c r="L30" s="920"/>
      <c r="M30" s="920"/>
      <c r="N30" s="919"/>
      <c r="O30" s="921"/>
      <c r="P30" s="920"/>
      <c r="Q30" s="919"/>
      <c r="R30" s="921"/>
      <c r="S30" s="920"/>
      <c r="T30" s="919"/>
    </row>
    <row r="31" spans="1:21">
      <c r="A31" s="1007">
        <v>22</v>
      </c>
      <c r="B31" s="925"/>
      <c r="C31" s="924"/>
      <c r="D31" s="924"/>
      <c r="E31" s="923"/>
      <c r="F31" s="920"/>
      <c r="G31" s="920"/>
      <c r="H31" s="935"/>
      <c r="I31" s="935"/>
      <c r="J31" s="934"/>
      <c r="K31" s="921"/>
      <c r="L31" s="920"/>
      <c r="M31" s="920"/>
      <c r="N31" s="919"/>
      <c r="O31" s="921"/>
      <c r="P31" s="920"/>
      <c r="Q31" s="919"/>
      <c r="R31" s="921"/>
      <c r="S31" s="920"/>
      <c r="T31" s="919"/>
    </row>
    <row r="32" spans="1:21">
      <c r="A32" s="1007">
        <v>23</v>
      </c>
      <c r="B32" s="925"/>
      <c r="C32" s="924"/>
      <c r="D32" s="924"/>
      <c r="E32" s="923"/>
      <c r="F32" s="920"/>
      <c r="G32" s="920"/>
      <c r="H32" s="940">
        <f>SUM(H16:H30)</f>
        <v>2253</v>
      </c>
      <c r="I32" s="940">
        <f>SUM(I16:I30)</f>
        <v>801</v>
      </c>
      <c r="J32" s="934"/>
      <c r="K32" s="921"/>
      <c r="L32" s="920"/>
      <c r="M32" s="920"/>
      <c r="N32" s="919"/>
      <c r="O32" s="921"/>
      <c r="P32" s="920"/>
      <c r="Q32" s="919"/>
      <c r="R32" s="921"/>
      <c r="S32" s="920"/>
      <c r="T32" s="919"/>
    </row>
    <row r="33" spans="1:20">
      <c r="A33" s="1007">
        <v>24</v>
      </c>
      <c r="B33" s="925"/>
      <c r="C33" s="924"/>
      <c r="D33" s="924"/>
      <c r="E33" s="923"/>
      <c r="F33" s="920"/>
      <c r="G33" s="920"/>
      <c r="H33" s="935" t="s">
        <v>57</v>
      </c>
      <c r="I33" s="935" t="s">
        <v>57</v>
      </c>
      <c r="J33" s="934"/>
      <c r="K33" s="921"/>
      <c r="L33" s="920"/>
      <c r="M33" s="920"/>
      <c r="N33" s="919"/>
      <c r="O33" s="921"/>
      <c r="P33" s="920"/>
      <c r="Q33" s="919"/>
      <c r="R33" s="921"/>
      <c r="S33" s="920"/>
      <c r="T33" s="919"/>
    </row>
    <row r="34" spans="1:20">
      <c r="A34" s="1007">
        <v>25</v>
      </c>
      <c r="B34" s="939"/>
      <c r="C34" s="938"/>
      <c r="D34" s="937"/>
      <c r="E34" s="936"/>
      <c r="F34" s="920"/>
      <c r="G34" s="920"/>
      <c r="H34" s="935"/>
      <c r="I34" s="935" t="s">
        <v>57</v>
      </c>
      <c r="J34" s="934"/>
      <c r="K34" s="921"/>
      <c r="L34" s="907"/>
      <c r="M34" s="920"/>
      <c r="N34" s="919"/>
      <c r="O34" s="921"/>
      <c r="P34" s="920"/>
      <c r="Q34" s="919"/>
      <c r="R34" s="921"/>
      <c r="S34" s="920"/>
      <c r="T34" s="919"/>
    </row>
    <row r="35" spans="1:20">
      <c r="A35" s="1007">
        <v>26</v>
      </c>
      <c r="B35" s="925"/>
      <c r="C35" s="933"/>
      <c r="D35" s="933"/>
      <c r="E35" s="932"/>
      <c r="F35" s="922" t="s">
        <v>2106</v>
      </c>
      <c r="G35" s="920"/>
      <c r="H35" s="931">
        <f>ROUND((SUM(H18:H28)*2+H17+H29)/24,2)</f>
        <v>173.58</v>
      </c>
      <c r="I35" s="931">
        <f>ROUND((SUM(I18:I28)*2+I17+I29)/24,2)</f>
        <v>61.88</v>
      </c>
      <c r="J35" s="930">
        <f>H35+I35</f>
        <v>235.46</v>
      </c>
      <c r="K35" s="921"/>
      <c r="L35" s="920"/>
      <c r="M35" s="920"/>
      <c r="N35" s="919"/>
      <c r="O35" s="921"/>
      <c r="P35" s="920"/>
      <c r="Q35" s="919"/>
      <c r="R35" s="921"/>
      <c r="S35" s="920"/>
      <c r="T35" s="919"/>
    </row>
    <row r="36" spans="1:20">
      <c r="A36" s="1007">
        <v>27</v>
      </c>
      <c r="B36" s="925"/>
      <c r="C36" s="924"/>
      <c r="D36" s="924"/>
      <c r="E36" s="923"/>
      <c r="F36" s="920"/>
      <c r="G36" s="920"/>
      <c r="H36" s="927"/>
      <c r="I36" s="927" t="s">
        <v>57</v>
      </c>
      <c r="J36" s="926"/>
      <c r="K36" s="921"/>
      <c r="L36" s="920"/>
      <c r="M36" s="920"/>
      <c r="N36" s="919"/>
      <c r="O36" s="921"/>
      <c r="P36" s="920"/>
      <c r="Q36" s="919"/>
      <c r="R36" s="921"/>
      <c r="S36" s="920"/>
      <c r="T36" s="919"/>
    </row>
    <row r="37" spans="1:20">
      <c r="A37" s="1007">
        <v>28</v>
      </c>
      <c r="B37" s="925"/>
      <c r="C37" s="924"/>
      <c r="D37" s="924"/>
      <c r="E37" s="923"/>
      <c r="F37" s="920"/>
      <c r="G37" s="920"/>
      <c r="H37" s="920"/>
      <c r="I37" s="920"/>
      <c r="J37" s="919"/>
      <c r="K37" s="921"/>
      <c r="L37" s="920"/>
      <c r="M37" s="920"/>
      <c r="N37" s="919"/>
      <c r="O37" s="921"/>
      <c r="P37" s="920"/>
      <c r="Q37" s="919"/>
      <c r="R37" s="921"/>
      <c r="S37" s="920"/>
      <c r="T37" s="919"/>
    </row>
    <row r="38" spans="1:20">
      <c r="A38" s="1007">
        <v>29</v>
      </c>
      <c r="B38" s="925"/>
      <c r="C38" s="924"/>
      <c r="D38" s="924"/>
      <c r="E38" s="923"/>
      <c r="F38" s="920"/>
      <c r="G38" s="920"/>
      <c r="H38" s="920"/>
      <c r="I38" s="920"/>
      <c r="J38" s="919"/>
      <c r="K38" s="921"/>
      <c r="L38" s="920"/>
      <c r="M38" s="920"/>
      <c r="N38" s="919"/>
      <c r="O38" s="921"/>
      <c r="P38" s="920"/>
      <c r="Q38" s="919"/>
      <c r="R38" s="921"/>
      <c r="S38" s="920"/>
      <c r="T38" s="919"/>
    </row>
    <row r="39" spans="1:20">
      <c r="A39" s="1007">
        <v>30</v>
      </c>
      <c r="B39" s="925"/>
      <c r="C39" s="924"/>
      <c r="D39" s="924"/>
      <c r="E39" s="923"/>
      <c r="F39" s="920"/>
      <c r="G39" s="922" t="s">
        <v>2105</v>
      </c>
      <c r="H39" s="929">
        <f>ROUND(H35/J35,4)</f>
        <v>0.73719999999999997</v>
      </c>
      <c r="I39" s="929">
        <f>J39-H39</f>
        <v>0.26280000000000003</v>
      </c>
      <c r="J39" s="928">
        <v>1</v>
      </c>
      <c r="K39" s="921"/>
      <c r="L39" s="920"/>
      <c r="M39" s="920"/>
      <c r="N39" s="919"/>
      <c r="O39" s="921"/>
      <c r="P39" s="920"/>
      <c r="Q39" s="919"/>
      <c r="R39" s="921"/>
      <c r="S39" s="920"/>
      <c r="T39" s="919"/>
    </row>
    <row r="40" spans="1:20">
      <c r="A40" s="1007">
        <v>31</v>
      </c>
      <c r="B40" s="925"/>
      <c r="C40" s="924"/>
      <c r="D40" s="924"/>
      <c r="E40" s="923"/>
      <c r="F40" s="920"/>
      <c r="G40" s="920"/>
      <c r="H40" s="927"/>
      <c r="I40" s="927"/>
      <c r="J40" s="926"/>
      <c r="K40" s="921"/>
      <c r="L40" s="920"/>
      <c r="M40" s="920"/>
      <c r="N40" s="919"/>
      <c r="O40" s="921"/>
      <c r="P40" s="920"/>
      <c r="Q40" s="919"/>
      <c r="R40" s="921"/>
      <c r="S40" s="920"/>
      <c r="T40" s="919"/>
    </row>
    <row r="41" spans="1:20">
      <c r="A41" s="1007">
        <v>32</v>
      </c>
      <c r="B41" s="925"/>
      <c r="C41" s="924"/>
      <c r="D41" s="924"/>
      <c r="E41" s="923"/>
      <c r="F41" s="920"/>
      <c r="G41" s="920"/>
      <c r="H41" s="920"/>
      <c r="I41" s="920"/>
      <c r="J41" s="919"/>
      <c r="K41" s="921"/>
      <c r="L41" s="920"/>
      <c r="M41" s="920"/>
      <c r="N41" s="919"/>
      <c r="O41" s="921"/>
      <c r="P41" s="920"/>
      <c r="Q41" s="919"/>
      <c r="R41" s="921"/>
      <c r="S41" s="920"/>
      <c r="T41" s="919"/>
    </row>
    <row r="42" spans="1:20">
      <c r="A42" s="1007">
        <v>33</v>
      </c>
      <c r="B42" s="925"/>
      <c r="C42" s="924"/>
      <c r="D42" s="924"/>
      <c r="E42" s="923"/>
      <c r="F42" s="920"/>
      <c r="G42" s="920"/>
      <c r="H42" s="920"/>
      <c r="I42" s="920"/>
      <c r="J42" s="919"/>
      <c r="K42" s="921"/>
      <c r="L42" s="920"/>
      <c r="M42" s="920"/>
      <c r="N42" s="919"/>
      <c r="O42" s="921"/>
      <c r="P42" s="920"/>
      <c r="Q42" s="919"/>
      <c r="R42" s="921"/>
      <c r="S42" s="920"/>
      <c r="T42" s="919"/>
    </row>
    <row r="43" spans="1:20">
      <c r="A43" s="1007">
        <v>34</v>
      </c>
      <c r="B43" s="925"/>
      <c r="C43" s="924"/>
      <c r="D43" s="924"/>
      <c r="E43" s="923"/>
      <c r="F43" s="922" t="s">
        <v>2104</v>
      </c>
      <c r="G43" s="920"/>
      <c r="H43" s="920"/>
      <c r="I43" s="920"/>
      <c r="J43" s="919"/>
      <c r="K43" s="921"/>
      <c r="L43" s="920"/>
      <c r="M43" s="920"/>
      <c r="N43" s="919"/>
      <c r="O43" s="921"/>
      <c r="P43" s="920"/>
      <c r="Q43" s="919"/>
      <c r="R43" s="921"/>
      <c r="S43" s="920"/>
      <c r="T43" s="919"/>
    </row>
    <row r="44" spans="1:20">
      <c r="A44" s="1007">
        <v>35</v>
      </c>
      <c r="B44" s="925"/>
      <c r="C44" s="924"/>
      <c r="D44" s="924"/>
      <c r="E44" s="923"/>
      <c r="F44" s="922"/>
      <c r="G44" s="920"/>
      <c r="H44" s="920"/>
      <c r="I44" s="920"/>
      <c r="J44" s="919"/>
      <c r="K44" s="921"/>
      <c r="L44" s="920"/>
      <c r="M44" s="920"/>
      <c r="N44" s="919"/>
      <c r="O44" s="921"/>
      <c r="P44" s="920"/>
      <c r="Q44" s="919"/>
      <c r="R44" s="921"/>
      <c r="S44" s="920"/>
      <c r="T44" s="919"/>
    </row>
    <row r="45" spans="1:20" ht="13.5" thickBot="1">
      <c r="A45" s="1007">
        <v>36</v>
      </c>
      <c r="B45" s="918"/>
      <c r="C45" s="917"/>
      <c r="D45" s="917"/>
      <c r="E45" s="916"/>
      <c r="F45" s="915"/>
      <c r="G45" s="913"/>
      <c r="H45" s="913"/>
      <c r="I45" s="913"/>
      <c r="J45" s="912"/>
      <c r="K45" s="914"/>
      <c r="L45" s="913"/>
      <c r="M45" s="913"/>
      <c r="N45" s="912"/>
      <c r="O45" s="914"/>
      <c r="P45" s="913"/>
      <c r="Q45" s="912"/>
      <c r="R45" s="914"/>
      <c r="S45" s="913"/>
      <c r="T45" s="912"/>
    </row>
    <row r="46" spans="1:20">
      <c r="A46" s="1007">
        <v>37</v>
      </c>
      <c r="F46" s="907"/>
      <c r="G46" s="907"/>
      <c r="H46" s="907"/>
      <c r="I46" s="907"/>
      <c r="J46" s="907"/>
      <c r="K46" s="907"/>
      <c r="L46" s="907"/>
      <c r="M46" s="907"/>
      <c r="N46" s="907"/>
      <c r="O46" s="907"/>
      <c r="P46" s="907"/>
      <c r="Q46" s="907"/>
      <c r="R46" s="907"/>
      <c r="S46" s="907"/>
      <c r="T46" s="907"/>
    </row>
    <row r="47" spans="1:20">
      <c r="A47" s="1007">
        <v>38</v>
      </c>
      <c r="F47" s="907"/>
      <c r="G47" s="907"/>
      <c r="H47" s="907"/>
      <c r="I47" s="907"/>
      <c r="J47" s="907"/>
      <c r="K47" s="907"/>
      <c r="L47" s="907"/>
      <c r="M47" s="907"/>
      <c r="N47" s="907"/>
      <c r="O47" s="907"/>
      <c r="P47" s="907"/>
      <c r="Q47" s="907"/>
      <c r="R47" s="907"/>
      <c r="S47" s="907"/>
      <c r="T47" s="907"/>
    </row>
    <row r="48" spans="1:20" ht="14.25">
      <c r="A48" s="1007">
        <v>39</v>
      </c>
      <c r="B48" s="906" t="s">
        <v>2103</v>
      </c>
      <c r="F48" s="907"/>
      <c r="G48" s="907"/>
      <c r="H48" s="907"/>
      <c r="I48" s="907"/>
      <c r="J48" s="907"/>
      <c r="K48" s="907"/>
      <c r="L48" s="907"/>
      <c r="M48" s="907"/>
      <c r="N48" s="907"/>
      <c r="O48" s="907"/>
      <c r="P48" s="907"/>
      <c r="Q48" s="907"/>
      <c r="R48" s="907"/>
      <c r="S48" s="907"/>
      <c r="T48" s="907"/>
    </row>
    <row r="49" spans="1:20" ht="14.25">
      <c r="A49" s="1007">
        <v>40</v>
      </c>
      <c r="B49" s="906" t="s">
        <v>2102</v>
      </c>
      <c r="F49" s="907"/>
      <c r="G49" s="907"/>
      <c r="H49" s="907"/>
      <c r="I49" s="907"/>
      <c r="J49" s="907"/>
      <c r="K49" s="907"/>
      <c r="L49" s="907"/>
      <c r="M49" s="907"/>
      <c r="N49" s="907"/>
      <c r="O49" s="911">
        <v>2015</v>
      </c>
      <c r="P49" s="909" t="s">
        <v>2101</v>
      </c>
      <c r="Q49" s="909" t="s">
        <v>2100</v>
      </c>
      <c r="R49" s="909" t="s">
        <v>59</v>
      </c>
      <c r="S49" s="907"/>
      <c r="T49" s="907"/>
    </row>
    <row r="50" spans="1:20" ht="14.25">
      <c r="A50" s="1007">
        <v>41</v>
      </c>
      <c r="B50" s="906" t="s">
        <v>2099</v>
      </c>
      <c r="F50" s="907"/>
      <c r="G50" s="907"/>
      <c r="H50" s="907"/>
      <c r="I50" s="907"/>
      <c r="J50" s="907"/>
      <c r="K50" s="907"/>
      <c r="L50" s="907"/>
      <c r="M50" s="910"/>
      <c r="N50" s="910"/>
      <c r="O50" s="907" t="s">
        <v>2098</v>
      </c>
      <c r="P50" s="907">
        <v>204762</v>
      </c>
      <c r="Q50" s="907">
        <v>68437</v>
      </c>
      <c r="R50" s="907">
        <f t="shared" ref="R50:R61" si="1">SUM(P50:Q50)</f>
        <v>273199</v>
      </c>
      <c r="S50" s="907" t="s">
        <v>57</v>
      </c>
      <c r="T50" s="907"/>
    </row>
    <row r="51" spans="1:20">
      <c r="F51" s="907"/>
      <c r="G51" s="907"/>
      <c r="H51" s="907"/>
      <c r="I51" s="907"/>
      <c r="J51" s="907"/>
      <c r="K51" s="907"/>
      <c r="L51" s="907"/>
      <c r="M51" s="910"/>
      <c r="N51" s="910"/>
      <c r="O51" s="907" t="s">
        <v>2097</v>
      </c>
      <c r="P51" s="907">
        <v>204932</v>
      </c>
      <c r="Q51" s="907">
        <v>68540</v>
      </c>
      <c r="R51" s="907">
        <f t="shared" si="1"/>
        <v>273472</v>
      </c>
      <c r="S51" s="907"/>
      <c r="T51" s="907"/>
    </row>
    <row r="52" spans="1:20">
      <c r="F52" s="907"/>
      <c r="G52" s="907"/>
      <c r="H52" s="907"/>
      <c r="I52" s="907"/>
      <c r="J52" s="907"/>
      <c r="K52" s="907"/>
      <c r="L52" s="907"/>
      <c r="M52" s="910"/>
      <c r="N52" s="910"/>
      <c r="O52" s="907" t="s">
        <v>2096</v>
      </c>
      <c r="P52" s="907">
        <v>204772</v>
      </c>
      <c r="Q52" s="907">
        <v>68528</v>
      </c>
      <c r="R52" s="907">
        <f t="shared" si="1"/>
        <v>273300</v>
      </c>
      <c r="S52" s="907"/>
      <c r="T52" s="907"/>
    </row>
    <row r="53" spans="1:20">
      <c r="F53" s="907"/>
      <c r="G53" s="907"/>
      <c r="H53" s="907"/>
      <c r="I53" s="907"/>
      <c r="J53" s="907"/>
      <c r="K53" s="907"/>
      <c r="L53" s="907"/>
      <c r="M53" s="910"/>
      <c r="N53" s="910"/>
      <c r="O53" s="907" t="s">
        <v>2095</v>
      </c>
      <c r="P53" s="907">
        <v>204497</v>
      </c>
      <c r="Q53" s="907">
        <v>68558</v>
      </c>
      <c r="R53" s="907">
        <f t="shared" si="1"/>
        <v>273055</v>
      </c>
      <c r="S53" s="907"/>
      <c r="T53" s="907"/>
    </row>
    <row r="54" spans="1:20">
      <c r="F54" s="907"/>
      <c r="G54" s="907"/>
      <c r="H54" s="907"/>
      <c r="I54" s="907"/>
      <c r="J54" s="907"/>
      <c r="K54" s="907"/>
      <c r="L54" s="907"/>
      <c r="M54" s="910"/>
      <c r="N54" s="910"/>
      <c r="O54" s="907" t="s">
        <v>2094</v>
      </c>
      <c r="P54" s="907">
        <v>204302</v>
      </c>
      <c r="Q54" s="907">
        <v>68522</v>
      </c>
      <c r="R54" s="907">
        <f t="shared" si="1"/>
        <v>272824</v>
      </c>
      <c r="S54" s="907"/>
      <c r="T54" s="907"/>
    </row>
    <row r="55" spans="1:20">
      <c r="F55" s="907"/>
      <c r="G55" s="907"/>
      <c r="H55" s="907"/>
      <c r="I55" s="907"/>
      <c r="J55" s="907"/>
      <c r="K55" s="907"/>
      <c r="L55" s="907"/>
      <c r="M55" s="910"/>
      <c r="N55" s="910"/>
      <c r="O55" s="907" t="s">
        <v>2093</v>
      </c>
      <c r="P55" s="907">
        <v>203865</v>
      </c>
      <c r="Q55" s="907">
        <v>68384</v>
      </c>
      <c r="R55" s="907">
        <f t="shared" si="1"/>
        <v>272249</v>
      </c>
      <c r="S55" s="907"/>
      <c r="T55" s="907"/>
    </row>
    <row r="56" spans="1:20">
      <c r="F56" s="907"/>
      <c r="G56" s="907"/>
      <c r="H56" s="907"/>
      <c r="I56" s="907"/>
      <c r="J56" s="907"/>
      <c r="K56" s="907"/>
      <c r="L56" s="907"/>
      <c r="M56" s="910"/>
      <c r="N56" s="910"/>
      <c r="O56" s="907" t="s">
        <v>2092</v>
      </c>
      <c r="P56" s="907">
        <v>203684</v>
      </c>
      <c r="Q56" s="907">
        <v>68317</v>
      </c>
      <c r="R56" s="907">
        <f t="shared" si="1"/>
        <v>272001</v>
      </c>
      <c r="S56" s="907"/>
      <c r="T56" s="907"/>
    </row>
    <row r="57" spans="1:20">
      <c r="F57" s="907"/>
      <c r="G57" s="907"/>
      <c r="H57" s="907"/>
      <c r="I57" s="907"/>
      <c r="J57" s="907"/>
      <c r="K57" s="907"/>
      <c r="L57" s="907"/>
      <c r="M57" s="910"/>
      <c r="N57" s="910"/>
      <c r="O57" s="907" t="s">
        <v>2091</v>
      </c>
      <c r="P57" s="907">
        <v>203821</v>
      </c>
      <c r="Q57" s="907">
        <v>68375</v>
      </c>
      <c r="R57" s="907">
        <f t="shared" si="1"/>
        <v>272196</v>
      </c>
      <c r="S57" s="907"/>
      <c r="T57" s="907"/>
    </row>
    <row r="58" spans="1:20">
      <c r="F58" s="907"/>
      <c r="G58" s="907"/>
      <c r="H58" s="907"/>
      <c r="I58" s="907"/>
      <c r="J58" s="907"/>
      <c r="K58" s="907"/>
      <c r="L58" s="907"/>
      <c r="M58" s="910"/>
      <c r="N58" s="910"/>
      <c r="O58" s="907" t="s">
        <v>2090</v>
      </c>
      <c r="P58" s="907">
        <v>204398</v>
      </c>
      <c r="Q58" s="907">
        <v>68614</v>
      </c>
      <c r="R58" s="907">
        <f t="shared" si="1"/>
        <v>273012</v>
      </c>
      <c r="S58" s="907"/>
      <c r="T58" s="907"/>
    </row>
    <row r="59" spans="1:20">
      <c r="F59" s="907"/>
      <c r="G59" s="907"/>
      <c r="H59" s="907"/>
      <c r="I59" s="907"/>
      <c r="J59" s="907"/>
      <c r="K59" s="907"/>
      <c r="L59" s="907"/>
      <c r="M59" s="910"/>
      <c r="N59" s="910"/>
      <c r="O59" s="907" t="s">
        <v>2089</v>
      </c>
      <c r="P59" s="907">
        <v>205350</v>
      </c>
      <c r="Q59" s="907">
        <v>69045</v>
      </c>
      <c r="R59" s="907">
        <f t="shared" si="1"/>
        <v>274395</v>
      </c>
      <c r="S59" s="907"/>
      <c r="T59" s="907"/>
    </row>
    <row r="60" spans="1:20">
      <c r="F60" s="907"/>
      <c r="G60" s="907"/>
      <c r="H60" s="907"/>
      <c r="I60" s="907"/>
      <c r="J60" s="907"/>
      <c r="K60" s="907"/>
      <c r="L60" s="907"/>
      <c r="M60" s="910"/>
      <c r="N60" s="910"/>
      <c r="O60" s="907" t="s">
        <v>2088</v>
      </c>
      <c r="P60" s="907">
        <v>206666</v>
      </c>
      <c r="Q60" s="907">
        <v>69601</v>
      </c>
      <c r="R60" s="907">
        <f t="shared" si="1"/>
        <v>276267</v>
      </c>
      <c r="S60" s="907"/>
      <c r="T60" s="907"/>
    </row>
    <row r="61" spans="1:20">
      <c r="F61" s="907"/>
      <c r="G61" s="907"/>
      <c r="H61" s="907"/>
      <c r="I61" s="907"/>
      <c r="J61" s="907"/>
      <c r="K61" s="907"/>
      <c r="L61" s="907"/>
      <c r="M61" s="910"/>
      <c r="N61" s="910"/>
      <c r="O61" s="907" t="s">
        <v>2087</v>
      </c>
      <c r="P61" s="909">
        <v>207363</v>
      </c>
      <c r="Q61" s="909">
        <v>69868</v>
      </c>
      <c r="R61" s="907">
        <f t="shared" si="1"/>
        <v>277231</v>
      </c>
      <c r="S61" s="907"/>
      <c r="T61" s="907"/>
    </row>
    <row r="62" spans="1:20">
      <c r="F62" s="907"/>
      <c r="G62" s="907"/>
      <c r="H62" s="907"/>
      <c r="I62" s="907"/>
      <c r="J62" s="907"/>
      <c r="K62" s="907"/>
      <c r="L62" s="907"/>
      <c r="M62" s="907"/>
      <c r="N62" s="907"/>
      <c r="O62" s="907" t="s">
        <v>2086</v>
      </c>
      <c r="P62" s="907">
        <f>AVERAGE(P50:P61)</f>
        <v>204867.66666666666</v>
      </c>
      <c r="Q62" s="907">
        <f>AVERAGE(Q50:Q61)</f>
        <v>68732.416666666672</v>
      </c>
      <c r="R62" s="907"/>
      <c r="S62" s="907"/>
      <c r="T62" s="907"/>
    </row>
    <row r="63" spans="1:20">
      <c r="F63" s="907"/>
      <c r="G63" s="907"/>
      <c r="H63" s="907"/>
      <c r="I63" s="907"/>
      <c r="J63" s="907"/>
      <c r="K63" s="907"/>
      <c r="L63" s="907"/>
      <c r="M63" s="907"/>
      <c r="N63" s="907"/>
      <c r="O63" s="907"/>
      <c r="P63" s="908"/>
      <c r="Q63" s="908"/>
      <c r="R63" s="907"/>
      <c r="S63" s="907"/>
      <c r="T63" s="907"/>
    </row>
    <row r="64" spans="1:20">
      <c r="F64" s="907"/>
      <c r="G64" s="907"/>
      <c r="H64" s="907"/>
      <c r="I64" s="907"/>
      <c r="J64" s="907"/>
      <c r="K64" s="907"/>
      <c r="L64" s="907"/>
      <c r="M64" s="907"/>
      <c r="N64" s="907"/>
      <c r="O64" s="907"/>
      <c r="P64" s="907"/>
      <c r="Q64" s="907"/>
      <c r="R64" s="907"/>
      <c r="S64" s="907"/>
      <c r="T64" s="907"/>
    </row>
    <row r="65" spans="6:20">
      <c r="F65" s="907"/>
      <c r="G65" s="907"/>
      <c r="H65" s="907"/>
      <c r="I65" s="907"/>
      <c r="J65" s="907"/>
      <c r="K65" s="907"/>
      <c r="L65" s="907"/>
      <c r="M65" s="907"/>
      <c r="N65" s="907"/>
      <c r="O65" s="907"/>
      <c r="P65" s="907"/>
      <c r="Q65" s="907"/>
      <c r="R65" s="907"/>
      <c r="S65" s="907"/>
      <c r="T65" s="907"/>
    </row>
    <row r="66" spans="6:20">
      <c r="F66" s="907"/>
      <c r="G66" s="907"/>
      <c r="H66" s="907"/>
      <c r="I66" s="907"/>
      <c r="J66" s="907"/>
      <c r="K66" s="907"/>
      <c r="L66" s="907"/>
      <c r="M66" s="907"/>
      <c r="N66" s="907"/>
      <c r="O66" s="907"/>
      <c r="P66" s="907"/>
      <c r="Q66" s="907"/>
      <c r="R66" s="907"/>
      <c r="S66" s="907"/>
      <c r="T66" s="907"/>
    </row>
    <row r="67" spans="6:20">
      <c r="F67" s="907"/>
      <c r="G67" s="907"/>
      <c r="H67" s="907"/>
      <c r="I67" s="907"/>
      <c r="J67" s="907"/>
      <c r="K67" s="907"/>
      <c r="L67" s="907"/>
      <c r="M67" s="907"/>
      <c r="N67" s="907"/>
      <c r="O67" s="907"/>
      <c r="P67" s="907"/>
      <c r="Q67" s="907"/>
      <c r="R67" s="907"/>
      <c r="S67" s="907"/>
      <c r="T67" s="907"/>
    </row>
    <row r="68" spans="6:20">
      <c r="F68" s="907"/>
      <c r="G68" s="907"/>
      <c r="H68" s="907"/>
      <c r="I68" s="907"/>
      <c r="J68" s="907"/>
      <c r="K68" s="907"/>
      <c r="L68" s="907"/>
      <c r="M68" s="907"/>
      <c r="N68" s="907"/>
      <c r="O68" s="907"/>
      <c r="P68" s="907"/>
      <c r="Q68" s="907"/>
      <c r="R68" s="907"/>
      <c r="S68" s="907"/>
      <c r="T68" s="907"/>
    </row>
    <row r="69" spans="6:20">
      <c r="F69" s="907"/>
      <c r="G69" s="907"/>
      <c r="H69" s="907"/>
      <c r="I69" s="907"/>
      <c r="J69" s="907"/>
      <c r="K69" s="907"/>
      <c r="L69" s="907"/>
      <c r="M69" s="907"/>
      <c r="N69" s="907"/>
      <c r="O69" s="907"/>
      <c r="P69" s="907"/>
      <c r="Q69" s="907"/>
      <c r="R69" s="907"/>
      <c r="S69" s="907"/>
      <c r="T69" s="907"/>
    </row>
    <row r="70" spans="6:20">
      <c r="F70" s="907"/>
      <c r="G70" s="907"/>
      <c r="H70" s="907"/>
      <c r="I70" s="907"/>
      <c r="J70" s="907"/>
      <c r="K70" s="907"/>
      <c r="L70" s="907"/>
      <c r="M70" s="907"/>
      <c r="N70" s="907"/>
      <c r="O70" s="907"/>
      <c r="P70" s="907"/>
      <c r="Q70" s="907"/>
      <c r="R70" s="907"/>
      <c r="S70" s="907"/>
      <c r="T70" s="907"/>
    </row>
    <row r="71" spans="6:20">
      <c r="F71" s="907"/>
      <c r="G71" s="907"/>
      <c r="H71" s="907"/>
      <c r="I71" s="907"/>
      <c r="J71" s="907"/>
      <c r="K71" s="907"/>
      <c r="L71" s="907"/>
      <c r="M71" s="907"/>
      <c r="N71" s="907"/>
      <c r="O71" s="907"/>
      <c r="P71" s="907"/>
      <c r="Q71" s="907"/>
      <c r="R71" s="907"/>
      <c r="S71" s="907"/>
      <c r="T71" s="907"/>
    </row>
  </sheetData>
  <mergeCells count="5">
    <mergeCell ref="H1:P1"/>
    <mergeCell ref="H2:P2"/>
    <mergeCell ref="H3:P3"/>
    <mergeCell ref="H4:P4"/>
    <mergeCell ref="H5:P5"/>
  </mergeCells>
  <printOptions horizontalCentered="1"/>
  <pageMargins left="0.31" right="0.3" top="1" bottom="1" header="0.5" footer="0.5"/>
  <pageSetup scale="46" orientation="landscape" r:id="rId1"/>
  <headerFooter scaleWithDoc="0" alignWithMargins="0">
    <oddHeader>&amp;RPage &amp;P of &amp;N</oddHeader>
    <oddFooter>&amp;LElectronic Tab Name: &amp;A</oddFooter>
  </headerFooter>
  <rowBreaks count="1" manualBreakCount="1">
    <brk id="45" max="19" man="1"/>
  </rowBreaks>
  <colBreaks count="4" manualBreakCount="4">
    <brk id="5" max="1048575" man="1"/>
    <brk id="10" max="1048575" man="1"/>
    <brk id="14" max="1048575" man="1"/>
    <brk id="17"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36"/>
  <sheetViews>
    <sheetView workbookViewId="0">
      <selection activeCell="A3" sqref="A3:H3"/>
    </sheetView>
  </sheetViews>
  <sheetFormatPr defaultRowHeight="15.75"/>
  <cols>
    <col min="1" max="16384" width="9.140625" style="6"/>
  </cols>
  <sheetData>
    <row r="1" spans="1:10">
      <c r="A1" s="1025" t="s">
        <v>61</v>
      </c>
      <c r="B1" s="1025"/>
      <c r="C1" s="1025"/>
      <c r="D1" s="1025"/>
      <c r="E1" s="1025"/>
      <c r="F1" s="1025"/>
      <c r="G1" s="1025"/>
      <c r="H1" s="1025"/>
      <c r="I1" s="1025"/>
    </row>
    <row r="2" spans="1:10">
      <c r="A2" s="1025" t="s">
        <v>1690</v>
      </c>
      <c r="B2" s="1025"/>
      <c r="C2" s="1025"/>
      <c r="D2" s="1025"/>
      <c r="E2" s="1025"/>
      <c r="F2" s="1025"/>
      <c r="G2" s="1025"/>
      <c r="H2" s="1025"/>
      <c r="I2" s="1025"/>
    </row>
    <row r="3" spans="1:10">
      <c r="A3" s="1025" t="s">
        <v>1693</v>
      </c>
      <c r="B3" s="1025"/>
      <c r="C3" s="1025"/>
      <c r="D3" s="1025"/>
      <c r="E3" s="1025"/>
      <c r="F3" s="1025"/>
      <c r="G3" s="1025"/>
      <c r="H3" s="1025"/>
      <c r="I3" s="1025"/>
    </row>
    <row r="4" spans="1:10">
      <c r="A4" s="1025"/>
      <c r="B4" s="1025"/>
      <c r="C4" s="1025"/>
      <c r="D4" s="1025"/>
      <c r="E4" s="1025"/>
      <c r="F4" s="1025"/>
      <c r="G4" s="1025"/>
      <c r="H4" s="1025"/>
      <c r="I4" s="1025"/>
    </row>
    <row r="5" spans="1:10">
      <c r="A5" s="1025"/>
      <c r="B5" s="1025"/>
      <c r="C5" s="1025"/>
      <c r="D5" s="1025"/>
      <c r="E5" s="1025"/>
      <c r="F5" s="1025"/>
      <c r="G5" s="1025"/>
      <c r="H5" s="1025"/>
      <c r="I5" s="1025"/>
    </row>
    <row r="10" spans="1:10">
      <c r="G10" s="19"/>
    </row>
    <row r="13" spans="1:10">
      <c r="A13" s="1032" t="s">
        <v>1712</v>
      </c>
      <c r="B13" s="1032"/>
      <c r="C13" s="1032"/>
      <c r="D13" s="1032"/>
      <c r="E13" s="1032"/>
      <c r="F13" s="1032"/>
      <c r="G13" s="1032"/>
      <c r="H13" s="1032"/>
      <c r="I13" s="1032"/>
      <c r="J13" s="1032"/>
    </row>
    <row r="36" spans="4:4">
      <c r="D36" s="30"/>
    </row>
  </sheetData>
  <mergeCells count="6">
    <mergeCell ref="A13:J13"/>
    <mergeCell ref="A1:I1"/>
    <mergeCell ref="A2:I2"/>
    <mergeCell ref="A3:I3"/>
    <mergeCell ref="A4:I4"/>
    <mergeCell ref="A5:I5"/>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K47"/>
  <sheetViews>
    <sheetView view="pageBreakPreview" topLeftCell="A4" zoomScale="80" zoomScaleNormal="100" zoomScaleSheetLayoutView="80" workbookViewId="0">
      <selection activeCell="A3" sqref="A3:H3"/>
    </sheetView>
  </sheetViews>
  <sheetFormatPr defaultRowHeight="15.75"/>
  <cols>
    <col min="1" max="1" width="9.28515625" style="6" bestFit="1" customWidth="1"/>
    <col min="2" max="2" width="32.85546875" style="6" customWidth="1"/>
    <col min="3" max="3" width="2.42578125" style="6" customWidth="1"/>
    <col min="4" max="4" width="14" style="6" bestFit="1" customWidth="1"/>
    <col min="5" max="5" width="18.140625" style="6" bestFit="1" customWidth="1"/>
    <col min="6" max="6" width="14" style="6" bestFit="1" customWidth="1"/>
    <col min="7" max="7" width="2.28515625" style="6" customWidth="1"/>
    <col min="8" max="8" width="12.7109375" style="6" bestFit="1" customWidth="1"/>
    <col min="9" max="10" width="9.140625" style="6"/>
    <col min="11" max="11" width="14.28515625" style="6" bestFit="1" customWidth="1"/>
    <col min="12" max="16384" width="9.140625" style="6"/>
  </cols>
  <sheetData>
    <row r="2" spans="1:11">
      <c r="A2" s="1"/>
      <c r="B2" s="1025" t="s">
        <v>61</v>
      </c>
      <c r="C2" s="1025"/>
      <c r="D2" s="1025"/>
      <c r="E2" s="1025"/>
      <c r="F2" s="1025"/>
      <c r="G2" s="1025"/>
      <c r="H2" s="1025"/>
      <c r="I2" s="5"/>
      <c r="J2" s="5"/>
    </row>
    <row r="3" spans="1:11">
      <c r="A3" s="559"/>
      <c r="B3" s="1025" t="s">
        <v>1690</v>
      </c>
      <c r="C3" s="1025"/>
      <c r="D3" s="1025"/>
      <c r="E3" s="1025"/>
      <c r="F3" s="1025"/>
      <c r="G3" s="1025"/>
      <c r="H3" s="1025"/>
      <c r="I3" s="5"/>
      <c r="J3" s="5"/>
    </row>
    <row r="4" spans="1:11">
      <c r="A4" s="1"/>
      <c r="B4" s="1025" t="s">
        <v>1703</v>
      </c>
      <c r="C4" s="1025"/>
      <c r="D4" s="1025"/>
      <c r="E4" s="1025"/>
      <c r="F4" s="1025"/>
      <c r="G4" s="1025"/>
      <c r="H4" s="1025"/>
      <c r="I4" s="5"/>
      <c r="J4" s="5"/>
    </row>
    <row r="5" spans="1:11">
      <c r="A5" s="560"/>
      <c r="B5" s="1025" t="s">
        <v>1715</v>
      </c>
      <c r="C5" s="1025"/>
      <c r="D5" s="1025"/>
      <c r="E5" s="1025"/>
      <c r="F5" s="1025"/>
      <c r="G5" s="1025"/>
      <c r="H5" s="1025"/>
      <c r="I5" s="5"/>
      <c r="J5" s="5"/>
    </row>
    <row r="6" spans="1:11">
      <c r="A6" s="560"/>
      <c r="B6" s="1025" t="s">
        <v>985</v>
      </c>
      <c r="C6" s="1025"/>
      <c r="D6" s="1025"/>
      <c r="E6" s="1025"/>
      <c r="F6" s="1025"/>
      <c r="G6" s="1025"/>
      <c r="H6" s="1025"/>
      <c r="I6" s="5"/>
      <c r="J6" s="5"/>
    </row>
    <row r="7" spans="1:11">
      <c r="A7" s="560"/>
      <c r="B7" s="34"/>
      <c r="C7" s="34"/>
      <c r="D7" s="34"/>
      <c r="E7" s="34"/>
      <c r="F7" s="34"/>
      <c r="H7" s="34"/>
      <c r="I7" s="5"/>
      <c r="J7" s="5"/>
    </row>
    <row r="8" spans="1:11" s="8" customFormat="1">
      <c r="A8" s="33"/>
      <c r="B8" s="33" t="s">
        <v>1731</v>
      </c>
      <c r="C8" s="33"/>
      <c r="D8" s="561" t="s">
        <v>1729</v>
      </c>
      <c r="E8" s="33" t="s">
        <v>1730</v>
      </c>
      <c r="F8" s="562" t="s">
        <v>1733</v>
      </c>
      <c r="H8" s="33" t="s">
        <v>1734</v>
      </c>
    </row>
    <row r="9" spans="1:11" ht="47.25">
      <c r="A9" s="563" t="s">
        <v>891</v>
      </c>
      <c r="B9" s="564" t="s">
        <v>382</v>
      </c>
      <c r="C9" s="565"/>
      <c r="D9" s="566" t="s">
        <v>2132</v>
      </c>
      <c r="E9" s="567" t="s">
        <v>1736</v>
      </c>
      <c r="F9" s="566" t="s">
        <v>1735</v>
      </c>
      <c r="H9" s="27" t="s">
        <v>1726</v>
      </c>
    </row>
    <row r="10" spans="1:11">
      <c r="A10" s="568"/>
      <c r="B10" s="568"/>
      <c r="C10" s="568"/>
      <c r="D10" s="566"/>
      <c r="E10" s="568"/>
      <c r="F10" s="569"/>
    </row>
    <row r="11" spans="1:11">
      <c r="A11" s="33"/>
      <c r="B11" s="563" t="s">
        <v>893</v>
      </c>
      <c r="C11" s="421"/>
      <c r="D11" s="570"/>
      <c r="E11" s="568"/>
      <c r="F11" s="569"/>
    </row>
    <row r="12" spans="1:11">
      <c r="A12" s="33">
        <v>1</v>
      </c>
      <c r="B12" s="568" t="s">
        <v>894</v>
      </c>
      <c r="C12" s="568"/>
      <c r="D12" s="571">
        <f>+D26+0.29484</f>
        <v>0.79052999999999995</v>
      </c>
      <c r="E12" s="572">
        <f>+F42</f>
        <v>13351163</v>
      </c>
      <c r="F12" s="569">
        <f>ROUND(E12*D12,2)</f>
        <v>10554494.890000001</v>
      </c>
      <c r="H12" s="573">
        <f>+F12-F26</f>
        <v>3936456.9000000004</v>
      </c>
      <c r="I12" s="30"/>
      <c r="K12" s="91"/>
    </row>
    <row r="13" spans="1:11">
      <c r="A13" s="568"/>
      <c r="B13" s="568"/>
      <c r="C13" s="568"/>
      <c r="D13" s="570"/>
      <c r="E13" s="568"/>
      <c r="F13" s="569"/>
      <c r="H13" s="30"/>
      <c r="I13" s="30"/>
    </row>
    <row r="14" spans="1:11">
      <c r="A14" s="568"/>
      <c r="B14" s="563" t="s">
        <v>895</v>
      </c>
      <c r="C14" s="568"/>
      <c r="D14" s="570"/>
      <c r="E14" s="568"/>
      <c r="F14" s="569"/>
      <c r="H14" s="30"/>
      <c r="I14" s="30"/>
    </row>
    <row r="15" spans="1:11">
      <c r="A15" s="33">
        <v>2</v>
      </c>
      <c r="B15" s="568" t="s">
        <v>896</v>
      </c>
      <c r="C15" s="568"/>
      <c r="D15" s="571">
        <f>+D29+0.24608</f>
        <v>0.73912</v>
      </c>
      <c r="E15" s="572">
        <f>+F43</f>
        <v>5593392</v>
      </c>
      <c r="F15" s="574">
        <f>ROUND(E15*D15,2)</f>
        <v>4134187.9</v>
      </c>
      <c r="H15" s="573">
        <f>+F15-F29</f>
        <v>1376421.9099999997</v>
      </c>
      <c r="I15" s="30"/>
    </row>
    <row r="16" spans="1:11">
      <c r="A16" s="33"/>
      <c r="B16" s="568"/>
      <c r="C16" s="568"/>
      <c r="D16" s="571"/>
      <c r="E16" s="572"/>
      <c r="F16" s="574"/>
      <c r="H16" s="573"/>
      <c r="I16" s="30"/>
    </row>
    <row r="17" spans="1:9">
      <c r="A17" s="33"/>
      <c r="B17" s="563" t="s">
        <v>2020</v>
      </c>
      <c r="C17" s="568"/>
      <c r="D17" s="571"/>
      <c r="E17" s="572"/>
      <c r="F17" s="574"/>
      <c r="H17" s="573"/>
      <c r="I17" s="30"/>
    </row>
    <row r="18" spans="1:9">
      <c r="A18" s="33">
        <v>3</v>
      </c>
      <c r="B18" s="568" t="s">
        <v>1737</v>
      </c>
      <c r="C18" s="568"/>
      <c r="D18" s="571">
        <f>+D32+0.1462</f>
        <v>0.62613000000000008</v>
      </c>
      <c r="E18" s="575">
        <f>+F44</f>
        <v>593880</v>
      </c>
      <c r="F18" s="569">
        <f>+D18*E18</f>
        <v>371846.08440000005</v>
      </c>
      <c r="H18" s="573">
        <f>+F18-F32</f>
        <v>86825.256000000052</v>
      </c>
      <c r="I18" s="30"/>
    </row>
    <row r="19" spans="1:9">
      <c r="A19" s="33">
        <v>4</v>
      </c>
      <c r="B19" s="568" t="s">
        <v>1738</v>
      </c>
      <c r="C19" s="568"/>
      <c r="D19" s="571">
        <f>+D35+0.02541</f>
        <v>0.50534000000000001</v>
      </c>
      <c r="E19" s="575">
        <f>+F45</f>
        <v>814309</v>
      </c>
      <c r="F19" s="569">
        <f>+D19*E19</f>
        <v>411502.91006000002</v>
      </c>
      <c r="H19" s="573">
        <f>+F19-F35</f>
        <v>20691.59169000003</v>
      </c>
      <c r="I19" s="30"/>
    </row>
    <row r="20" spans="1:9">
      <c r="A20" s="568"/>
      <c r="B20" s="568"/>
      <c r="C20" s="568"/>
      <c r="D20" s="571"/>
      <c r="E20" s="575"/>
      <c r="F20" s="569"/>
      <c r="H20" s="573"/>
      <c r="I20" s="30"/>
    </row>
    <row r="21" spans="1:9" ht="16.5" thickBot="1">
      <c r="A21" s="33">
        <v>5</v>
      </c>
      <c r="B21" s="576" t="s">
        <v>886</v>
      </c>
      <c r="C21" s="577"/>
      <c r="D21" s="578"/>
      <c r="E21" s="579">
        <f>SUM(E12:E19)</f>
        <v>20352744</v>
      </c>
      <c r="F21" s="580">
        <f>SUM(F12:F19)</f>
        <v>15472031.784460001</v>
      </c>
      <c r="H21" s="581">
        <f>+H15+H19+H18+H12</f>
        <v>5420395.6576899998</v>
      </c>
      <c r="I21" s="30"/>
    </row>
    <row r="22" spans="1:9" ht="16.5" thickTop="1">
      <c r="A22" s="568"/>
      <c r="B22" s="568"/>
      <c r="C22" s="568"/>
      <c r="D22" s="570"/>
      <c r="E22" s="568"/>
      <c r="F22" s="569"/>
      <c r="H22" s="30"/>
      <c r="I22" s="30"/>
    </row>
    <row r="23" spans="1:9">
      <c r="A23" s="568"/>
      <c r="B23" s="563" t="s">
        <v>897</v>
      </c>
      <c r="C23" s="568"/>
      <c r="D23" s="570"/>
      <c r="E23" s="568"/>
      <c r="F23" s="569"/>
      <c r="H23" s="30"/>
      <c r="I23" s="30"/>
    </row>
    <row r="24" spans="1:9">
      <c r="A24" s="568"/>
      <c r="B24" s="568" t="s">
        <v>2139</v>
      </c>
      <c r="C24" s="568"/>
      <c r="D24" s="570"/>
      <c r="E24" s="568"/>
      <c r="F24" s="569"/>
      <c r="H24" s="30"/>
      <c r="I24" s="30"/>
    </row>
    <row r="25" spans="1:9">
      <c r="A25" s="33">
        <v>6</v>
      </c>
      <c r="B25" s="568" t="s">
        <v>1739</v>
      </c>
      <c r="C25" s="568"/>
      <c r="D25" s="570"/>
      <c r="E25" s="568"/>
      <c r="F25" s="569"/>
      <c r="H25" s="30"/>
      <c r="I25" s="30"/>
    </row>
    <row r="26" spans="1:9">
      <c r="A26" s="33">
        <v>7</v>
      </c>
      <c r="B26" s="568" t="s">
        <v>898</v>
      </c>
      <c r="C26" s="568"/>
      <c r="D26" s="571">
        <v>0.49569000000000002</v>
      </c>
      <c r="E26" s="572">
        <f>+F42</f>
        <v>13351163</v>
      </c>
      <c r="F26" s="574">
        <f>ROUND(D26*E26,2)</f>
        <v>6618037.9900000002</v>
      </c>
    </row>
    <row r="27" spans="1:9">
      <c r="A27" s="568"/>
      <c r="B27" s="568"/>
      <c r="C27" s="568"/>
      <c r="D27" s="570"/>
      <c r="E27" s="568"/>
      <c r="F27" s="574"/>
    </row>
    <row r="28" spans="1:9">
      <c r="A28" s="33">
        <v>8</v>
      </c>
      <c r="B28" s="568" t="s">
        <v>1740</v>
      </c>
      <c r="C28" s="568"/>
      <c r="D28" s="570"/>
      <c r="E28" s="568"/>
      <c r="F28" s="574"/>
    </row>
    <row r="29" spans="1:9">
      <c r="A29" s="33">
        <v>9</v>
      </c>
      <c r="B29" s="568" t="s">
        <v>898</v>
      </c>
      <c r="C29" s="568"/>
      <c r="D29" s="571">
        <v>0.49303999999999998</v>
      </c>
      <c r="E29" s="582">
        <f>+F43</f>
        <v>5593392</v>
      </c>
      <c r="F29" s="574">
        <f>ROUND(D29*E29,2)</f>
        <v>2757765.99</v>
      </c>
    </row>
    <row r="30" spans="1:9">
      <c r="A30" s="33"/>
      <c r="B30" s="568"/>
      <c r="C30" s="568"/>
      <c r="D30" s="571"/>
      <c r="E30" s="582"/>
      <c r="F30" s="574"/>
    </row>
    <row r="31" spans="1:9">
      <c r="A31" s="33">
        <v>10</v>
      </c>
      <c r="B31" s="568" t="s">
        <v>1741</v>
      </c>
      <c r="C31" s="568"/>
      <c r="D31" s="571"/>
      <c r="E31" s="582"/>
      <c r="F31" s="574"/>
    </row>
    <row r="32" spans="1:9">
      <c r="A32" s="33">
        <v>11</v>
      </c>
      <c r="B32" s="568" t="s">
        <v>898</v>
      </c>
      <c r="C32" s="568"/>
      <c r="D32" s="571">
        <v>0.47993000000000002</v>
      </c>
      <c r="E32" s="582">
        <f>+F44</f>
        <v>593880</v>
      </c>
      <c r="F32" s="574">
        <f>+D32*E32</f>
        <v>285020.8284</v>
      </c>
    </row>
    <row r="33" spans="1:6">
      <c r="A33" s="33"/>
      <c r="B33" s="568"/>
      <c r="C33" s="568"/>
      <c r="D33" s="571"/>
      <c r="E33" s="582"/>
      <c r="F33" s="574"/>
    </row>
    <row r="34" spans="1:6">
      <c r="A34" s="33">
        <v>12</v>
      </c>
      <c r="B34" s="568" t="s">
        <v>1742</v>
      </c>
      <c r="C34" s="568"/>
      <c r="D34" s="571"/>
      <c r="E34" s="582"/>
      <c r="F34" s="574"/>
    </row>
    <row r="35" spans="1:6">
      <c r="A35" s="33">
        <v>13</v>
      </c>
      <c r="B35" s="568" t="s">
        <v>898</v>
      </c>
      <c r="C35" s="568"/>
      <c r="D35" s="571">
        <v>0.47993000000000002</v>
      </c>
      <c r="E35" s="582">
        <f>+E19</f>
        <v>814309</v>
      </c>
      <c r="F35" s="574">
        <f>+D35*E35</f>
        <v>390811.31836999999</v>
      </c>
    </row>
    <row r="36" spans="1:6">
      <c r="A36" s="33"/>
      <c r="B36" s="568"/>
      <c r="C36" s="568"/>
      <c r="D36" s="571"/>
      <c r="E36" s="582"/>
      <c r="F36" s="574"/>
    </row>
    <row r="37" spans="1:6" ht="16.5" thickBot="1">
      <c r="A37" s="33">
        <v>14</v>
      </c>
      <c r="B37" s="568" t="s">
        <v>886</v>
      </c>
      <c r="C37" s="568"/>
      <c r="D37" s="568"/>
      <c r="E37" s="583">
        <f>SUM(E26:E35)</f>
        <v>20352744</v>
      </c>
      <c r="F37" s="584">
        <f>SUM(F26:F35)</f>
        <v>10051636.126770001</v>
      </c>
    </row>
    <row r="38" spans="1:6" ht="16.5" thickTop="1">
      <c r="A38" s="33">
        <v>15</v>
      </c>
      <c r="D38" s="8" t="s">
        <v>1139</v>
      </c>
      <c r="E38" s="8" t="s">
        <v>2022</v>
      </c>
      <c r="F38" s="586" t="s">
        <v>2023</v>
      </c>
    </row>
    <row r="39" spans="1:6">
      <c r="A39" s="33">
        <v>16</v>
      </c>
      <c r="D39" s="8" t="s">
        <v>1140</v>
      </c>
      <c r="E39" s="8" t="s">
        <v>2021</v>
      </c>
      <c r="F39" s="586" t="s">
        <v>2024</v>
      </c>
    </row>
    <row r="40" spans="1:6">
      <c r="A40" s="33">
        <v>17</v>
      </c>
      <c r="D40" s="8" t="s">
        <v>2021</v>
      </c>
      <c r="E40" s="8"/>
      <c r="F40" s="8" t="s">
        <v>63</v>
      </c>
    </row>
    <row r="41" spans="1:6">
      <c r="A41" s="33">
        <v>18</v>
      </c>
      <c r="D41" s="506" t="s">
        <v>2018</v>
      </c>
      <c r="E41" s="587" t="s">
        <v>2019</v>
      </c>
      <c r="F41" s="588"/>
    </row>
    <row r="42" spans="1:6">
      <c r="A42" s="33">
        <v>19</v>
      </c>
      <c r="B42" s="568" t="s">
        <v>894</v>
      </c>
      <c r="D42" s="589">
        <v>120189407</v>
      </c>
      <c r="E42" s="590">
        <f>77646605+29191639</f>
        <v>106838244</v>
      </c>
      <c r="F42" s="590">
        <f>+D42-E42</f>
        <v>13351163</v>
      </c>
    </row>
    <row r="43" spans="1:6">
      <c r="A43" s="33">
        <v>20</v>
      </c>
      <c r="B43" s="568" t="s">
        <v>896</v>
      </c>
      <c r="D43" s="589">
        <v>81344242</v>
      </c>
      <c r="E43" s="590">
        <f>55961538+19789312</f>
        <v>75750850</v>
      </c>
      <c r="F43" s="590">
        <f t="shared" ref="F43:F45" si="0">+D43-E43</f>
        <v>5593392</v>
      </c>
    </row>
    <row r="44" spans="1:6">
      <c r="A44" s="33">
        <v>21</v>
      </c>
      <c r="B44" s="568" t="s">
        <v>1737</v>
      </c>
      <c r="D44" s="589">
        <v>11417671</v>
      </c>
      <c r="E44" s="590">
        <f>1521701+4967619+4334471</f>
        <v>10823791</v>
      </c>
      <c r="F44" s="590">
        <f t="shared" si="0"/>
        <v>593880</v>
      </c>
    </row>
    <row r="45" spans="1:6">
      <c r="A45" s="33">
        <v>22</v>
      </c>
      <c r="B45" s="568" t="s">
        <v>1738</v>
      </c>
      <c r="D45" s="589">
        <v>11107096</v>
      </c>
      <c r="E45" s="590">
        <f>7195184+2872027+225576</f>
        <v>10292787</v>
      </c>
      <c r="F45" s="590">
        <f t="shared" si="0"/>
        <v>814309</v>
      </c>
    </row>
    <row r="46" spans="1:6">
      <c r="F46" s="591">
        <f>SUM(F42:F45)</f>
        <v>20352744</v>
      </c>
    </row>
    <row r="47" spans="1:6">
      <c r="D47" s="6" t="s">
        <v>57</v>
      </c>
    </row>
  </sheetData>
  <mergeCells count="5">
    <mergeCell ref="B2:H2"/>
    <mergeCell ref="B3:H3"/>
    <mergeCell ref="B4:H4"/>
    <mergeCell ref="B5:H5"/>
    <mergeCell ref="B6:H6"/>
  </mergeCells>
  <printOptions horizontalCentered="1"/>
  <pageMargins left="0.7" right="0.7" top="0.75" bottom="0.75" header="0.3" footer="0.3"/>
  <pageSetup scale="82" orientation="portrait" r:id="rId1"/>
  <headerFooter scaleWithDoc="0" alignWithMargins="0">
    <oddHeader>&amp;RPage &amp;P of &amp;N</oddHeader>
    <oddFooter>&amp;LElectronic Tab Name:&amp;A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75"/>
  <sheetViews>
    <sheetView showGridLines="0" view="pageBreakPreview" zoomScale="60" zoomScaleNormal="100" workbookViewId="0">
      <selection activeCell="A3" sqref="A3:H3"/>
    </sheetView>
  </sheetViews>
  <sheetFormatPr defaultRowHeight="15.75"/>
  <cols>
    <col min="1" max="1" width="9.28515625" style="8" bestFit="1" customWidth="1"/>
    <col min="2" max="2" width="35.42578125" style="6" bestFit="1" customWidth="1"/>
    <col min="3" max="3" width="32.5703125" style="6" bestFit="1" customWidth="1"/>
    <col min="4" max="5" width="14" style="6" bestFit="1" customWidth="1"/>
    <col min="6" max="6" width="14.42578125" style="6" bestFit="1" customWidth="1"/>
    <col min="7" max="7" width="5.85546875" style="6" bestFit="1" customWidth="1"/>
    <col min="8" max="16384" width="9.140625" style="6"/>
  </cols>
  <sheetData>
    <row r="1" spans="1:7">
      <c r="B1" s="1066" t="s">
        <v>61</v>
      </c>
      <c r="C1" s="1066"/>
      <c r="D1" s="1066"/>
      <c r="E1" s="1066"/>
      <c r="F1" s="1066"/>
      <c r="G1" s="1066"/>
    </row>
    <row r="2" spans="1:7">
      <c r="B2" s="36"/>
      <c r="C2" s="36" t="s">
        <v>991</v>
      </c>
      <c r="D2" s="36"/>
      <c r="E2" s="36"/>
      <c r="F2" s="36"/>
      <c r="G2" s="36"/>
    </row>
    <row r="3" spans="1:7">
      <c r="B3" s="36"/>
      <c r="C3" s="36" t="s">
        <v>1704</v>
      </c>
      <c r="D3" s="36"/>
      <c r="E3" s="36"/>
      <c r="F3" s="36"/>
      <c r="G3" s="36"/>
    </row>
    <row r="4" spans="1:7">
      <c r="B4" s="1066" t="s">
        <v>84</v>
      </c>
      <c r="C4" s="1066"/>
      <c r="D4" s="1066"/>
      <c r="E4" s="1066"/>
      <c r="F4" s="1066"/>
      <c r="G4" s="1066"/>
    </row>
    <row r="5" spans="1:7">
      <c r="B5" s="1066" t="s">
        <v>985</v>
      </c>
      <c r="C5" s="1066"/>
      <c r="D5" s="1066"/>
      <c r="E5" s="1066"/>
      <c r="F5" s="1066"/>
      <c r="G5" s="1066"/>
    </row>
    <row r="6" spans="1:7">
      <c r="B6" s="39"/>
      <c r="C6" s="39"/>
      <c r="D6" s="39"/>
      <c r="E6" s="39"/>
      <c r="F6" s="39"/>
      <c r="G6" s="39"/>
    </row>
    <row r="7" spans="1:7">
      <c r="B7" s="33" t="s">
        <v>1731</v>
      </c>
      <c r="C7" s="33" t="s">
        <v>1729</v>
      </c>
      <c r="D7" s="33" t="s">
        <v>1730</v>
      </c>
      <c r="E7" s="33" t="s">
        <v>1733</v>
      </c>
      <c r="F7" s="33" t="s">
        <v>1734</v>
      </c>
      <c r="G7" s="2" t="s">
        <v>1743</v>
      </c>
    </row>
    <row r="8" spans="1:7">
      <c r="B8" s="568"/>
      <c r="C8" s="568"/>
      <c r="D8" s="568"/>
      <c r="E8" s="1067" t="s">
        <v>1066</v>
      </c>
      <c r="F8" s="568"/>
      <c r="G8" s="568"/>
    </row>
    <row r="9" spans="1:7">
      <c r="A9" s="15" t="s">
        <v>891</v>
      </c>
      <c r="B9" s="568"/>
      <c r="C9" s="568"/>
      <c r="D9" s="33" t="s">
        <v>1065</v>
      </c>
      <c r="E9" s="1068"/>
      <c r="F9" s="33" t="s">
        <v>1067</v>
      </c>
      <c r="G9" s="568"/>
    </row>
    <row r="10" spans="1:7">
      <c r="A10" s="8">
        <v>1</v>
      </c>
      <c r="B10" s="592" t="s">
        <v>1039</v>
      </c>
      <c r="C10" s="593" t="s">
        <v>1049</v>
      </c>
      <c r="D10" s="594">
        <v>0.25</v>
      </c>
      <c r="E10" s="594"/>
      <c r="F10" s="594">
        <v>0.25</v>
      </c>
      <c r="G10" s="592">
        <v>913</v>
      </c>
    </row>
    <row r="11" spans="1:7">
      <c r="A11" s="8">
        <v>2</v>
      </c>
      <c r="B11" s="592" t="s">
        <v>1040</v>
      </c>
      <c r="C11" s="593" t="s">
        <v>1050</v>
      </c>
      <c r="D11" s="594">
        <v>20</v>
      </c>
      <c r="E11" s="594"/>
      <c r="F11" s="594">
        <v>20</v>
      </c>
      <c r="G11" s="592">
        <v>913</v>
      </c>
    </row>
    <row r="12" spans="1:7">
      <c r="A12" s="8">
        <v>3</v>
      </c>
      <c r="B12" s="592" t="s">
        <v>1041</v>
      </c>
      <c r="C12" s="593" t="s">
        <v>1051</v>
      </c>
      <c r="D12" s="594">
        <v>250</v>
      </c>
      <c r="E12" s="594"/>
      <c r="F12" s="594"/>
      <c r="G12" s="592">
        <v>913</v>
      </c>
    </row>
    <row r="13" spans="1:7">
      <c r="A13" s="8">
        <v>4</v>
      </c>
      <c r="B13" s="592" t="s">
        <v>1042</v>
      </c>
      <c r="C13" s="593" t="s">
        <v>1052</v>
      </c>
      <c r="D13" s="594">
        <v>200</v>
      </c>
      <c r="E13" s="594"/>
      <c r="F13" s="594"/>
      <c r="G13" s="592">
        <v>913</v>
      </c>
    </row>
    <row r="14" spans="1:7">
      <c r="A14" s="8">
        <v>5</v>
      </c>
      <c r="B14" s="592" t="s">
        <v>1043</v>
      </c>
      <c r="C14" s="593" t="s">
        <v>1053</v>
      </c>
      <c r="D14" s="594">
        <v>1300</v>
      </c>
      <c r="E14" s="594">
        <v>978.51</v>
      </c>
      <c r="F14" s="594"/>
      <c r="G14" s="592">
        <v>913</v>
      </c>
    </row>
    <row r="15" spans="1:7">
      <c r="A15" s="8">
        <v>6</v>
      </c>
      <c r="B15" s="592" t="s">
        <v>1044</v>
      </c>
      <c r="C15" s="593" t="s">
        <v>1054</v>
      </c>
      <c r="D15" s="594">
        <v>9.3699999999999992</v>
      </c>
      <c r="E15" s="594">
        <v>7.05</v>
      </c>
      <c r="F15" s="594"/>
      <c r="G15" s="592">
        <v>913</v>
      </c>
    </row>
    <row r="16" spans="1:7">
      <c r="A16" s="8">
        <v>7</v>
      </c>
      <c r="B16" s="592" t="s">
        <v>1045</v>
      </c>
      <c r="C16" s="593" t="s">
        <v>1055</v>
      </c>
      <c r="D16" s="594">
        <v>1.1299999999999999</v>
      </c>
      <c r="E16" s="594">
        <v>0.85</v>
      </c>
      <c r="F16" s="594"/>
      <c r="G16" s="592">
        <v>913</v>
      </c>
    </row>
    <row r="17" spans="1:7">
      <c r="A17" s="8">
        <v>8</v>
      </c>
      <c r="B17" s="592" t="s">
        <v>1046</v>
      </c>
      <c r="C17" s="593" t="s">
        <v>1056</v>
      </c>
      <c r="D17" s="594">
        <v>30.6</v>
      </c>
      <c r="E17" s="594">
        <v>23.03</v>
      </c>
      <c r="F17" s="594"/>
      <c r="G17" s="592">
        <v>913</v>
      </c>
    </row>
    <row r="18" spans="1:7">
      <c r="A18" s="8">
        <v>9</v>
      </c>
      <c r="B18" s="592" t="s">
        <v>918</v>
      </c>
      <c r="C18" s="593" t="s">
        <v>1057</v>
      </c>
      <c r="D18" s="594">
        <v>875</v>
      </c>
      <c r="E18" s="594">
        <v>658.61</v>
      </c>
      <c r="F18" s="594"/>
      <c r="G18" s="592">
        <v>913</v>
      </c>
    </row>
    <row r="19" spans="1:7">
      <c r="A19" s="8">
        <v>10</v>
      </c>
      <c r="B19" s="592" t="s">
        <v>918</v>
      </c>
      <c r="C19" s="593" t="s">
        <v>1058</v>
      </c>
      <c r="D19" s="594">
        <v>537.5</v>
      </c>
      <c r="E19" s="594">
        <v>404.58</v>
      </c>
      <c r="F19" s="594"/>
      <c r="G19" s="592">
        <v>913</v>
      </c>
    </row>
    <row r="20" spans="1:7">
      <c r="A20" s="8">
        <v>11</v>
      </c>
      <c r="B20" s="592" t="s">
        <v>913</v>
      </c>
      <c r="C20" s="593" t="s">
        <v>1059</v>
      </c>
      <c r="D20" s="594">
        <v>800</v>
      </c>
      <c r="E20" s="594">
        <v>602.16</v>
      </c>
      <c r="F20" s="594"/>
      <c r="G20" s="592">
        <v>913</v>
      </c>
    </row>
    <row r="21" spans="1:7">
      <c r="A21" s="8">
        <v>12</v>
      </c>
      <c r="B21" s="592" t="s">
        <v>1047</v>
      </c>
      <c r="C21" s="593" t="s">
        <v>1060</v>
      </c>
      <c r="D21" s="594">
        <v>537.5</v>
      </c>
      <c r="E21" s="594">
        <v>404.58</v>
      </c>
      <c r="F21" s="594"/>
      <c r="G21" s="592">
        <v>913</v>
      </c>
    </row>
    <row r="22" spans="1:7">
      <c r="A22" s="8">
        <v>13</v>
      </c>
      <c r="B22" s="592" t="s">
        <v>1048</v>
      </c>
      <c r="C22" s="593" t="s">
        <v>1061</v>
      </c>
      <c r="D22" s="594">
        <v>13.93</v>
      </c>
      <c r="E22" s="594">
        <v>10.49</v>
      </c>
      <c r="F22" s="594"/>
      <c r="G22" s="592">
        <v>913</v>
      </c>
    </row>
    <row r="23" spans="1:7">
      <c r="A23" s="8">
        <v>14</v>
      </c>
      <c r="B23" s="592" t="s">
        <v>913</v>
      </c>
      <c r="C23" s="593" t="s">
        <v>1062</v>
      </c>
      <c r="D23" s="594">
        <v>800</v>
      </c>
      <c r="E23" s="594">
        <v>602.16</v>
      </c>
      <c r="F23" s="594"/>
      <c r="G23" s="592">
        <v>913</v>
      </c>
    </row>
    <row r="24" spans="1:7">
      <c r="A24" s="8">
        <v>15</v>
      </c>
      <c r="B24" s="592" t="s">
        <v>913</v>
      </c>
      <c r="C24" s="593" t="s">
        <v>1063</v>
      </c>
      <c r="D24" s="594">
        <v>800</v>
      </c>
      <c r="E24" s="594">
        <v>602.16</v>
      </c>
      <c r="F24" s="594"/>
      <c r="G24" s="592">
        <v>913</v>
      </c>
    </row>
    <row r="25" spans="1:7">
      <c r="A25" s="8">
        <v>16</v>
      </c>
      <c r="B25" s="592" t="s">
        <v>913</v>
      </c>
      <c r="C25" s="593" t="s">
        <v>1064</v>
      </c>
      <c r="D25" s="594">
        <v>800</v>
      </c>
      <c r="E25" s="594">
        <v>602.16</v>
      </c>
      <c r="F25" s="594"/>
      <c r="G25" s="592">
        <v>913</v>
      </c>
    </row>
    <row r="26" spans="1:7">
      <c r="A26" s="8">
        <v>17</v>
      </c>
      <c r="B26" s="592"/>
      <c r="C26" s="593"/>
      <c r="D26" s="594"/>
      <c r="E26" s="594"/>
      <c r="F26" s="594"/>
      <c r="G26" s="592"/>
    </row>
    <row r="27" spans="1:7">
      <c r="B27" s="568"/>
      <c r="C27" s="568"/>
      <c r="D27" s="568"/>
      <c r="E27" s="568"/>
      <c r="F27" s="568"/>
      <c r="G27" s="568"/>
    </row>
    <row r="28" spans="1:7">
      <c r="A28" s="595">
        <v>18</v>
      </c>
      <c r="B28" s="568"/>
      <c r="C28" s="568"/>
      <c r="D28" s="568"/>
      <c r="E28" s="596">
        <f>SUM(E10:E26)</f>
        <v>4896.3399999999992</v>
      </c>
      <c r="F28" s="596">
        <f>SUM(F10:F26)</f>
        <v>20.25</v>
      </c>
      <c r="G28" s="568"/>
    </row>
    <row r="29" spans="1:7">
      <c r="A29" s="595">
        <v>19</v>
      </c>
      <c r="B29" s="568" t="s">
        <v>919</v>
      </c>
      <c r="C29" s="568"/>
      <c r="D29" s="568"/>
      <c r="E29" s="568"/>
      <c r="F29" s="596">
        <f>+F28+E28</f>
        <v>4916.5899999999992</v>
      </c>
      <c r="G29" s="568"/>
    </row>
    <row r="30" spans="1:7">
      <c r="B30" s="568"/>
      <c r="C30" s="568"/>
      <c r="D30" s="568"/>
      <c r="E30" s="568"/>
      <c r="F30" s="568"/>
      <c r="G30" s="568"/>
    </row>
    <row r="32" spans="1:7">
      <c r="B32" s="33" t="s">
        <v>1731</v>
      </c>
      <c r="C32" s="33" t="s">
        <v>1729</v>
      </c>
      <c r="D32" s="33" t="s">
        <v>1730</v>
      </c>
      <c r="E32" s="33" t="s">
        <v>1733</v>
      </c>
      <c r="F32" s="33" t="s">
        <v>1734</v>
      </c>
      <c r="G32" s="2" t="s">
        <v>1743</v>
      </c>
    </row>
    <row r="33" spans="1:7">
      <c r="A33" s="15" t="s">
        <v>891</v>
      </c>
      <c r="D33" s="33" t="s">
        <v>1065</v>
      </c>
      <c r="E33" s="33" t="s">
        <v>1066</v>
      </c>
      <c r="F33" s="33" t="s">
        <v>1067</v>
      </c>
    </row>
    <row r="34" spans="1:7">
      <c r="A34" s="8">
        <v>20</v>
      </c>
      <c r="B34" s="592" t="s">
        <v>1068</v>
      </c>
      <c r="C34" s="592" t="s">
        <v>1095</v>
      </c>
      <c r="D34" s="594">
        <v>250</v>
      </c>
      <c r="E34" s="594"/>
      <c r="F34" s="594">
        <v>250</v>
      </c>
      <c r="G34" s="592">
        <v>930.1</v>
      </c>
    </row>
    <row r="35" spans="1:7">
      <c r="A35" s="8">
        <v>21</v>
      </c>
      <c r="B35" s="592" t="s">
        <v>1069</v>
      </c>
      <c r="C35" s="592" t="s">
        <v>1096</v>
      </c>
      <c r="D35" s="594">
        <v>5000</v>
      </c>
      <c r="E35" s="594"/>
      <c r="F35" s="594">
        <v>5000</v>
      </c>
      <c r="G35" s="592">
        <v>930.1</v>
      </c>
    </row>
    <row r="36" spans="1:7">
      <c r="A36" s="8">
        <v>22</v>
      </c>
      <c r="B36" s="592" t="s">
        <v>1070</v>
      </c>
      <c r="C36" s="592" t="s">
        <v>1097</v>
      </c>
      <c r="D36" s="594">
        <v>500</v>
      </c>
      <c r="E36" s="594"/>
      <c r="F36" s="594">
        <v>500</v>
      </c>
      <c r="G36" s="592">
        <v>930.1</v>
      </c>
    </row>
    <row r="37" spans="1:7">
      <c r="A37" s="8">
        <v>23</v>
      </c>
      <c r="B37" s="592" t="s">
        <v>914</v>
      </c>
      <c r="C37" s="592" t="s">
        <v>1098</v>
      </c>
      <c r="D37" s="594">
        <v>250</v>
      </c>
      <c r="E37" s="594"/>
      <c r="F37" s="594">
        <v>250</v>
      </c>
      <c r="G37" s="592">
        <v>930.1</v>
      </c>
    </row>
    <row r="38" spans="1:7">
      <c r="A38" s="8">
        <v>24</v>
      </c>
      <c r="B38" s="592" t="s">
        <v>908</v>
      </c>
      <c r="C38" s="592" t="s">
        <v>1099</v>
      </c>
      <c r="D38" s="594">
        <v>367</v>
      </c>
      <c r="E38" s="594"/>
      <c r="F38" s="594">
        <v>367</v>
      </c>
      <c r="G38" s="592">
        <v>930.1</v>
      </c>
    </row>
    <row r="39" spans="1:7">
      <c r="A39" s="8">
        <v>25</v>
      </c>
      <c r="B39" s="592" t="s">
        <v>915</v>
      </c>
      <c r="C39" s="592" t="s">
        <v>1100</v>
      </c>
      <c r="D39" s="594">
        <v>125</v>
      </c>
      <c r="E39" s="594"/>
      <c r="F39" s="594">
        <v>125</v>
      </c>
      <c r="G39" s="592">
        <v>930.1</v>
      </c>
    </row>
    <row r="40" spans="1:7">
      <c r="A40" s="8">
        <v>26</v>
      </c>
      <c r="B40" s="592" t="s">
        <v>1071</v>
      </c>
      <c r="C40" s="592" t="s">
        <v>1101</v>
      </c>
      <c r="D40" s="594">
        <v>250</v>
      </c>
      <c r="E40" s="594"/>
      <c r="F40" s="594">
        <v>250</v>
      </c>
      <c r="G40" s="592">
        <v>930.1</v>
      </c>
    </row>
    <row r="41" spans="1:7">
      <c r="A41" s="8">
        <v>27</v>
      </c>
      <c r="B41" s="592" t="s">
        <v>910</v>
      </c>
      <c r="C41" s="592" t="s">
        <v>1102</v>
      </c>
      <c r="D41" s="594">
        <v>135</v>
      </c>
      <c r="E41" s="594"/>
      <c r="F41" s="594">
        <v>135</v>
      </c>
      <c r="G41" s="592">
        <v>930.1</v>
      </c>
    </row>
    <row r="42" spans="1:7">
      <c r="A42" s="8">
        <v>28</v>
      </c>
      <c r="B42" s="592" t="s">
        <v>1072</v>
      </c>
      <c r="C42" s="592" t="s">
        <v>1103</v>
      </c>
      <c r="D42" s="594">
        <v>1518</v>
      </c>
      <c r="E42" s="594"/>
      <c r="F42" s="594">
        <v>1518</v>
      </c>
      <c r="G42" s="592">
        <v>930.1</v>
      </c>
    </row>
    <row r="43" spans="1:7">
      <c r="A43" s="8">
        <v>29</v>
      </c>
      <c r="B43" s="592" t="s">
        <v>1073</v>
      </c>
      <c r="C43" s="592" t="s">
        <v>1104</v>
      </c>
      <c r="D43" s="594">
        <v>71</v>
      </c>
      <c r="E43" s="594"/>
      <c r="F43" s="594"/>
      <c r="G43" s="592">
        <v>930.1</v>
      </c>
    </row>
    <row r="44" spans="1:7">
      <c r="A44" s="8">
        <v>30</v>
      </c>
      <c r="B44" s="592" t="s">
        <v>1073</v>
      </c>
      <c r="C44" s="592" t="s">
        <v>1105</v>
      </c>
      <c r="D44" s="594">
        <v>71</v>
      </c>
      <c r="E44" s="594"/>
      <c r="F44" s="594"/>
      <c r="G44" s="592">
        <v>930.1</v>
      </c>
    </row>
    <row r="45" spans="1:7">
      <c r="A45" s="8">
        <v>31</v>
      </c>
      <c r="B45" s="592" t="s">
        <v>1073</v>
      </c>
      <c r="C45" s="592" t="s">
        <v>1106</v>
      </c>
      <c r="D45" s="594">
        <v>71</v>
      </c>
      <c r="E45" s="594"/>
      <c r="F45" s="594"/>
      <c r="G45" s="592">
        <v>930.1</v>
      </c>
    </row>
    <row r="46" spans="1:7">
      <c r="A46" s="8">
        <v>32</v>
      </c>
      <c r="B46" s="592" t="s">
        <v>1039</v>
      </c>
      <c r="C46" s="592" t="s">
        <v>1107</v>
      </c>
      <c r="D46" s="594">
        <v>13.9</v>
      </c>
      <c r="E46" s="594"/>
      <c r="F46" s="594"/>
      <c r="G46" s="592">
        <v>930.1</v>
      </c>
    </row>
    <row r="47" spans="1:7">
      <c r="A47" s="8">
        <v>33</v>
      </c>
      <c r="B47" s="592" t="s">
        <v>1074</v>
      </c>
      <c r="C47" s="592" t="s">
        <v>1108</v>
      </c>
      <c r="D47" s="594">
        <v>135</v>
      </c>
      <c r="E47" s="594"/>
      <c r="F47" s="594"/>
      <c r="G47" s="592">
        <v>930.1</v>
      </c>
    </row>
    <row r="48" spans="1:7">
      <c r="A48" s="8">
        <v>34</v>
      </c>
      <c r="B48" s="592" t="s">
        <v>1075</v>
      </c>
      <c r="C48" s="592" t="s">
        <v>1109</v>
      </c>
      <c r="D48" s="594">
        <v>17142.41</v>
      </c>
      <c r="E48" s="594">
        <v>12903.09</v>
      </c>
      <c r="F48" s="594"/>
      <c r="G48" s="592">
        <v>930.1</v>
      </c>
    </row>
    <row r="49" spans="1:7">
      <c r="A49" s="8">
        <v>35</v>
      </c>
      <c r="B49" s="592" t="s">
        <v>1076</v>
      </c>
      <c r="C49" s="592" t="s">
        <v>916</v>
      </c>
      <c r="D49" s="594">
        <v>883.44</v>
      </c>
      <c r="E49" s="594">
        <v>664.97</v>
      </c>
      <c r="F49" s="594"/>
      <c r="G49" s="592">
        <v>930.1</v>
      </c>
    </row>
    <row r="50" spans="1:7">
      <c r="A50" s="8">
        <v>36</v>
      </c>
      <c r="B50" s="592" t="s">
        <v>1077</v>
      </c>
      <c r="C50" s="592" t="s">
        <v>916</v>
      </c>
      <c r="D50" s="594">
        <v>263.25</v>
      </c>
      <c r="E50" s="594">
        <v>198.15</v>
      </c>
      <c r="F50" s="594"/>
      <c r="G50" s="592">
        <v>930.1</v>
      </c>
    </row>
    <row r="51" spans="1:7">
      <c r="A51" s="8">
        <v>37</v>
      </c>
      <c r="B51" s="592" t="s">
        <v>1078</v>
      </c>
      <c r="C51" s="592" t="s">
        <v>916</v>
      </c>
      <c r="D51" s="594">
        <v>1761.06</v>
      </c>
      <c r="E51" s="594">
        <v>1325.55</v>
      </c>
      <c r="F51" s="594"/>
      <c r="G51" s="592">
        <v>930.1</v>
      </c>
    </row>
    <row r="52" spans="1:7">
      <c r="A52" s="8">
        <v>38</v>
      </c>
      <c r="B52" s="592" t="s">
        <v>1079</v>
      </c>
      <c r="C52" s="592" t="s">
        <v>916</v>
      </c>
      <c r="D52" s="594">
        <v>1159.3900000000001</v>
      </c>
      <c r="E52" s="594">
        <v>872.67</v>
      </c>
      <c r="F52" s="594"/>
      <c r="G52" s="592">
        <v>930.1</v>
      </c>
    </row>
    <row r="53" spans="1:7">
      <c r="A53" s="8">
        <v>39</v>
      </c>
      <c r="B53" s="592" t="s">
        <v>1080</v>
      </c>
      <c r="C53" s="592" t="s">
        <v>1110</v>
      </c>
      <c r="D53" s="594">
        <v>136.9</v>
      </c>
      <c r="E53" s="594">
        <v>103.04</v>
      </c>
      <c r="F53" s="594"/>
      <c r="G53" s="592">
        <v>930.1</v>
      </c>
    </row>
    <row r="54" spans="1:7">
      <c r="A54" s="8">
        <v>40</v>
      </c>
      <c r="B54" s="592" t="s">
        <v>1081</v>
      </c>
      <c r="C54" s="592" t="s">
        <v>1110</v>
      </c>
      <c r="D54" s="594">
        <v>61.15</v>
      </c>
      <c r="E54" s="594">
        <v>46.03</v>
      </c>
      <c r="F54" s="594"/>
      <c r="G54" s="592">
        <v>930.1</v>
      </c>
    </row>
    <row r="55" spans="1:7">
      <c r="A55" s="8">
        <v>41</v>
      </c>
      <c r="B55" s="592" t="s">
        <v>1082</v>
      </c>
      <c r="C55" s="592" t="s">
        <v>916</v>
      </c>
      <c r="D55" s="594">
        <v>980.15</v>
      </c>
      <c r="E55" s="594">
        <v>737.76</v>
      </c>
      <c r="F55" s="594"/>
      <c r="G55" s="592">
        <v>930.1</v>
      </c>
    </row>
    <row r="56" spans="1:7">
      <c r="A56" s="8">
        <v>42</v>
      </c>
      <c r="B56" s="592" t="s">
        <v>1083</v>
      </c>
      <c r="C56" s="592" t="s">
        <v>916</v>
      </c>
      <c r="D56" s="594">
        <v>471.98</v>
      </c>
      <c r="E56" s="594">
        <v>355.26</v>
      </c>
      <c r="F56" s="594"/>
      <c r="G56" s="592">
        <v>930.1</v>
      </c>
    </row>
    <row r="57" spans="1:7">
      <c r="A57" s="8">
        <v>43</v>
      </c>
      <c r="B57" s="592" t="s">
        <v>1084</v>
      </c>
      <c r="C57" s="592" t="s">
        <v>916</v>
      </c>
      <c r="D57" s="594">
        <v>227.74</v>
      </c>
      <c r="E57" s="594">
        <v>171.42</v>
      </c>
      <c r="F57" s="594"/>
      <c r="G57" s="592">
        <v>930.1</v>
      </c>
    </row>
    <row r="58" spans="1:7">
      <c r="A58" s="8">
        <v>44</v>
      </c>
      <c r="B58" s="592" t="s">
        <v>1085</v>
      </c>
      <c r="C58" s="592" t="s">
        <v>916</v>
      </c>
      <c r="D58" s="594">
        <v>423</v>
      </c>
      <c r="E58" s="594">
        <v>318.39</v>
      </c>
      <c r="F58" s="594"/>
      <c r="G58" s="592">
        <v>930.1</v>
      </c>
    </row>
    <row r="59" spans="1:7">
      <c r="A59" s="8">
        <v>45</v>
      </c>
      <c r="B59" s="592" t="s">
        <v>1086</v>
      </c>
      <c r="C59" s="592" t="s">
        <v>916</v>
      </c>
      <c r="D59" s="594">
        <v>1327.52</v>
      </c>
      <c r="E59" s="594">
        <v>999.22</v>
      </c>
      <c r="F59" s="594"/>
      <c r="G59" s="592">
        <v>930.1</v>
      </c>
    </row>
    <row r="60" spans="1:7">
      <c r="A60" s="8">
        <v>46</v>
      </c>
      <c r="B60" s="592" t="s">
        <v>1087</v>
      </c>
      <c r="C60" s="592" t="s">
        <v>916</v>
      </c>
      <c r="D60" s="594">
        <v>1192.3699999999999</v>
      </c>
      <c r="E60" s="594">
        <v>897.5</v>
      </c>
      <c r="F60" s="594"/>
      <c r="G60" s="592">
        <v>930.1</v>
      </c>
    </row>
    <row r="61" spans="1:7">
      <c r="A61" s="8">
        <v>47</v>
      </c>
      <c r="B61" s="592" t="s">
        <v>1088</v>
      </c>
      <c r="C61" s="592" t="s">
        <v>916</v>
      </c>
      <c r="D61" s="594">
        <v>4898.2</v>
      </c>
      <c r="E61" s="594">
        <v>3686.88</v>
      </c>
      <c r="F61" s="594"/>
      <c r="G61" s="592">
        <v>930.1</v>
      </c>
    </row>
    <row r="62" spans="1:7">
      <c r="A62" s="8">
        <v>48</v>
      </c>
      <c r="B62" s="592" t="s">
        <v>1089</v>
      </c>
      <c r="C62" s="592" t="s">
        <v>916</v>
      </c>
      <c r="D62" s="594">
        <v>6137.3</v>
      </c>
      <c r="E62" s="594">
        <v>4619.55</v>
      </c>
      <c r="F62" s="594"/>
      <c r="G62" s="592">
        <v>930.1</v>
      </c>
    </row>
    <row r="63" spans="1:7">
      <c r="A63" s="8">
        <v>49</v>
      </c>
      <c r="B63" s="592" t="s">
        <v>917</v>
      </c>
      <c r="C63" s="592">
        <v>6540</v>
      </c>
      <c r="D63" s="594">
        <v>13875</v>
      </c>
      <c r="E63" s="594">
        <v>10443.709999999999</v>
      </c>
      <c r="F63" s="594"/>
      <c r="G63" s="592">
        <v>930.1</v>
      </c>
    </row>
    <row r="64" spans="1:7">
      <c r="A64" s="8">
        <v>50</v>
      </c>
      <c r="B64" s="592" t="s">
        <v>917</v>
      </c>
      <c r="C64" s="592" t="s">
        <v>1111</v>
      </c>
      <c r="D64" s="594">
        <v>500</v>
      </c>
      <c r="E64" s="594">
        <v>376.35</v>
      </c>
      <c r="F64" s="594"/>
      <c r="G64" s="592">
        <v>930.1</v>
      </c>
    </row>
    <row r="65" spans="1:7">
      <c r="A65" s="8">
        <v>51</v>
      </c>
      <c r="B65" s="592" t="s">
        <v>912</v>
      </c>
      <c r="C65" s="592" t="s">
        <v>1112</v>
      </c>
      <c r="D65" s="594">
        <v>1500</v>
      </c>
      <c r="E65" s="594">
        <v>1129.05</v>
      </c>
      <c r="F65" s="594"/>
      <c r="G65" s="592">
        <v>930.1</v>
      </c>
    </row>
    <row r="66" spans="1:7">
      <c r="A66" s="8">
        <v>52</v>
      </c>
      <c r="B66" s="592" t="s">
        <v>1090</v>
      </c>
      <c r="C66" s="592" t="s">
        <v>1113</v>
      </c>
      <c r="D66" s="594">
        <v>109.67</v>
      </c>
      <c r="E66" s="594">
        <v>82.55</v>
      </c>
      <c r="F66" s="594"/>
      <c r="G66" s="592">
        <v>930.1</v>
      </c>
    </row>
    <row r="67" spans="1:7">
      <c r="A67" s="8">
        <v>53</v>
      </c>
      <c r="B67" s="592" t="s">
        <v>1091</v>
      </c>
      <c r="C67" s="592" t="s">
        <v>1114</v>
      </c>
      <c r="D67" s="594">
        <v>120.85</v>
      </c>
      <c r="E67" s="594">
        <v>90.96</v>
      </c>
      <c r="F67" s="594"/>
      <c r="G67" s="592">
        <v>930.1</v>
      </c>
    </row>
    <row r="68" spans="1:7">
      <c r="A68" s="8">
        <v>54</v>
      </c>
      <c r="B68" s="592" t="s">
        <v>1092</v>
      </c>
      <c r="C68" s="592" t="s">
        <v>909</v>
      </c>
      <c r="D68" s="594">
        <v>650</v>
      </c>
      <c r="E68" s="594">
        <v>489.26</v>
      </c>
      <c r="F68" s="594"/>
      <c r="G68" s="592">
        <v>930.1</v>
      </c>
    </row>
    <row r="69" spans="1:7">
      <c r="A69" s="8">
        <v>55</v>
      </c>
      <c r="B69" s="592" t="s">
        <v>1093</v>
      </c>
      <c r="C69" s="592" t="s">
        <v>1115</v>
      </c>
      <c r="D69" s="594">
        <v>42.5</v>
      </c>
      <c r="E69" s="594">
        <v>31.99</v>
      </c>
      <c r="F69" s="594"/>
      <c r="G69" s="592">
        <v>930.1</v>
      </c>
    </row>
    <row r="70" spans="1:7">
      <c r="A70" s="8">
        <v>56</v>
      </c>
      <c r="B70" s="592" t="s">
        <v>1094</v>
      </c>
      <c r="C70" s="592" t="s">
        <v>911</v>
      </c>
      <c r="D70" s="594">
        <v>1133.3399999999999</v>
      </c>
      <c r="E70" s="594">
        <v>853.07</v>
      </c>
      <c r="F70" s="594"/>
      <c r="G70" s="592">
        <v>930.1</v>
      </c>
    </row>
    <row r="71" spans="1:7">
      <c r="A71" s="8">
        <v>57</v>
      </c>
      <c r="B71" s="592" t="s">
        <v>1094</v>
      </c>
      <c r="C71" s="592" t="s">
        <v>1116</v>
      </c>
      <c r="D71" s="594">
        <v>12</v>
      </c>
      <c r="E71" s="594">
        <v>9.0299999999999994</v>
      </c>
      <c r="F71" s="594"/>
      <c r="G71" s="592">
        <v>930.1</v>
      </c>
    </row>
    <row r="72" spans="1:7">
      <c r="A72" s="8">
        <v>58</v>
      </c>
      <c r="B72" s="592"/>
      <c r="C72" s="592"/>
      <c r="D72" s="594"/>
      <c r="E72" s="594"/>
      <c r="F72" s="594"/>
      <c r="G72" s="592"/>
    </row>
    <row r="74" spans="1:7">
      <c r="A74" s="595">
        <v>59</v>
      </c>
      <c r="E74" s="91">
        <f>SUM(E34:E72)</f>
        <v>41405.449999999997</v>
      </c>
      <c r="F74" s="91">
        <f>SUM(F34:F72)</f>
        <v>8395</v>
      </c>
    </row>
    <row r="75" spans="1:7">
      <c r="A75" s="595">
        <v>60</v>
      </c>
      <c r="B75" s="6" t="s">
        <v>920</v>
      </c>
      <c r="F75" s="91">
        <f>+E74+F74</f>
        <v>49800.45</v>
      </c>
    </row>
  </sheetData>
  <mergeCells count="4">
    <mergeCell ref="B1:G1"/>
    <mergeCell ref="B4:G4"/>
    <mergeCell ref="B5:G5"/>
    <mergeCell ref="E8:E9"/>
  </mergeCells>
  <printOptions horizontalCentered="1"/>
  <pageMargins left="0.7" right="0.7" top="0.75" bottom="0.75" header="0.3" footer="0.3"/>
  <pageSetup scale="69" orientation="portrait" r:id="rId1"/>
  <headerFooter scaleWithDoc="0" alignWithMargins="0">
    <oddHeader>&amp;RPage &amp;P of &amp;N</oddHeader>
    <oddFooter>&amp;LElectronic Tab Name:&amp;A</oddFooter>
  </headerFooter>
  <rowBreaks count="1" manualBreakCount="1">
    <brk id="3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58"/>
  <sheetViews>
    <sheetView view="pageBreakPreview" zoomScale="60" zoomScaleNormal="85" workbookViewId="0">
      <selection activeCell="A3" sqref="A3:H3"/>
    </sheetView>
  </sheetViews>
  <sheetFormatPr defaultRowHeight="15.75"/>
  <cols>
    <col min="1" max="1" width="9.28515625" style="6" bestFit="1" customWidth="1"/>
    <col min="2" max="2" width="9.42578125" style="6" customWidth="1"/>
    <col min="3" max="3" width="27.28515625" style="6" customWidth="1"/>
    <col min="4" max="4" width="16.5703125" style="6" bestFit="1" customWidth="1"/>
    <col min="5" max="5" width="3" style="6" customWidth="1"/>
    <col min="6" max="6" width="16.7109375" style="6" bestFit="1" customWidth="1"/>
    <col min="7" max="7" width="3.140625" style="6" customWidth="1"/>
    <col min="8" max="8" width="23.5703125" style="6" customWidth="1"/>
    <col min="9" max="9" width="17.7109375" style="6" customWidth="1"/>
    <col min="10" max="10" width="19" style="6" bestFit="1" customWidth="1"/>
    <col min="11" max="11" width="3" style="6" customWidth="1"/>
    <col min="12" max="12" width="17.28515625" style="6" bestFit="1" customWidth="1"/>
    <col min="13" max="13" width="19.42578125" style="6" bestFit="1" customWidth="1"/>
    <col min="14" max="14" width="9.140625" style="6"/>
    <col min="15" max="15" width="11.28515625" style="6" bestFit="1" customWidth="1"/>
    <col min="16" max="16" width="3.85546875" style="6" customWidth="1"/>
    <col min="17" max="17" width="9.140625" style="6"/>
    <col min="18" max="18" width="4.5703125" style="6" customWidth="1"/>
    <col min="19" max="19" width="10" style="6" bestFit="1" customWidth="1"/>
    <col min="20" max="20" width="9.140625" style="6"/>
    <col min="21" max="21" width="16.28515625" style="6" bestFit="1" customWidth="1"/>
    <col min="22" max="22" width="9.140625" style="6"/>
    <col min="23" max="23" width="19.42578125" style="6" bestFit="1" customWidth="1"/>
    <col min="24" max="16384" width="9.140625" style="6"/>
  </cols>
  <sheetData>
    <row r="1" spans="1:13">
      <c r="B1" s="1032"/>
      <c r="C1" s="1032"/>
      <c r="D1" s="1032"/>
      <c r="E1" s="1032"/>
      <c r="F1" s="1032"/>
      <c r="G1" s="1032"/>
      <c r="H1" s="1032"/>
    </row>
    <row r="2" spans="1:13">
      <c r="B2" s="1025" t="s">
        <v>61</v>
      </c>
      <c r="C2" s="1025"/>
      <c r="D2" s="1025"/>
      <c r="E2" s="1025"/>
      <c r="F2" s="1025"/>
      <c r="G2" s="1025"/>
      <c r="H2" s="1025"/>
      <c r="I2" s="1025"/>
      <c r="J2" s="1025"/>
      <c r="K2" s="1025"/>
      <c r="L2" s="1025"/>
      <c r="M2" s="1025"/>
    </row>
    <row r="3" spans="1:13">
      <c r="B3" s="1025" t="s">
        <v>1690</v>
      </c>
      <c r="C3" s="1025"/>
      <c r="D3" s="1025"/>
      <c r="E3" s="1025"/>
      <c r="F3" s="1025"/>
      <c r="G3" s="1025"/>
      <c r="H3" s="1025"/>
      <c r="I3" s="1025"/>
      <c r="J3" s="1025"/>
      <c r="K3" s="1025"/>
      <c r="L3" s="1025"/>
      <c r="M3" s="1025"/>
    </row>
    <row r="4" spans="1:13">
      <c r="B4" s="1025" t="s">
        <v>1705</v>
      </c>
      <c r="C4" s="1025"/>
      <c r="D4" s="1025"/>
      <c r="E4" s="1025"/>
      <c r="F4" s="1025"/>
      <c r="G4" s="1025"/>
      <c r="H4" s="1025"/>
      <c r="I4" s="1025"/>
      <c r="J4" s="1025"/>
      <c r="K4" s="1025"/>
      <c r="L4" s="1025"/>
      <c r="M4" s="1025"/>
    </row>
    <row r="5" spans="1:13">
      <c r="B5" s="1025" t="s">
        <v>1716</v>
      </c>
      <c r="C5" s="1025"/>
      <c r="D5" s="1025"/>
      <c r="E5" s="1025"/>
      <c r="F5" s="1025"/>
      <c r="G5" s="1025"/>
      <c r="H5" s="1025"/>
      <c r="I5" s="1025"/>
      <c r="J5" s="1025"/>
      <c r="K5" s="1025"/>
      <c r="L5" s="1025"/>
      <c r="M5" s="1025"/>
    </row>
    <row r="6" spans="1:13">
      <c r="B6" s="1025" t="s">
        <v>985</v>
      </c>
      <c r="C6" s="1025"/>
      <c r="D6" s="1025"/>
      <c r="E6" s="1025"/>
      <c r="F6" s="1025"/>
      <c r="G6" s="1025"/>
      <c r="H6" s="1025"/>
      <c r="I6" s="1025"/>
      <c r="J6" s="1025"/>
      <c r="K6" s="1025"/>
      <c r="L6" s="1025"/>
      <c r="M6" s="1025"/>
    </row>
    <row r="7" spans="1:13">
      <c r="D7" s="37"/>
    </row>
    <row r="8" spans="1:13" s="8" customFormat="1">
      <c r="B8" s="8" t="s">
        <v>1731</v>
      </c>
      <c r="C8" s="8" t="s">
        <v>1729</v>
      </c>
      <c r="D8" s="8" t="s">
        <v>1730</v>
      </c>
      <c r="F8" s="8" t="s">
        <v>1733</v>
      </c>
      <c r="H8" s="8" t="s">
        <v>1734</v>
      </c>
      <c r="I8" s="8" t="s">
        <v>1743</v>
      </c>
      <c r="J8" s="597" t="s">
        <v>1744</v>
      </c>
      <c r="L8" s="8" t="s">
        <v>1745</v>
      </c>
      <c r="M8" s="8" t="s">
        <v>1746</v>
      </c>
    </row>
    <row r="9" spans="1:13">
      <c r="A9" s="598" t="s">
        <v>1180</v>
      </c>
      <c r="D9" s="37"/>
    </row>
    <row r="10" spans="1:13">
      <c r="A10" s="598"/>
      <c r="D10" s="8" t="s">
        <v>1139</v>
      </c>
    </row>
    <row r="11" spans="1:13">
      <c r="A11" s="598"/>
      <c r="D11" s="8" t="s">
        <v>1140</v>
      </c>
      <c r="F11" s="8" t="s">
        <v>897</v>
      </c>
      <c r="H11" s="599" t="s">
        <v>897</v>
      </c>
    </row>
    <row r="12" spans="1:13">
      <c r="A12" s="15" t="s">
        <v>891</v>
      </c>
      <c r="D12" s="32" t="s">
        <v>892</v>
      </c>
      <c r="F12" s="8" t="s">
        <v>1366</v>
      </c>
      <c r="H12" s="599" t="s">
        <v>969</v>
      </c>
    </row>
    <row r="13" spans="1:13">
      <c r="A13" s="8">
        <v>1</v>
      </c>
      <c r="B13" s="8">
        <v>503</v>
      </c>
      <c r="C13" s="6" t="s">
        <v>2075</v>
      </c>
      <c r="D13" s="600">
        <v>120189407</v>
      </c>
      <c r="F13" s="132">
        <v>0.49569000000000002</v>
      </c>
      <c r="H13" s="601">
        <f>+D13*F13</f>
        <v>59576687.155830003</v>
      </c>
    </row>
    <row r="14" spans="1:13">
      <c r="A14" s="8"/>
      <c r="B14" s="8"/>
      <c r="D14" s="600"/>
      <c r="F14" s="132"/>
      <c r="H14" s="601"/>
    </row>
    <row r="15" spans="1:13">
      <c r="A15" s="8">
        <v>2</v>
      </c>
      <c r="B15" s="8">
        <v>504</v>
      </c>
      <c r="C15" s="6" t="s">
        <v>2076</v>
      </c>
      <c r="D15" s="600">
        <v>81344242</v>
      </c>
      <c r="F15" s="132">
        <v>0.49303999999999998</v>
      </c>
      <c r="H15" s="601">
        <f>+D15*F15</f>
        <v>40105965.075679995</v>
      </c>
    </row>
    <row r="16" spans="1:13">
      <c r="A16" s="8"/>
      <c r="B16" s="8"/>
      <c r="D16" s="600"/>
      <c r="F16" s="132"/>
      <c r="H16" s="601"/>
    </row>
    <row r="17" spans="1:13">
      <c r="A17" s="8">
        <v>3</v>
      </c>
      <c r="B17" s="8">
        <v>505</v>
      </c>
      <c r="C17" s="6" t="s">
        <v>2077</v>
      </c>
      <c r="D17" s="600">
        <v>11417671</v>
      </c>
      <c r="F17" s="132">
        <v>0.47993000000000002</v>
      </c>
      <c r="H17" s="601">
        <f>+D17*F17</f>
        <v>5479682.8430300001</v>
      </c>
    </row>
    <row r="18" spans="1:13">
      <c r="A18" s="8"/>
      <c r="B18" s="8"/>
      <c r="D18" s="600"/>
      <c r="F18" s="132"/>
      <c r="H18" s="601"/>
    </row>
    <row r="19" spans="1:13">
      <c r="A19" s="8">
        <v>4</v>
      </c>
      <c r="B19" s="8">
        <v>511</v>
      </c>
      <c r="C19" s="6" t="s">
        <v>2078</v>
      </c>
      <c r="D19" s="600">
        <v>11107096</v>
      </c>
      <c r="F19" s="132">
        <v>0.47993000000000002</v>
      </c>
      <c r="H19" s="601">
        <f>+D19*F19</f>
        <v>5330628.5832799999</v>
      </c>
    </row>
    <row r="20" spans="1:13">
      <c r="A20" s="8"/>
      <c r="B20" s="8"/>
      <c r="D20" s="600"/>
      <c r="F20" s="132"/>
      <c r="H20" s="601"/>
    </row>
    <row r="21" spans="1:13">
      <c r="A21" s="8">
        <v>5</v>
      </c>
      <c r="B21" s="8">
        <v>570</v>
      </c>
      <c r="C21" s="6" t="s">
        <v>2079</v>
      </c>
      <c r="D21" s="600">
        <v>3848935</v>
      </c>
      <c r="F21" s="132">
        <v>0.46687000000000001</v>
      </c>
      <c r="H21" s="602">
        <f>+D21*F21</f>
        <v>1796952.28345</v>
      </c>
    </row>
    <row r="22" spans="1:13">
      <c r="A22" s="8"/>
      <c r="B22" s="8"/>
      <c r="D22" s="37"/>
      <c r="H22" s="247"/>
    </row>
    <row r="23" spans="1:13">
      <c r="A23" s="8">
        <v>6</v>
      </c>
      <c r="B23" s="6" t="s">
        <v>2006</v>
      </c>
      <c r="D23" s="37"/>
      <c r="H23" s="247">
        <f>SUM(H13:H22)</f>
        <v>112289915.94126999</v>
      </c>
    </row>
    <row r="24" spans="1:13">
      <c r="A24" s="8"/>
      <c r="G24" s="603"/>
      <c r="H24" s="603"/>
      <c r="I24" s="603"/>
    </row>
    <row r="25" spans="1:13">
      <c r="A25" s="8"/>
      <c r="B25" s="6" t="s">
        <v>1142</v>
      </c>
      <c r="G25" s="603"/>
      <c r="H25" s="603"/>
      <c r="I25" s="603"/>
      <c r="M25" s="597" t="s">
        <v>969</v>
      </c>
    </row>
    <row r="26" spans="1:13">
      <c r="A26" s="8">
        <v>7</v>
      </c>
      <c r="C26" s="6" t="s">
        <v>2069</v>
      </c>
      <c r="G26" s="603"/>
      <c r="H26" s="603"/>
      <c r="I26" s="603"/>
      <c r="J26" s="90">
        <v>110133416.64</v>
      </c>
      <c r="M26" s="597" t="s">
        <v>63</v>
      </c>
    </row>
    <row r="27" spans="1:13">
      <c r="A27" s="8">
        <v>8</v>
      </c>
      <c r="C27" s="6" t="s">
        <v>2070</v>
      </c>
      <c r="G27" s="603"/>
      <c r="H27" s="603"/>
      <c r="I27" s="603"/>
      <c r="J27" s="90">
        <f>+'Weather Normalization'!F21-'Weather Normalization'!H21</f>
        <v>10051636.126770001</v>
      </c>
      <c r="M27" s="247"/>
    </row>
    <row r="28" spans="1:13">
      <c r="A28" s="8">
        <v>9</v>
      </c>
      <c r="C28" s="6" t="s">
        <v>2007</v>
      </c>
      <c r="G28" s="603"/>
      <c r="I28" s="604" t="s">
        <v>15</v>
      </c>
      <c r="J28" s="90">
        <v>488031.55000002589</v>
      </c>
      <c r="L28" s="247">
        <f>+J28+J27+J26</f>
        <v>120673084.31677003</v>
      </c>
      <c r="M28" s="605">
        <f>+H23-L28</f>
        <v>-8383168.3755000383</v>
      </c>
    </row>
    <row r="29" spans="1:13">
      <c r="A29" s="8">
        <v>10</v>
      </c>
      <c r="C29" s="6" t="s">
        <v>2080</v>
      </c>
      <c r="G29" s="603"/>
      <c r="I29" s="604" t="s">
        <v>1602</v>
      </c>
      <c r="J29" s="90">
        <v>346008.79999999795</v>
      </c>
      <c r="L29" s="247">
        <f>J29</f>
        <v>346008.79999999795</v>
      </c>
      <c r="M29" s="606">
        <f>-L29</f>
        <v>-346008.79999999795</v>
      </c>
    </row>
    <row r="30" spans="1:13">
      <c r="A30" s="598" t="s">
        <v>1179</v>
      </c>
      <c r="G30" s="603"/>
      <c r="H30" s="603"/>
      <c r="I30" s="603"/>
      <c r="J30" s="90"/>
      <c r="L30" s="247"/>
      <c r="M30" s="247"/>
    </row>
    <row r="32" spans="1:13">
      <c r="B32" s="8" t="s">
        <v>1136</v>
      </c>
      <c r="C32" s="8"/>
      <c r="D32" s="8" t="s">
        <v>1139</v>
      </c>
      <c r="E32" s="8"/>
      <c r="F32" s="8" t="s">
        <v>1137</v>
      </c>
      <c r="G32" s="8"/>
      <c r="H32" s="8" t="s">
        <v>1138</v>
      </c>
      <c r="I32" s="8"/>
      <c r="J32" s="8" t="s">
        <v>59</v>
      </c>
      <c r="K32" s="8"/>
      <c r="L32" s="8" t="s">
        <v>984</v>
      </c>
    </row>
    <row r="33" spans="1:13">
      <c r="B33" s="8"/>
      <c r="D33" s="8" t="s">
        <v>1140</v>
      </c>
      <c r="F33" s="8" t="s">
        <v>1141</v>
      </c>
      <c r="G33" s="8"/>
      <c r="H33" s="8" t="s">
        <v>1141</v>
      </c>
      <c r="J33" s="8" t="s">
        <v>2081</v>
      </c>
    </row>
    <row r="34" spans="1:13">
      <c r="B34" s="8"/>
      <c r="D34" s="8" t="s">
        <v>892</v>
      </c>
      <c r="J34" s="8" t="s">
        <v>2082</v>
      </c>
    </row>
    <row r="35" spans="1:13">
      <c r="A35" s="15" t="s">
        <v>891</v>
      </c>
      <c r="B35" s="8"/>
      <c r="D35" s="37"/>
      <c r="L35" s="247"/>
    </row>
    <row r="36" spans="1:13">
      <c r="A36" s="8">
        <v>11</v>
      </c>
      <c r="B36" s="8">
        <v>503</v>
      </c>
      <c r="D36" s="600">
        <v>120189407</v>
      </c>
      <c r="F36" s="132">
        <v>0.30640000000000001</v>
      </c>
      <c r="H36" s="6">
        <v>0.16864000000000001</v>
      </c>
      <c r="J36" s="132">
        <f>+F36+H36</f>
        <v>0.47504000000000002</v>
      </c>
      <c r="L36" s="601">
        <f>+D36*J36</f>
        <v>57094775.901280001</v>
      </c>
    </row>
    <row r="37" spans="1:13">
      <c r="A37" s="8"/>
      <c r="B37" s="8"/>
      <c r="D37" s="600"/>
      <c r="F37" s="132"/>
      <c r="J37" s="132"/>
      <c r="L37" s="601"/>
    </row>
    <row r="38" spans="1:13">
      <c r="A38" s="8">
        <v>12</v>
      </c>
      <c r="B38" s="8">
        <v>504</v>
      </c>
      <c r="D38" s="600">
        <v>81344242</v>
      </c>
      <c r="F38" s="132">
        <v>0.30640000000000001</v>
      </c>
      <c r="H38" s="132">
        <v>0.1661</v>
      </c>
      <c r="J38" s="132">
        <f t="shared" ref="J38:J44" si="0">+F38+H38</f>
        <v>0.47250000000000003</v>
      </c>
      <c r="L38" s="601">
        <f t="shared" ref="L38:L44" si="1">+D38*J38</f>
        <v>38435154.344999999</v>
      </c>
    </row>
    <row r="39" spans="1:13">
      <c r="A39" s="8"/>
      <c r="B39" s="8"/>
      <c r="D39" s="600"/>
      <c r="F39" s="132"/>
      <c r="J39" s="132"/>
      <c r="L39" s="601"/>
    </row>
    <row r="40" spans="1:13">
      <c r="A40" s="8">
        <v>13</v>
      </c>
      <c r="B40" s="8">
        <v>505</v>
      </c>
      <c r="D40" s="600">
        <v>11417671</v>
      </c>
      <c r="F40" s="132">
        <v>0.30640000000000001</v>
      </c>
      <c r="H40" s="6">
        <v>0.15354999999999999</v>
      </c>
      <c r="J40" s="132">
        <f t="shared" si="0"/>
        <v>0.45994999999999997</v>
      </c>
      <c r="L40" s="601">
        <f t="shared" si="1"/>
        <v>5251557.7764499998</v>
      </c>
    </row>
    <row r="41" spans="1:13">
      <c r="A41" s="8"/>
      <c r="B41" s="8"/>
      <c r="D41" s="600"/>
      <c r="F41" s="132"/>
      <c r="J41" s="132"/>
      <c r="L41" s="601"/>
    </row>
    <row r="42" spans="1:13">
      <c r="A42" s="8">
        <v>14</v>
      </c>
      <c r="B42" s="8">
        <v>511</v>
      </c>
      <c r="D42" s="600">
        <v>11107096</v>
      </c>
      <c r="F42" s="132">
        <v>0.30640000000000001</v>
      </c>
      <c r="H42" s="6">
        <v>0.15354999999999999</v>
      </c>
      <c r="J42" s="132">
        <f t="shared" si="0"/>
        <v>0.45994999999999997</v>
      </c>
      <c r="L42" s="601">
        <f t="shared" si="1"/>
        <v>5108708.8051999994</v>
      </c>
    </row>
    <row r="43" spans="1:13">
      <c r="A43" s="8"/>
      <c r="B43" s="8"/>
      <c r="D43" s="600"/>
      <c r="F43" s="132"/>
      <c r="J43" s="132"/>
      <c r="L43" s="601"/>
    </row>
    <row r="44" spans="1:13">
      <c r="A44" s="8">
        <v>15</v>
      </c>
      <c r="B44" s="8">
        <v>570</v>
      </c>
      <c r="D44" s="600">
        <v>3848935</v>
      </c>
      <c r="F44" s="132">
        <v>0.30640000000000001</v>
      </c>
      <c r="H44" s="6">
        <v>0.14105000000000001</v>
      </c>
      <c r="J44" s="132">
        <f t="shared" si="0"/>
        <v>0.44745000000000001</v>
      </c>
      <c r="L44" s="602">
        <f t="shared" si="1"/>
        <v>1722205.96575</v>
      </c>
    </row>
    <row r="45" spans="1:13">
      <c r="A45" s="8"/>
      <c r="B45" s="8"/>
      <c r="D45" s="37"/>
      <c r="M45" s="8" t="s">
        <v>897</v>
      </c>
    </row>
    <row r="46" spans="1:13">
      <c r="A46" s="8">
        <v>16</v>
      </c>
      <c r="B46" s="6" t="s">
        <v>2005</v>
      </c>
      <c r="L46" s="247">
        <f>SUM(L36:L44)</f>
        <v>107612402.79367998</v>
      </c>
      <c r="M46" s="8" t="s">
        <v>63</v>
      </c>
    </row>
    <row r="47" spans="1:13">
      <c r="A47" s="8"/>
    </row>
    <row r="48" spans="1:13">
      <c r="A48" s="8">
        <v>17</v>
      </c>
      <c r="B48" s="6" t="s">
        <v>2003</v>
      </c>
      <c r="L48" s="247">
        <f>+'Exh MPP-2 - ROO Summary Sheet'!D19+'Weather Normalization'!F37</f>
        <v>113645500.64677002</v>
      </c>
      <c r="M48" s="607">
        <f>+L46-L48</f>
        <v>-6033097.8530900329</v>
      </c>
    </row>
    <row r="49" spans="3:13">
      <c r="C49" s="6" t="s">
        <v>2004</v>
      </c>
    </row>
    <row r="50" spans="3:13">
      <c r="L50" s="247"/>
      <c r="M50" s="247"/>
    </row>
    <row r="52" spans="3:13">
      <c r="L52" s="247"/>
      <c r="M52" s="247"/>
    </row>
    <row r="53" spans="3:13">
      <c r="J53" s="90"/>
      <c r="L53" s="247"/>
    </row>
    <row r="54" spans="3:13">
      <c r="L54" s="247"/>
    </row>
    <row r="55" spans="3:13">
      <c r="L55" s="247"/>
    </row>
    <row r="57" spans="3:13">
      <c r="J57" s="90"/>
      <c r="L57" s="247"/>
      <c r="M57" s="247"/>
    </row>
    <row r="58" spans="3:13">
      <c r="J58" s="90"/>
      <c r="L58" s="247"/>
      <c r="M58" s="437"/>
    </row>
  </sheetData>
  <mergeCells count="6">
    <mergeCell ref="B6:M6"/>
    <mergeCell ref="B1:H1"/>
    <mergeCell ref="B2:M2"/>
    <mergeCell ref="B3:M3"/>
    <mergeCell ref="B4:M4"/>
    <mergeCell ref="B5:M5"/>
  </mergeCells>
  <printOptions horizontalCentered="1"/>
  <pageMargins left="0.7" right="0.7" top="0.75" bottom="0.75" header="0.3" footer="0.3"/>
  <pageSetup scale="64" orientation="landscape" r:id="rId1"/>
  <headerFooter scaleWithDoc="0" alignWithMargins="0">
    <oddHeader>&amp;RPage &amp;P of &amp;N</oddHeader>
    <oddFooter>&amp;LElectronic Tab Name:&amp;A</oddFooter>
  </headerFooter>
  <rowBreaks count="1" manualBreakCount="1">
    <brk id="2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21"/>
  <sheetViews>
    <sheetView zoomScaleNormal="100" workbookViewId="0">
      <selection activeCell="A3" sqref="A3:H3"/>
    </sheetView>
  </sheetViews>
  <sheetFormatPr defaultRowHeight="15.75"/>
  <cols>
    <col min="1" max="5" width="9.140625" style="6"/>
    <col min="6" max="6" width="20.7109375" style="6" customWidth="1"/>
    <col min="7" max="16384" width="9.140625" style="6"/>
  </cols>
  <sheetData>
    <row r="1" spans="1:11">
      <c r="A1" s="1025" t="s">
        <v>61</v>
      </c>
      <c r="B1" s="1025"/>
      <c r="C1" s="1025"/>
      <c r="D1" s="1025"/>
      <c r="E1" s="1025"/>
      <c r="F1" s="1025"/>
      <c r="G1" s="1025"/>
      <c r="H1" s="1025"/>
      <c r="I1" s="1025"/>
      <c r="J1" s="5"/>
      <c r="K1" s="5"/>
    </row>
    <row r="2" spans="1:11">
      <c r="A2" s="1025" t="s">
        <v>1690</v>
      </c>
      <c r="B2" s="1025"/>
      <c r="C2" s="1025"/>
      <c r="D2" s="1025"/>
      <c r="E2" s="1025"/>
      <c r="F2" s="1025"/>
      <c r="G2" s="1025"/>
      <c r="H2" s="1025"/>
      <c r="I2" s="1025"/>
      <c r="J2" s="5"/>
      <c r="K2" s="5"/>
    </row>
    <row r="3" spans="1:11">
      <c r="A3" s="1025" t="s">
        <v>1706</v>
      </c>
      <c r="B3" s="1025"/>
      <c r="C3" s="1025"/>
      <c r="D3" s="1025"/>
      <c r="E3" s="1025"/>
      <c r="F3" s="1025"/>
      <c r="G3" s="1025"/>
      <c r="H3" s="1025"/>
      <c r="I3" s="1025"/>
      <c r="J3" s="5"/>
      <c r="K3" s="5"/>
    </row>
    <row r="4" spans="1:11">
      <c r="A4" s="1025" t="s">
        <v>1126</v>
      </c>
      <c r="B4" s="1025"/>
      <c r="C4" s="1025"/>
      <c r="D4" s="1025"/>
      <c r="E4" s="1025"/>
      <c r="F4" s="1025"/>
      <c r="G4" s="1025"/>
      <c r="H4" s="1025"/>
      <c r="I4" s="1025"/>
      <c r="J4" s="5"/>
      <c r="K4" s="5"/>
    </row>
    <row r="5" spans="1:11">
      <c r="A5" s="1025" t="s">
        <v>985</v>
      </c>
      <c r="B5" s="1025"/>
      <c r="C5" s="1025"/>
      <c r="D5" s="1025"/>
      <c r="E5" s="1025"/>
      <c r="F5" s="1025"/>
      <c r="G5" s="1025"/>
      <c r="H5" s="1025"/>
      <c r="I5" s="1025"/>
      <c r="J5" s="5"/>
      <c r="K5" s="5"/>
    </row>
    <row r="8" spans="1:11">
      <c r="A8" s="608" t="s">
        <v>1127</v>
      </c>
      <c r="B8" s="37"/>
      <c r="C8" s="37"/>
      <c r="D8" s="37"/>
      <c r="E8" s="37"/>
      <c r="F8" s="37"/>
      <c r="G8" s="37"/>
      <c r="H8" s="37"/>
      <c r="I8" s="37"/>
      <c r="J8" s="37"/>
      <c r="K8" s="37"/>
    </row>
    <row r="10" spans="1:11">
      <c r="D10" s="8" t="s">
        <v>891</v>
      </c>
      <c r="E10" s="8" t="s">
        <v>1731</v>
      </c>
      <c r="F10" s="8" t="s">
        <v>1729</v>
      </c>
    </row>
    <row r="11" spans="1:11" ht="63">
      <c r="D11" s="8"/>
      <c r="E11" s="609" t="s">
        <v>1725</v>
      </c>
      <c r="F11" s="610" t="s">
        <v>1977</v>
      </c>
    </row>
    <row r="12" spans="1:11">
      <c r="D12" s="8">
        <v>1</v>
      </c>
      <c r="E12" s="8" t="s">
        <v>1128</v>
      </c>
      <c r="F12" s="590">
        <v>66666.67</v>
      </c>
    </row>
    <row r="13" spans="1:11">
      <c r="D13" s="8">
        <v>2</v>
      </c>
      <c r="E13" s="8" t="s">
        <v>1129</v>
      </c>
      <c r="F13" s="590">
        <v>66666.67</v>
      </c>
    </row>
    <row r="14" spans="1:11">
      <c r="D14" s="8">
        <v>3</v>
      </c>
      <c r="E14" s="8" t="s">
        <v>1130</v>
      </c>
      <c r="F14" s="590">
        <v>66666.67</v>
      </c>
    </row>
    <row r="15" spans="1:11">
      <c r="D15" s="8">
        <v>4</v>
      </c>
      <c r="E15" s="8" t="s">
        <v>1131</v>
      </c>
      <c r="F15" s="590">
        <v>66666.67</v>
      </c>
    </row>
    <row r="16" spans="1:11">
      <c r="D16" s="8">
        <v>5</v>
      </c>
      <c r="E16" s="8" t="s">
        <v>1132</v>
      </c>
      <c r="F16" s="590">
        <v>66666.67</v>
      </c>
    </row>
    <row r="17" spans="3:6">
      <c r="D17" s="8">
        <v>6</v>
      </c>
      <c r="E17" s="8" t="s">
        <v>1133</v>
      </c>
      <c r="F17" s="590">
        <v>66666.67</v>
      </c>
    </row>
    <row r="18" spans="3:6">
      <c r="D18" s="8">
        <v>7</v>
      </c>
      <c r="E18" s="8" t="s">
        <v>1134</v>
      </c>
      <c r="F18" s="590">
        <v>66666.67</v>
      </c>
    </row>
    <row r="19" spans="3:6">
      <c r="C19" s="496"/>
      <c r="D19" s="8">
        <v>8</v>
      </c>
      <c r="E19" s="8" t="s">
        <v>1135</v>
      </c>
      <c r="F19" s="590">
        <v>66666.67</v>
      </c>
    </row>
    <row r="20" spans="3:6" ht="16.5" thickBot="1">
      <c r="D20" s="8">
        <v>9</v>
      </c>
      <c r="E20" s="8" t="s">
        <v>59</v>
      </c>
      <c r="F20" s="896">
        <f>SUM(F12:F19)</f>
        <v>533333.36</v>
      </c>
    </row>
    <row r="21" spans="3:6" ht="16.5" thickTop="1"/>
  </sheetData>
  <mergeCells count="5">
    <mergeCell ref="A1:I1"/>
    <mergeCell ref="A2:I2"/>
    <mergeCell ref="A3:I3"/>
    <mergeCell ref="A4:I4"/>
    <mergeCell ref="A5:I5"/>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21"/>
  <sheetViews>
    <sheetView workbookViewId="0">
      <selection activeCell="A3" sqref="A3:H3"/>
    </sheetView>
  </sheetViews>
  <sheetFormatPr defaultRowHeight="15.75"/>
  <cols>
    <col min="1" max="1" width="9.28515625" style="612" bestFit="1" customWidth="1"/>
    <col min="2" max="2" width="13.5703125" style="148" bestFit="1" customWidth="1"/>
    <col min="3" max="4" width="10.85546875" style="148" bestFit="1" customWidth="1"/>
    <col min="5" max="5" width="15.42578125" style="148" bestFit="1" customWidth="1"/>
    <col min="6" max="6" width="10.85546875" style="148" bestFit="1" customWidth="1"/>
    <col min="7" max="7" width="9.28515625" style="148" bestFit="1" customWidth="1"/>
    <col min="8" max="8" width="12.7109375" style="612" bestFit="1" customWidth="1"/>
    <col min="9" max="16384" width="9.140625" style="148"/>
  </cols>
  <sheetData>
    <row r="1" spans="1:13">
      <c r="A1" s="1025" t="s">
        <v>61</v>
      </c>
      <c r="B1" s="1025"/>
      <c r="C1" s="1025"/>
      <c r="D1" s="1025"/>
      <c r="E1" s="1025"/>
      <c r="F1" s="1025"/>
      <c r="G1" s="1025"/>
      <c r="H1" s="1025"/>
      <c r="I1" s="5"/>
      <c r="J1" s="5"/>
      <c r="K1" s="611"/>
      <c r="L1" s="611"/>
      <c r="M1" s="611"/>
    </row>
    <row r="2" spans="1:13">
      <c r="A2" s="1025" t="s">
        <v>1690</v>
      </c>
      <c r="B2" s="1025"/>
      <c r="C2" s="1025"/>
      <c r="D2" s="1025"/>
      <c r="E2" s="1025"/>
      <c r="F2" s="1025"/>
      <c r="G2" s="1025"/>
      <c r="H2" s="1025"/>
      <c r="I2" s="5"/>
      <c r="J2" s="5"/>
      <c r="K2" s="611"/>
      <c r="L2" s="611"/>
      <c r="M2" s="611"/>
    </row>
    <row r="3" spans="1:13">
      <c r="A3" s="1025" t="s">
        <v>1707</v>
      </c>
      <c r="B3" s="1025"/>
      <c r="C3" s="1025"/>
      <c r="D3" s="1025"/>
      <c r="E3" s="1025"/>
      <c r="F3" s="1025"/>
      <c r="G3" s="1025"/>
      <c r="H3" s="1025"/>
      <c r="I3" s="5"/>
      <c r="J3" s="5"/>
      <c r="K3" s="611"/>
      <c r="L3" s="611"/>
      <c r="M3" s="611"/>
    </row>
    <row r="4" spans="1:13">
      <c r="A4" s="1025" t="s">
        <v>87</v>
      </c>
      <c r="B4" s="1025"/>
      <c r="C4" s="1025"/>
      <c r="D4" s="1025"/>
      <c r="E4" s="1025"/>
      <c r="F4" s="1025"/>
      <c r="G4" s="1025"/>
      <c r="H4" s="1025"/>
      <c r="I4" s="5"/>
      <c r="J4" s="5"/>
      <c r="K4" s="611"/>
      <c r="L4" s="611"/>
      <c r="M4" s="611"/>
    </row>
    <row r="5" spans="1:13">
      <c r="A5" s="1025" t="s">
        <v>985</v>
      </c>
      <c r="B5" s="1025"/>
      <c r="C5" s="1025"/>
      <c r="D5" s="1025"/>
      <c r="E5" s="1025"/>
      <c r="F5" s="1025"/>
      <c r="G5" s="1025"/>
      <c r="H5" s="1025"/>
      <c r="I5" s="5"/>
      <c r="J5" s="5"/>
      <c r="K5" s="611"/>
      <c r="L5" s="611"/>
      <c r="M5" s="611"/>
    </row>
    <row r="6" spans="1:13">
      <c r="K6" s="611"/>
      <c r="L6" s="611"/>
      <c r="M6" s="611"/>
    </row>
    <row r="7" spans="1:13">
      <c r="K7" s="611"/>
      <c r="L7" s="611"/>
      <c r="M7" s="611"/>
    </row>
    <row r="8" spans="1:13">
      <c r="K8" s="611"/>
      <c r="L8" s="611"/>
      <c r="M8" s="611"/>
    </row>
    <row r="9" spans="1:13" s="612" customFormat="1">
      <c r="B9" s="612" t="s">
        <v>1731</v>
      </c>
      <c r="C9" s="612" t="s">
        <v>1729</v>
      </c>
      <c r="D9" s="612" t="s">
        <v>1730</v>
      </c>
      <c r="E9" s="612" t="s">
        <v>1733</v>
      </c>
      <c r="F9" s="612" t="s">
        <v>1734</v>
      </c>
      <c r="G9" s="612" t="s">
        <v>1743</v>
      </c>
      <c r="H9" s="612" t="s">
        <v>1744</v>
      </c>
      <c r="K9" s="613"/>
      <c r="L9" s="613"/>
      <c r="M9" s="613"/>
    </row>
    <row r="10" spans="1:13">
      <c r="B10" s="614" t="s">
        <v>390</v>
      </c>
      <c r="C10" s="611"/>
      <c r="D10" s="611"/>
      <c r="E10" s="611"/>
      <c r="F10" s="611"/>
      <c r="G10" s="611"/>
      <c r="H10" s="613"/>
      <c r="I10" s="611"/>
      <c r="J10" s="611"/>
    </row>
    <row r="11" spans="1:13">
      <c r="B11" s="611"/>
      <c r="C11" s="611"/>
      <c r="D11" s="611"/>
      <c r="E11" s="615"/>
      <c r="F11" s="611"/>
      <c r="G11" s="611"/>
      <c r="H11" s="613"/>
      <c r="I11" s="611"/>
      <c r="J11" s="611"/>
    </row>
    <row r="12" spans="1:13">
      <c r="A12" s="612" t="s">
        <v>891</v>
      </c>
      <c r="B12" s="611" t="s">
        <v>93</v>
      </c>
      <c r="C12" s="613" t="s">
        <v>94</v>
      </c>
      <c r="D12" s="613"/>
      <c r="E12" s="613" t="s">
        <v>95</v>
      </c>
      <c r="F12" s="613"/>
      <c r="G12" s="613" t="s">
        <v>96</v>
      </c>
      <c r="H12" s="613"/>
      <c r="I12" s="611"/>
      <c r="J12" s="611"/>
    </row>
    <row r="13" spans="1:13">
      <c r="A13" s="612">
        <v>1</v>
      </c>
      <c r="B13" s="616">
        <v>42735</v>
      </c>
      <c r="C13" s="613" t="s">
        <v>97</v>
      </c>
      <c r="D13" s="613" t="s">
        <v>98</v>
      </c>
      <c r="E13" s="613" t="s">
        <v>99</v>
      </c>
      <c r="F13" s="613" t="s">
        <v>63</v>
      </c>
      <c r="G13" s="613" t="s">
        <v>100</v>
      </c>
      <c r="H13" s="617" t="s">
        <v>101</v>
      </c>
      <c r="I13" s="611"/>
      <c r="J13" s="611"/>
    </row>
    <row r="14" spans="1:13">
      <c r="B14" s="616"/>
      <c r="C14" s="613"/>
      <c r="D14" s="613"/>
      <c r="E14" s="613"/>
      <c r="F14" s="613"/>
      <c r="G14" s="618"/>
      <c r="H14" s="619"/>
    </row>
    <row r="15" spans="1:13">
      <c r="B15" s="611"/>
      <c r="C15" s="613"/>
      <c r="D15" s="613"/>
      <c r="E15" s="613"/>
      <c r="F15" s="613"/>
      <c r="G15" s="613"/>
      <c r="H15" s="619"/>
    </row>
    <row r="16" spans="1:13" ht="16.5" thickBot="1">
      <c r="A16" s="612">
        <v>2</v>
      </c>
      <c r="B16" s="620">
        <f>+'Exh MPP-2 - ROO Summary Sheet'!P40</f>
        <v>300860725.69764143</v>
      </c>
      <c r="C16" s="621">
        <f>+'Capital Structure Calculation'!J11</f>
        <v>2.648E-2</v>
      </c>
      <c r="D16" s="619">
        <f>B16*C16</f>
        <v>7966792.0164735448</v>
      </c>
      <c r="E16" s="619">
        <f>+'Operating Report'!G159</f>
        <v>8752011.7399999984</v>
      </c>
      <c r="F16" s="613">
        <f>+D16-E16</f>
        <v>-785219.7235264536</v>
      </c>
      <c r="G16" s="622">
        <f>+'Exh MPP-4 - Conversion Factor'!C33</f>
        <v>0.35</v>
      </c>
      <c r="H16" s="623">
        <f>+F16*-G16</f>
        <v>274826.90323425876</v>
      </c>
      <c r="K16" s="611"/>
      <c r="L16" s="611"/>
      <c r="M16" s="611"/>
    </row>
    <row r="17" spans="2:13" ht="16.5" thickTop="1">
      <c r="B17" s="611"/>
      <c r="C17" s="611"/>
      <c r="D17" s="624"/>
      <c r="E17" s="611"/>
      <c r="F17" s="611"/>
      <c r="G17" s="625"/>
      <c r="H17" s="613"/>
      <c r="K17" s="611"/>
      <c r="L17" s="626"/>
      <c r="M17" s="611"/>
    </row>
    <row r="18" spans="2:13">
      <c r="G18" s="611"/>
      <c r="H18" s="613"/>
      <c r="K18" s="611"/>
      <c r="L18" s="611"/>
      <c r="M18" s="611"/>
    </row>
    <row r="19" spans="2:13">
      <c r="B19" s="627"/>
      <c r="C19" s="624"/>
      <c r="D19" s="624"/>
      <c r="E19" s="611"/>
      <c r="F19" s="611"/>
      <c r="I19" s="611"/>
      <c r="J19" s="611"/>
      <c r="K19" s="611"/>
      <c r="L19" s="611"/>
      <c r="M19" s="611"/>
    </row>
    <row r="20" spans="2:13">
      <c r="B20" s="611"/>
      <c r="C20" s="611"/>
      <c r="D20" s="611"/>
      <c r="E20" s="611"/>
      <c r="F20" s="611"/>
      <c r="I20" s="611"/>
      <c r="J20" s="611"/>
      <c r="K20" s="611"/>
      <c r="L20" s="611"/>
      <c r="M20" s="613"/>
    </row>
    <row r="21" spans="2:13">
      <c r="G21" s="611"/>
      <c r="H21" s="613"/>
      <c r="I21" s="611"/>
      <c r="J21" s="611"/>
      <c r="K21" s="611"/>
      <c r="L21" s="611"/>
      <c r="M21" s="611"/>
    </row>
  </sheetData>
  <mergeCells count="5">
    <mergeCell ref="A1:H1"/>
    <mergeCell ref="A2:H2"/>
    <mergeCell ref="A3:H3"/>
    <mergeCell ref="A4:H4"/>
    <mergeCell ref="A5:H5"/>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89"/>
  <sheetViews>
    <sheetView view="pageBreakPreview" topLeftCell="A49" zoomScale="70" zoomScaleNormal="100" zoomScaleSheetLayoutView="70" workbookViewId="0">
      <selection activeCell="C81" sqref="C81"/>
    </sheetView>
  </sheetViews>
  <sheetFormatPr defaultRowHeight="15.75"/>
  <cols>
    <col min="1" max="1" width="10.140625" style="8" customWidth="1"/>
    <col min="2" max="2" width="46.140625" style="6" customWidth="1"/>
    <col min="3" max="3" width="12.140625" style="6" customWidth="1"/>
    <col min="4" max="4" width="18.42578125" style="6" bestFit="1" customWidth="1"/>
    <col min="5" max="5" width="12.7109375" style="6" bestFit="1" customWidth="1"/>
    <col min="6" max="6" width="19" style="6" bestFit="1" customWidth="1"/>
    <col min="7" max="7" width="8.140625" style="6" bestFit="1" customWidth="1"/>
    <col min="8" max="8" width="17.5703125" style="6" customWidth="1"/>
    <col min="9" max="9" width="19" style="6" customWidth="1"/>
    <col min="10" max="10" width="13.28515625" style="6" customWidth="1"/>
    <col min="11" max="11" width="19.5703125" style="6" customWidth="1"/>
    <col min="12" max="12" width="18.42578125" style="6" customWidth="1"/>
    <col min="13" max="13" width="8.140625" style="6" bestFit="1" customWidth="1"/>
    <col min="14" max="14" width="19" style="6" bestFit="1" customWidth="1"/>
    <col min="15" max="15" width="17.85546875" style="6" bestFit="1" customWidth="1"/>
    <col min="16" max="16" width="22.140625" style="6" bestFit="1" customWidth="1"/>
    <col min="17" max="16384" width="9.140625" style="6"/>
  </cols>
  <sheetData>
    <row r="1" spans="1:16">
      <c r="C1" s="531"/>
      <c r="D1" s="531"/>
      <c r="E1" s="1025" t="s">
        <v>61</v>
      </c>
      <c r="F1" s="1025"/>
      <c r="G1" s="1025"/>
      <c r="H1" s="1025"/>
      <c r="I1" s="1025"/>
      <c r="J1" s="1025"/>
      <c r="K1" s="1025"/>
      <c r="L1" s="1025"/>
      <c r="N1" s="531"/>
      <c r="O1" s="531"/>
      <c r="P1" s="531"/>
    </row>
    <row r="2" spans="1:16">
      <c r="C2" s="628"/>
      <c r="D2" s="628"/>
      <c r="E2" s="1025" t="s">
        <v>1690</v>
      </c>
      <c r="F2" s="1025"/>
      <c r="G2" s="1025"/>
      <c r="H2" s="1025"/>
      <c r="I2" s="1025"/>
      <c r="J2" s="1025"/>
      <c r="K2" s="1025"/>
      <c r="L2" s="1025"/>
      <c r="N2" s="628"/>
      <c r="O2" s="628"/>
      <c r="P2" s="628"/>
    </row>
    <row r="3" spans="1:16">
      <c r="C3" s="628"/>
      <c r="D3" s="628"/>
      <c r="E3" s="1025" t="s">
        <v>1708</v>
      </c>
      <c r="F3" s="1025"/>
      <c r="G3" s="1025"/>
      <c r="H3" s="1025"/>
      <c r="I3" s="1025"/>
      <c r="J3" s="1025"/>
      <c r="K3" s="1025"/>
      <c r="L3" s="1025"/>
      <c r="N3" s="628"/>
      <c r="O3" s="628"/>
      <c r="P3" s="628"/>
    </row>
    <row r="4" spans="1:16">
      <c r="C4" s="628"/>
      <c r="D4" s="628"/>
      <c r="E4" s="1025" t="s">
        <v>980</v>
      </c>
      <c r="F4" s="1025"/>
      <c r="G4" s="1025"/>
      <c r="H4" s="1025"/>
      <c r="I4" s="1025"/>
      <c r="J4" s="1025"/>
      <c r="K4" s="1025"/>
      <c r="L4" s="1025"/>
      <c r="N4" s="628"/>
      <c r="O4" s="628"/>
      <c r="P4" s="628"/>
    </row>
    <row r="5" spans="1:16">
      <c r="C5" s="629"/>
      <c r="D5" s="629"/>
      <c r="E5" s="1025" t="s">
        <v>985</v>
      </c>
      <c r="F5" s="1025"/>
      <c r="G5" s="1025"/>
      <c r="H5" s="1025"/>
      <c r="I5" s="1025"/>
      <c r="J5" s="1025"/>
      <c r="K5" s="1025"/>
      <c r="L5" s="1025"/>
      <c r="N5" s="630"/>
      <c r="O5" s="630"/>
      <c r="P5" s="630"/>
    </row>
    <row r="6" spans="1:16">
      <c r="C6" s="629"/>
      <c r="D6" s="629"/>
      <c r="E6" s="629"/>
      <c r="F6" s="38"/>
      <c r="G6" s="38"/>
      <c r="H6" s="38"/>
      <c r="I6" s="38"/>
      <c r="J6" s="38"/>
      <c r="K6" s="38"/>
      <c r="L6" s="38"/>
      <c r="M6" s="38"/>
      <c r="N6" s="630"/>
      <c r="O6" s="630"/>
      <c r="P6" s="630"/>
    </row>
    <row r="7" spans="1:16" s="8" customFormat="1">
      <c r="B7" s="8" t="s">
        <v>1731</v>
      </c>
      <c r="C7" s="8" t="s">
        <v>1729</v>
      </c>
      <c r="D7" s="8" t="s">
        <v>1730</v>
      </c>
      <c r="E7" s="8" t="s">
        <v>1733</v>
      </c>
      <c r="F7" s="8" t="s">
        <v>1734</v>
      </c>
      <c r="G7" s="8" t="s">
        <v>1743</v>
      </c>
      <c r="H7" s="8" t="s">
        <v>1744</v>
      </c>
      <c r="I7" s="631" t="s">
        <v>1745</v>
      </c>
      <c r="J7" s="631" t="s">
        <v>1746</v>
      </c>
      <c r="K7" s="631" t="s">
        <v>1747</v>
      </c>
      <c r="L7" s="631" t="s">
        <v>1748</v>
      </c>
      <c r="M7" s="631" t="s">
        <v>1749</v>
      </c>
      <c r="N7" s="631" t="s">
        <v>1750</v>
      </c>
      <c r="O7" s="631" t="s">
        <v>1751</v>
      </c>
      <c r="P7" s="631" t="s">
        <v>1752</v>
      </c>
    </row>
    <row r="8" spans="1:16">
      <c r="D8" s="6" t="s">
        <v>933</v>
      </c>
      <c r="E8" s="6" t="s">
        <v>934</v>
      </c>
      <c r="F8" s="6" t="s">
        <v>935</v>
      </c>
      <c r="G8" s="8"/>
      <c r="H8" s="6" t="s">
        <v>936</v>
      </c>
      <c r="P8" s="6" t="s">
        <v>59</v>
      </c>
    </row>
    <row r="9" spans="1:16">
      <c r="C9" s="6" t="s">
        <v>85</v>
      </c>
      <c r="D9" s="8" t="s">
        <v>2142</v>
      </c>
      <c r="E9" s="6" t="s">
        <v>73</v>
      </c>
      <c r="F9" s="6" t="s">
        <v>2143</v>
      </c>
      <c r="G9" s="8" t="s">
        <v>2144</v>
      </c>
      <c r="H9" s="6" t="s">
        <v>1035</v>
      </c>
      <c r="I9" s="6" t="s">
        <v>111</v>
      </c>
      <c r="J9" s="6" t="s">
        <v>937</v>
      </c>
      <c r="K9" s="6" t="s">
        <v>937</v>
      </c>
      <c r="L9" s="6" t="s">
        <v>1036</v>
      </c>
      <c r="N9" s="6" t="s">
        <v>1037</v>
      </c>
      <c r="O9" s="6" t="s">
        <v>1037</v>
      </c>
      <c r="P9" s="6" t="s">
        <v>934</v>
      </c>
    </row>
    <row r="10" spans="1:16">
      <c r="A10" s="15" t="s">
        <v>1727</v>
      </c>
      <c r="C10" s="6" t="s">
        <v>938</v>
      </c>
      <c r="D10" s="6" t="s">
        <v>939</v>
      </c>
      <c r="E10" s="6" t="s">
        <v>940</v>
      </c>
      <c r="F10" s="6" t="s">
        <v>941</v>
      </c>
      <c r="H10" s="6" t="s">
        <v>942</v>
      </c>
      <c r="J10" s="6" t="s">
        <v>2145</v>
      </c>
      <c r="K10" s="6" t="s">
        <v>73</v>
      </c>
      <c r="L10" s="6" t="s">
        <v>114</v>
      </c>
      <c r="N10" s="6" t="s">
        <v>73</v>
      </c>
      <c r="O10" s="6" t="s">
        <v>114</v>
      </c>
      <c r="P10" s="6" t="s">
        <v>63</v>
      </c>
    </row>
    <row r="11" spans="1:16">
      <c r="A11" s="8">
        <v>1</v>
      </c>
      <c r="B11" s="6" t="s">
        <v>943</v>
      </c>
      <c r="D11" s="387">
        <f>+D36</f>
        <v>5559294.3251210293</v>
      </c>
      <c r="E11" s="6" t="s">
        <v>1038</v>
      </c>
      <c r="F11" s="387">
        <v>0</v>
      </c>
      <c r="G11" s="437">
        <v>0.04</v>
      </c>
      <c r="H11" s="387">
        <f>+F11*G11</f>
        <v>0</v>
      </c>
      <c r="I11" s="387">
        <f>+D11+H11</f>
        <v>5559294.3251210293</v>
      </c>
      <c r="J11" s="437">
        <f>K36/I36</f>
        <v>3.9694374895358861E-2</v>
      </c>
      <c r="K11" s="387">
        <f>+I11*J11</f>
        <v>220672.71309499515</v>
      </c>
      <c r="L11" s="387">
        <f>+I11+K11</f>
        <v>5779967.0382160246</v>
      </c>
      <c r="M11" s="437">
        <f>N36/L36</f>
        <v>3.9694872968174484E-2</v>
      </c>
      <c r="N11" s="553">
        <f>+L11*M11</f>
        <v>229435.05734222083</v>
      </c>
      <c r="O11" s="553">
        <f>+L11+N11</f>
        <v>6009402.0955582457</v>
      </c>
      <c r="P11" s="387">
        <f>+N11+K11+H11</f>
        <v>450107.77043721598</v>
      </c>
    </row>
    <row r="12" spans="1:16">
      <c r="A12" s="8">
        <v>2</v>
      </c>
      <c r="D12" s="387"/>
      <c r="F12" s="387"/>
      <c r="G12" s="437"/>
      <c r="H12" s="387"/>
      <c r="I12" s="387"/>
      <c r="J12" s="437"/>
      <c r="K12" s="387"/>
      <c r="L12" s="387"/>
      <c r="M12" s="437"/>
      <c r="N12" s="553"/>
    </row>
    <row r="13" spans="1:16" ht="16.5" thickBot="1">
      <c r="A13" s="8">
        <v>3</v>
      </c>
      <c r="B13" s="6" t="s">
        <v>944</v>
      </c>
      <c r="D13" s="632">
        <f>+D61</f>
        <v>8859248.0217900351</v>
      </c>
      <c r="E13" s="633" t="s">
        <v>945</v>
      </c>
      <c r="F13" s="632">
        <f>+F61</f>
        <v>2308180.6871949974</v>
      </c>
      <c r="G13" s="634">
        <v>3.1E-2</v>
      </c>
      <c r="H13" s="632">
        <f>+F13*G13</f>
        <v>71553.601303044925</v>
      </c>
      <c r="I13" s="632">
        <f>+D13+H13</f>
        <v>8930801.6230930798</v>
      </c>
      <c r="J13" s="634">
        <v>3.1E-2</v>
      </c>
      <c r="K13" s="632">
        <f>+I13*J13</f>
        <v>276854.85031588544</v>
      </c>
      <c r="L13" s="632">
        <f>+I13+K13</f>
        <v>9207656.4734089654</v>
      </c>
      <c r="M13" s="634">
        <v>3.1E-2</v>
      </c>
      <c r="N13" s="635">
        <f>+L13*M13</f>
        <v>285437.35067567794</v>
      </c>
      <c r="O13" s="635">
        <f>+L13+N13</f>
        <v>9493093.8240846433</v>
      </c>
      <c r="P13" s="632">
        <f>+N13+K13+H13</f>
        <v>633845.80229460832</v>
      </c>
    </row>
    <row r="14" spans="1:16">
      <c r="A14" s="8">
        <v>4</v>
      </c>
      <c r="D14" s="387"/>
      <c r="F14" s="387"/>
      <c r="G14" s="437"/>
      <c r="H14" s="387"/>
      <c r="I14" s="387"/>
      <c r="J14" s="437"/>
      <c r="K14" s="387"/>
      <c r="L14" s="387"/>
      <c r="M14" s="437"/>
      <c r="N14" s="553"/>
    </row>
    <row r="15" spans="1:16" ht="16.5" thickBot="1">
      <c r="A15" s="8">
        <v>5</v>
      </c>
      <c r="D15" s="387">
        <v>13816265.910830002</v>
      </c>
      <c r="F15" s="387">
        <v>8816575.5899999999</v>
      </c>
      <c r="G15" s="437"/>
      <c r="H15" s="636">
        <f>+H11+H13</f>
        <v>71553.601303044925</v>
      </c>
      <c r="I15" s="387">
        <f>+I11+I13</f>
        <v>14490095.94821411</v>
      </c>
      <c r="J15" s="437"/>
      <c r="K15" s="636">
        <f>+K11+K13</f>
        <v>497527.56341088063</v>
      </c>
      <c r="L15" s="387">
        <f>+L11+L13</f>
        <v>14987623.51162499</v>
      </c>
      <c r="N15" s="636">
        <f>+N11+N13</f>
        <v>514872.40801789879</v>
      </c>
      <c r="P15" s="637">
        <f>+P11+P13</f>
        <v>1083953.5727318244</v>
      </c>
    </row>
    <row r="16" spans="1:16" ht="16.5" thickTop="1">
      <c r="A16" s="8">
        <v>6</v>
      </c>
      <c r="D16" s="387"/>
      <c r="F16" s="387"/>
      <c r="G16" s="437"/>
      <c r="H16" s="636"/>
      <c r="I16" s="387"/>
      <c r="J16" s="437"/>
      <c r="K16" s="636"/>
      <c r="L16" s="387"/>
      <c r="N16" s="636"/>
      <c r="P16" s="638"/>
    </row>
    <row r="17" spans="1:16">
      <c r="A17" s="8">
        <v>7</v>
      </c>
      <c r="B17" s="6" t="s">
        <v>968</v>
      </c>
      <c r="D17" s="387"/>
      <c r="F17" s="387"/>
      <c r="G17" s="437"/>
      <c r="H17" s="636"/>
      <c r="I17" s="387"/>
      <c r="J17" s="437"/>
      <c r="K17" s="636"/>
      <c r="L17" s="387"/>
      <c r="N17" s="636"/>
      <c r="O17" s="437">
        <v>7.6499999999999999E-2</v>
      </c>
      <c r="P17" s="638">
        <f>+P15*O17</f>
        <v>82922.448313984569</v>
      </c>
    </row>
    <row r="18" spans="1:16">
      <c r="A18" s="8">
        <v>8</v>
      </c>
      <c r="D18" s="387"/>
      <c r="G18" s="437"/>
      <c r="K18" s="387"/>
      <c r="L18" s="387"/>
      <c r="N18" s="553"/>
    </row>
    <row r="19" spans="1:16">
      <c r="A19" s="8">
        <v>9</v>
      </c>
      <c r="B19" s="6" t="s">
        <v>943</v>
      </c>
    </row>
    <row r="20" spans="1:16">
      <c r="A20" s="8">
        <v>10</v>
      </c>
      <c r="C20" s="639" t="s">
        <v>946</v>
      </c>
      <c r="D20" s="91">
        <v>198112.25077799964</v>
      </c>
      <c r="G20" s="437"/>
      <c r="H20" s="387">
        <f t="shared" ref="H20:H34" si="0">+F20*G20</f>
        <v>0</v>
      </c>
      <c r="I20" s="387">
        <f t="shared" ref="I20:I34" si="1">+D20+H20</f>
        <v>198112.25077799964</v>
      </c>
      <c r="J20" s="640">
        <v>0.04</v>
      </c>
      <c r="K20" s="387">
        <f>+I20*J20</f>
        <v>7924.4900311199854</v>
      </c>
      <c r="L20" s="387">
        <f>+I20+K20</f>
        <v>206036.74080911963</v>
      </c>
      <c r="M20" s="437">
        <v>0.04</v>
      </c>
      <c r="N20" s="553">
        <f t="shared" ref="N20:N29" si="2">+L20*M20</f>
        <v>8241.4696323647859</v>
      </c>
      <c r="O20" s="387">
        <f>+N20+L20</f>
        <v>214278.21044148441</v>
      </c>
      <c r="P20" s="387">
        <f t="shared" ref="P20:P29" si="3">+N20+K20+H20</f>
        <v>16165.959663484771</v>
      </c>
    </row>
    <row r="21" spans="1:16">
      <c r="A21" s="8">
        <v>11</v>
      </c>
      <c r="C21" s="639" t="s">
        <v>947</v>
      </c>
      <c r="D21" s="91">
        <v>1241025.4402469669</v>
      </c>
      <c r="G21" s="437"/>
      <c r="H21" s="387">
        <f t="shared" si="0"/>
        <v>0</v>
      </c>
      <c r="I21" s="387">
        <f t="shared" si="1"/>
        <v>1241025.4402469669</v>
      </c>
      <c r="J21" s="640">
        <v>0.04</v>
      </c>
      <c r="K21" s="387">
        <f t="shared" ref="K21:K34" si="4">+I21*J21</f>
        <v>49641.017609878676</v>
      </c>
      <c r="L21" s="387">
        <f t="shared" ref="L21:L34" si="5">+I21+K21</f>
        <v>1290666.4578568456</v>
      </c>
      <c r="M21" s="437">
        <v>0.04</v>
      </c>
      <c r="N21" s="553">
        <f t="shared" si="2"/>
        <v>51626.658314273824</v>
      </c>
      <c r="O21" s="387">
        <f t="shared" ref="O21:O34" si="6">+N21+L21</f>
        <v>1342293.1161711195</v>
      </c>
      <c r="P21" s="387">
        <f t="shared" si="3"/>
        <v>101267.6759241525</v>
      </c>
    </row>
    <row r="22" spans="1:16">
      <c r="A22" s="8">
        <v>12</v>
      </c>
      <c r="C22" s="639" t="s">
        <v>948</v>
      </c>
      <c r="D22" s="91">
        <v>352014.65952900029</v>
      </c>
      <c r="G22" s="437"/>
      <c r="H22" s="387">
        <f t="shared" si="0"/>
        <v>0</v>
      </c>
      <c r="I22" s="387">
        <f t="shared" si="1"/>
        <v>352014.65952900029</v>
      </c>
      <c r="J22" s="640">
        <v>0.04</v>
      </c>
      <c r="K22" s="387">
        <f t="shared" si="4"/>
        <v>14080.586381160012</v>
      </c>
      <c r="L22" s="387">
        <f t="shared" si="5"/>
        <v>366095.2459101603</v>
      </c>
      <c r="M22" s="437">
        <v>0.04</v>
      </c>
      <c r="N22" s="553">
        <f t="shared" si="2"/>
        <v>14643.809836406412</v>
      </c>
      <c r="O22" s="387">
        <f t="shared" si="6"/>
        <v>380739.05574656674</v>
      </c>
      <c r="P22" s="387">
        <f t="shared" si="3"/>
        <v>28724.396217566424</v>
      </c>
    </row>
    <row r="23" spans="1:16">
      <c r="A23" s="8">
        <v>13</v>
      </c>
      <c r="C23" s="639" t="s">
        <v>949</v>
      </c>
      <c r="D23" s="91">
        <v>359591.65829400643</v>
      </c>
      <c r="G23" s="437"/>
      <c r="H23" s="387">
        <f t="shared" si="0"/>
        <v>0</v>
      </c>
      <c r="I23" s="387">
        <f t="shared" si="1"/>
        <v>359591.65829400643</v>
      </c>
      <c r="J23" s="640">
        <v>0.04</v>
      </c>
      <c r="K23" s="387">
        <f t="shared" si="4"/>
        <v>14383.666331760258</v>
      </c>
      <c r="L23" s="387">
        <f t="shared" si="5"/>
        <v>373975.32462576666</v>
      </c>
      <c r="M23" s="437">
        <v>0.04</v>
      </c>
      <c r="N23" s="553">
        <f t="shared" si="2"/>
        <v>14959.012985030668</v>
      </c>
      <c r="O23" s="387">
        <f t="shared" si="6"/>
        <v>388934.33761079732</v>
      </c>
      <c r="P23" s="387">
        <f t="shared" si="3"/>
        <v>29342.679316790927</v>
      </c>
    </row>
    <row r="24" spans="1:16">
      <c r="A24" s="8">
        <v>14</v>
      </c>
      <c r="C24" s="639" t="s">
        <v>950</v>
      </c>
      <c r="D24" s="91">
        <v>7309.400000000006</v>
      </c>
      <c r="G24" s="437"/>
      <c r="H24" s="387">
        <f t="shared" si="0"/>
        <v>0</v>
      </c>
      <c r="I24" s="387">
        <f t="shared" si="1"/>
        <v>7309.400000000006</v>
      </c>
      <c r="J24" s="640">
        <v>0.04</v>
      </c>
      <c r="K24" s="387">
        <f t="shared" si="4"/>
        <v>292.37600000000026</v>
      </c>
      <c r="L24" s="387">
        <f t="shared" si="5"/>
        <v>7601.7760000000062</v>
      </c>
      <c r="M24" s="437">
        <v>0.04</v>
      </c>
      <c r="N24" s="553">
        <f t="shared" si="2"/>
        <v>304.07104000000027</v>
      </c>
      <c r="O24" s="387">
        <f t="shared" si="6"/>
        <v>7905.847040000006</v>
      </c>
      <c r="P24" s="387">
        <f t="shared" si="3"/>
        <v>596.44704000000047</v>
      </c>
    </row>
    <row r="25" spans="1:16">
      <c r="A25" s="8">
        <v>15</v>
      </c>
      <c r="C25" s="639" t="s">
        <v>952</v>
      </c>
      <c r="D25" s="91">
        <v>312094.9166350009</v>
      </c>
      <c r="G25" s="437"/>
      <c r="H25" s="387">
        <f t="shared" si="0"/>
        <v>0</v>
      </c>
      <c r="I25" s="387">
        <f t="shared" si="1"/>
        <v>312094.9166350009</v>
      </c>
      <c r="J25" s="640">
        <v>0.04</v>
      </c>
      <c r="K25" s="387">
        <f t="shared" si="4"/>
        <v>12483.796665400036</v>
      </c>
      <c r="L25" s="387">
        <f t="shared" si="5"/>
        <v>324578.71330040094</v>
      </c>
      <c r="M25" s="437">
        <v>0.04</v>
      </c>
      <c r="N25" s="553">
        <f t="shared" si="2"/>
        <v>12983.148532016037</v>
      </c>
      <c r="O25" s="387">
        <f t="shared" si="6"/>
        <v>337561.86183241697</v>
      </c>
      <c r="P25" s="387">
        <f t="shared" si="3"/>
        <v>25466.945197416073</v>
      </c>
    </row>
    <row r="26" spans="1:16">
      <c r="A26" s="8">
        <v>16</v>
      </c>
      <c r="C26" s="639">
        <v>28850</v>
      </c>
      <c r="D26" s="91">
        <v>120636.82165100051</v>
      </c>
      <c r="G26" s="437"/>
      <c r="H26" s="387">
        <f t="shared" si="0"/>
        <v>0</v>
      </c>
      <c r="I26" s="387">
        <f t="shared" si="1"/>
        <v>120636.82165100051</v>
      </c>
      <c r="J26" s="640">
        <v>0.04</v>
      </c>
      <c r="K26" s="387">
        <f t="shared" si="4"/>
        <v>4825.4728660400206</v>
      </c>
      <c r="L26" s="387">
        <f t="shared" si="5"/>
        <v>125462.29451704053</v>
      </c>
      <c r="M26" s="437">
        <v>0.04</v>
      </c>
      <c r="N26" s="553">
        <f t="shared" si="2"/>
        <v>5018.4917806816211</v>
      </c>
      <c r="O26" s="387">
        <f t="shared" si="6"/>
        <v>130480.78629772215</v>
      </c>
      <c r="P26" s="387">
        <f t="shared" si="3"/>
        <v>9843.9646467216407</v>
      </c>
    </row>
    <row r="27" spans="1:16">
      <c r="A27" s="8">
        <v>17</v>
      </c>
      <c r="C27" s="639" t="s">
        <v>953</v>
      </c>
      <c r="D27" s="91">
        <v>8996.492940999995</v>
      </c>
      <c r="G27" s="437"/>
      <c r="H27" s="387">
        <f t="shared" si="0"/>
        <v>0</v>
      </c>
      <c r="I27" s="387">
        <f t="shared" si="1"/>
        <v>8996.492940999995</v>
      </c>
      <c r="J27" s="640">
        <v>0.04</v>
      </c>
      <c r="K27" s="387">
        <f t="shared" si="4"/>
        <v>359.85971763999981</v>
      </c>
      <c r="L27" s="387">
        <f t="shared" si="5"/>
        <v>9356.3526586399948</v>
      </c>
      <c r="M27" s="437">
        <v>0.04</v>
      </c>
      <c r="N27" s="553">
        <f t="shared" si="2"/>
        <v>374.25410634559978</v>
      </c>
      <c r="O27" s="387">
        <f t="shared" si="6"/>
        <v>9730.6067649855941</v>
      </c>
      <c r="P27" s="387">
        <f t="shared" si="3"/>
        <v>734.11382398559954</v>
      </c>
    </row>
    <row r="28" spans="1:16">
      <c r="A28" s="8">
        <v>18</v>
      </c>
      <c r="C28" s="639" t="s">
        <v>956</v>
      </c>
      <c r="D28" s="91">
        <v>62790.160000000054</v>
      </c>
      <c r="G28" s="437"/>
      <c r="H28" s="387">
        <f t="shared" si="0"/>
        <v>0</v>
      </c>
      <c r="I28" s="387">
        <f t="shared" si="1"/>
        <v>62790.160000000054</v>
      </c>
      <c r="J28" s="640">
        <v>0.04</v>
      </c>
      <c r="K28" s="387">
        <f t="shared" si="4"/>
        <v>2511.6064000000024</v>
      </c>
      <c r="L28" s="387">
        <f t="shared" si="5"/>
        <v>65301.766400000059</v>
      </c>
      <c r="M28" s="437">
        <v>0.04</v>
      </c>
      <c r="N28" s="553">
        <f t="shared" si="2"/>
        <v>2612.0706560000026</v>
      </c>
      <c r="O28" s="387">
        <f t="shared" si="6"/>
        <v>67913.837056000062</v>
      </c>
      <c r="P28" s="387">
        <f t="shared" si="3"/>
        <v>5123.677056000005</v>
      </c>
    </row>
    <row r="29" spans="1:16">
      <c r="A29" s="8">
        <v>19</v>
      </c>
      <c r="C29" s="639" t="s">
        <v>957</v>
      </c>
      <c r="D29" s="91">
        <v>11787.9457</v>
      </c>
      <c r="G29" s="437"/>
      <c r="H29" s="387">
        <f t="shared" si="0"/>
        <v>0</v>
      </c>
      <c r="I29" s="387">
        <f t="shared" si="1"/>
        <v>11787.9457</v>
      </c>
      <c r="J29" s="640">
        <v>0.04</v>
      </c>
      <c r="K29" s="387">
        <f t="shared" si="4"/>
        <v>471.51782800000001</v>
      </c>
      <c r="L29" s="387">
        <f t="shared" si="5"/>
        <v>12259.463528</v>
      </c>
      <c r="M29" s="437">
        <v>0.04</v>
      </c>
      <c r="N29" s="553">
        <f t="shared" si="2"/>
        <v>490.37854112000002</v>
      </c>
      <c r="O29" s="387">
        <f t="shared" si="6"/>
        <v>12749.842069120001</v>
      </c>
      <c r="P29" s="387">
        <f t="shared" si="3"/>
        <v>961.89636912000003</v>
      </c>
    </row>
    <row r="30" spans="1:16">
      <c r="A30" s="8">
        <v>20</v>
      </c>
      <c r="C30" s="639" t="s">
        <v>959</v>
      </c>
      <c r="D30" s="641">
        <f>684342.989486994-D31</f>
        <v>326377.82999999571</v>
      </c>
      <c r="G30" s="437"/>
      <c r="H30" s="387">
        <f t="shared" si="0"/>
        <v>0</v>
      </c>
      <c r="I30" s="387">
        <f t="shared" si="1"/>
        <v>326377.82999999571</v>
      </c>
      <c r="J30" s="640">
        <v>0.04</v>
      </c>
      <c r="K30" s="387">
        <f t="shared" si="4"/>
        <v>13055.113199999829</v>
      </c>
      <c r="L30" s="387">
        <f t="shared" si="5"/>
        <v>339432.94319999556</v>
      </c>
      <c r="M30" s="437">
        <v>0.04</v>
      </c>
      <c r="N30" s="553">
        <f>+L30*M30</f>
        <v>13577.317727999822</v>
      </c>
      <c r="O30" s="387">
        <f t="shared" si="6"/>
        <v>353010.26092799538</v>
      </c>
      <c r="P30" s="387">
        <f>+N30+K30+H30</f>
        <v>26632.430927999652</v>
      </c>
    </row>
    <row r="31" spans="1:16">
      <c r="A31" s="8">
        <v>21</v>
      </c>
      <c r="C31" s="639" t="s">
        <v>1121</v>
      </c>
      <c r="D31" s="641">
        <v>357965.15948699828</v>
      </c>
      <c r="G31" s="437"/>
      <c r="H31" s="387">
        <f t="shared" si="0"/>
        <v>0</v>
      </c>
      <c r="I31" s="387">
        <f t="shared" si="1"/>
        <v>357965.15948699828</v>
      </c>
      <c r="J31" s="640">
        <v>3.7999999999999999E-2</v>
      </c>
      <c r="K31" s="387">
        <f t="shared" si="4"/>
        <v>13602.676060505933</v>
      </c>
      <c r="L31" s="387">
        <f t="shared" si="5"/>
        <v>371567.83554750419</v>
      </c>
      <c r="M31" s="437">
        <v>3.7999999999999999E-2</v>
      </c>
      <c r="N31" s="553">
        <f>+L31*M31</f>
        <v>14119.57775080516</v>
      </c>
      <c r="O31" s="387">
        <f t="shared" si="6"/>
        <v>385687.41329830937</v>
      </c>
      <c r="P31" s="387">
        <f>+N31+K31+H31</f>
        <v>27722.253811311093</v>
      </c>
    </row>
    <row r="32" spans="1:16">
      <c r="A32" s="8">
        <v>22</v>
      </c>
      <c r="C32" s="639" t="s">
        <v>960</v>
      </c>
      <c r="D32" s="641">
        <f>2187157.41531306-D33</f>
        <v>1695592.6198770627</v>
      </c>
      <c r="G32" s="437"/>
      <c r="H32" s="387">
        <f t="shared" si="0"/>
        <v>0</v>
      </c>
      <c r="I32" s="387">
        <f t="shared" si="1"/>
        <v>1695592.6198770627</v>
      </c>
      <c r="J32" s="640">
        <v>0.04</v>
      </c>
      <c r="K32" s="387">
        <f t="shared" si="4"/>
        <v>67823.704795082507</v>
      </c>
      <c r="L32" s="387">
        <f t="shared" si="5"/>
        <v>1763416.3246721453</v>
      </c>
      <c r="M32" s="437">
        <v>0.04</v>
      </c>
      <c r="N32" s="553">
        <f>+L32*M32</f>
        <v>70536.65298688582</v>
      </c>
      <c r="O32" s="387">
        <f t="shared" si="6"/>
        <v>1833952.9776590311</v>
      </c>
      <c r="P32" s="387">
        <f>+N32+K32+H32</f>
        <v>138360.35778196831</v>
      </c>
    </row>
    <row r="33" spans="1:16">
      <c r="A33" s="8">
        <v>23</v>
      </c>
      <c r="C33" s="639" t="s">
        <v>1122</v>
      </c>
      <c r="D33" s="641">
        <v>491564.79543599725</v>
      </c>
      <c r="G33" s="437"/>
      <c r="H33" s="387">
        <f t="shared" si="0"/>
        <v>0</v>
      </c>
      <c r="I33" s="387">
        <f t="shared" si="1"/>
        <v>491564.79543599725</v>
      </c>
      <c r="J33" s="640">
        <v>3.7999999999999999E-2</v>
      </c>
      <c r="K33" s="387">
        <f t="shared" si="4"/>
        <v>18679.462226567895</v>
      </c>
      <c r="L33" s="387">
        <f t="shared" si="5"/>
        <v>510244.25766256516</v>
      </c>
      <c r="M33" s="437">
        <v>3.7999999999999999E-2</v>
      </c>
      <c r="N33" s="553">
        <f>+L33*M33</f>
        <v>19389.281791177476</v>
      </c>
      <c r="O33" s="387">
        <f t="shared" si="6"/>
        <v>529633.53945374268</v>
      </c>
      <c r="P33" s="387">
        <f>+N33+K33+H33</f>
        <v>38068.744017745368</v>
      </c>
    </row>
    <row r="34" spans="1:16">
      <c r="A34" s="8">
        <v>24</v>
      </c>
      <c r="C34" s="642">
        <v>29260</v>
      </c>
      <c r="D34" s="91">
        <v>13434.174545999997</v>
      </c>
      <c r="G34" s="437"/>
      <c r="H34" s="387">
        <f t="shared" si="0"/>
        <v>0</v>
      </c>
      <c r="I34" s="387">
        <f t="shared" si="1"/>
        <v>13434.174545999997</v>
      </c>
      <c r="J34" s="640">
        <v>0.04</v>
      </c>
      <c r="K34" s="387">
        <f t="shared" si="4"/>
        <v>537.36698183999988</v>
      </c>
      <c r="L34" s="387">
        <f t="shared" si="5"/>
        <v>13971.541527839996</v>
      </c>
      <c r="M34" s="437">
        <v>0.04</v>
      </c>
      <c r="N34" s="553">
        <f>+L34*M34</f>
        <v>558.86166111359989</v>
      </c>
      <c r="O34" s="387">
        <f t="shared" si="6"/>
        <v>14530.403188953596</v>
      </c>
      <c r="P34" s="387">
        <f>+N34+K34+H34</f>
        <v>1096.2286429535998</v>
      </c>
    </row>
    <row r="35" spans="1:16">
      <c r="A35" s="8">
        <v>25</v>
      </c>
      <c r="C35" s="642"/>
      <c r="D35" s="91"/>
      <c r="G35" s="437"/>
      <c r="H35" s="387"/>
      <c r="I35" s="387"/>
      <c r="J35" s="640"/>
      <c r="K35" s="387"/>
      <c r="L35" s="387"/>
      <c r="M35" s="437"/>
      <c r="N35" s="553"/>
      <c r="P35" s="387"/>
    </row>
    <row r="36" spans="1:16">
      <c r="A36" s="8">
        <v>26</v>
      </c>
      <c r="D36" s="643">
        <f>SUM(D20:D34)</f>
        <v>5559294.3251210293</v>
      </c>
      <c r="F36" s="643">
        <f>SUM(F20:F34)</f>
        <v>0</v>
      </c>
      <c r="H36" s="643">
        <f>SUM(H20:H34)</f>
        <v>0</v>
      </c>
      <c r="I36" s="643">
        <f>SUM(I20:I34)</f>
        <v>5559294.3251210293</v>
      </c>
      <c r="K36" s="643">
        <f>SUM(K20:K34)</f>
        <v>220672.71309499515</v>
      </c>
      <c r="L36" s="643">
        <f>SUM(L20:L34)</f>
        <v>5779967.0382160246</v>
      </c>
      <c r="N36" s="643">
        <f>SUM(N20:N34)</f>
        <v>229435.05734222083</v>
      </c>
      <c r="O36" s="643">
        <f>SUM(O20:O34)</f>
        <v>6009402.0955582447</v>
      </c>
      <c r="P36" s="643">
        <f>SUM(P20:P34)</f>
        <v>450107.77043721598</v>
      </c>
    </row>
    <row r="37" spans="1:16">
      <c r="A37" s="8" t="s">
        <v>1727</v>
      </c>
      <c r="B37" s="6" t="s">
        <v>944</v>
      </c>
    </row>
    <row r="38" spans="1:16">
      <c r="A38" s="8">
        <v>27</v>
      </c>
      <c r="C38" s="642" t="s">
        <v>961</v>
      </c>
      <c r="D38" s="643"/>
    </row>
    <row r="39" spans="1:16">
      <c r="A39" s="8">
        <v>28</v>
      </c>
      <c r="C39" s="639" t="s">
        <v>948</v>
      </c>
      <c r="D39" s="91">
        <v>65642.860590000142</v>
      </c>
      <c r="F39" s="91">
        <v>16091.811392000001</v>
      </c>
      <c r="G39" s="437">
        <v>3.1E-2</v>
      </c>
      <c r="H39" s="387">
        <f>+F39*G39</f>
        <v>498.84615315200006</v>
      </c>
      <c r="I39" s="387">
        <f t="shared" ref="I39:I60" si="7">+D39+H39</f>
        <v>66141.706743152143</v>
      </c>
      <c r="J39" s="437">
        <v>3.1E-2</v>
      </c>
      <c r="K39" s="387">
        <f t="shared" ref="K39:K60" si="8">+I39*J39</f>
        <v>2050.3929090377164</v>
      </c>
      <c r="L39" s="387">
        <f t="shared" ref="L39:L59" si="9">+I39+K39</f>
        <v>68192.099652189863</v>
      </c>
      <c r="M39" s="437">
        <v>3.1E-2</v>
      </c>
      <c r="N39" s="553">
        <f t="shared" ref="N39:N59" si="10">+L39*M39</f>
        <v>2113.9550892178859</v>
      </c>
      <c r="O39" s="553">
        <f>+L39+N39</f>
        <v>70306.054741407745</v>
      </c>
      <c r="P39" s="387">
        <f t="shared" ref="P39:P60" si="11">+N39+K39+H39</f>
        <v>4663.1941514076016</v>
      </c>
    </row>
    <row r="40" spans="1:16">
      <c r="A40" s="8">
        <v>29</v>
      </c>
      <c r="C40" s="639" t="s">
        <v>962</v>
      </c>
      <c r="D40" s="91">
        <v>78031.010000000446</v>
      </c>
      <c r="F40" s="91">
        <v>20963.160000000007</v>
      </c>
      <c r="G40" s="437">
        <v>3.1E-2</v>
      </c>
      <c r="H40" s="387">
        <f>+F40*G40</f>
        <v>649.85796000000016</v>
      </c>
      <c r="I40" s="387">
        <f t="shared" si="7"/>
        <v>78680.86796000044</v>
      </c>
      <c r="J40" s="437">
        <v>3.1E-2</v>
      </c>
      <c r="K40" s="387">
        <f t="shared" si="8"/>
        <v>2439.1069067600138</v>
      </c>
      <c r="L40" s="387">
        <f t="shared" si="9"/>
        <v>81119.974866760458</v>
      </c>
      <c r="M40" s="437">
        <v>3.1E-2</v>
      </c>
      <c r="N40" s="553">
        <f t="shared" si="10"/>
        <v>2514.7192208695742</v>
      </c>
      <c r="O40" s="553">
        <f t="shared" ref="O40:O56" si="12">+L40+N40</f>
        <v>83634.694087630036</v>
      </c>
      <c r="P40" s="387">
        <f t="shared" si="11"/>
        <v>5603.6840876295882</v>
      </c>
    </row>
    <row r="41" spans="1:16">
      <c r="A41" s="8">
        <v>30</v>
      </c>
      <c r="C41" s="639" t="s">
        <v>949</v>
      </c>
      <c r="D41" s="91">
        <v>2069470.9652639814</v>
      </c>
      <c r="F41" s="91">
        <v>497116.51765099907</v>
      </c>
      <c r="G41" s="437">
        <v>3.1E-2</v>
      </c>
      <c r="H41" s="387">
        <f>+F41*G41</f>
        <v>15410.612047180972</v>
      </c>
      <c r="I41" s="387">
        <f t="shared" si="7"/>
        <v>2084881.5773111624</v>
      </c>
      <c r="J41" s="437">
        <v>3.1E-2</v>
      </c>
      <c r="K41" s="387">
        <f t="shared" si="8"/>
        <v>64631.328896646031</v>
      </c>
      <c r="L41" s="387">
        <f t="shared" si="9"/>
        <v>2149512.9062078083</v>
      </c>
      <c r="M41" s="437">
        <v>3.1E-2</v>
      </c>
      <c r="N41" s="553">
        <f t="shared" si="10"/>
        <v>66634.900092442054</v>
      </c>
      <c r="O41" s="553">
        <f t="shared" si="12"/>
        <v>2216147.8063002503</v>
      </c>
      <c r="P41" s="387">
        <f t="shared" si="11"/>
        <v>146676.84103626906</v>
      </c>
    </row>
    <row r="42" spans="1:16">
      <c r="A42" s="8">
        <v>31</v>
      </c>
      <c r="C42" s="639" t="s">
        <v>963</v>
      </c>
      <c r="D42" s="91">
        <v>304520.09932699846</v>
      </c>
      <c r="F42" s="91">
        <v>73909.680551000114</v>
      </c>
      <c r="G42" s="437">
        <v>3.1E-2</v>
      </c>
      <c r="H42" s="387">
        <f t="shared" ref="H42:H60" si="13">+F42*G42</f>
        <v>2291.2000970810036</v>
      </c>
      <c r="I42" s="387">
        <f t="shared" si="7"/>
        <v>306811.29942407948</v>
      </c>
      <c r="J42" s="437">
        <v>3.1E-2</v>
      </c>
      <c r="K42" s="387">
        <f t="shared" si="8"/>
        <v>9511.1502821464637</v>
      </c>
      <c r="L42" s="387">
        <f t="shared" si="9"/>
        <v>316322.44970622595</v>
      </c>
      <c r="M42" s="437">
        <v>3.1E-2</v>
      </c>
      <c r="N42" s="553">
        <f t="shared" si="10"/>
        <v>9805.9959408930044</v>
      </c>
      <c r="O42" s="553">
        <f t="shared" si="12"/>
        <v>326128.44564711896</v>
      </c>
      <c r="P42" s="387">
        <f t="shared" si="11"/>
        <v>21608.346320120472</v>
      </c>
    </row>
    <row r="43" spans="1:16">
      <c r="A43" s="8">
        <v>32</v>
      </c>
      <c r="C43" s="639" t="s">
        <v>964</v>
      </c>
      <c r="D43" s="91">
        <v>68748.616163999861</v>
      </c>
      <c r="F43" s="91">
        <v>21810.994966000002</v>
      </c>
      <c r="G43" s="437">
        <v>3.1E-2</v>
      </c>
      <c r="H43" s="387">
        <f t="shared" si="13"/>
        <v>676.14084394600002</v>
      </c>
      <c r="I43" s="387">
        <f t="shared" si="7"/>
        <v>69424.757007945867</v>
      </c>
      <c r="J43" s="437">
        <v>3.1E-2</v>
      </c>
      <c r="K43" s="387">
        <f t="shared" si="8"/>
        <v>2152.1674672463218</v>
      </c>
      <c r="L43" s="387">
        <f t="shared" si="9"/>
        <v>71576.924475192194</v>
      </c>
      <c r="M43" s="437">
        <v>3.1E-2</v>
      </c>
      <c r="N43" s="553">
        <f t="shared" si="10"/>
        <v>2218.8846587309581</v>
      </c>
      <c r="O43" s="553">
        <f t="shared" si="12"/>
        <v>73795.809133923147</v>
      </c>
      <c r="P43" s="387">
        <f t="shared" si="11"/>
        <v>5047.1929699232796</v>
      </c>
    </row>
    <row r="44" spans="1:16">
      <c r="A44" s="8">
        <v>33</v>
      </c>
      <c r="C44" s="639" t="s">
        <v>950</v>
      </c>
      <c r="D44" s="91">
        <v>1150953.1000000152</v>
      </c>
      <c r="F44" s="91">
        <v>277047.46000000107</v>
      </c>
      <c r="G44" s="437">
        <v>3.1E-2</v>
      </c>
      <c r="H44" s="387">
        <f t="shared" si="13"/>
        <v>8588.471260000033</v>
      </c>
      <c r="I44" s="387">
        <f t="shared" si="7"/>
        <v>1159541.5712600152</v>
      </c>
      <c r="J44" s="437">
        <v>3.1E-2</v>
      </c>
      <c r="K44" s="387">
        <f t="shared" si="8"/>
        <v>35945.788709060471</v>
      </c>
      <c r="L44" s="387">
        <f t="shared" si="9"/>
        <v>1195487.3599690758</v>
      </c>
      <c r="M44" s="437">
        <v>3.1E-2</v>
      </c>
      <c r="N44" s="553">
        <f t="shared" si="10"/>
        <v>37060.108159041345</v>
      </c>
      <c r="O44" s="553">
        <f t="shared" si="12"/>
        <v>1232547.468128117</v>
      </c>
      <c r="P44" s="387">
        <f t="shared" si="11"/>
        <v>81594.368128101851</v>
      </c>
    </row>
    <row r="45" spans="1:16">
      <c r="A45" s="8">
        <v>34</v>
      </c>
      <c r="C45" s="639" t="s">
        <v>951</v>
      </c>
      <c r="D45" s="91">
        <v>945193.08999998716</v>
      </c>
      <c r="F45" s="91">
        <v>257382.84999999913</v>
      </c>
      <c r="G45" s="437">
        <v>3.1E-2</v>
      </c>
      <c r="H45" s="387">
        <f t="shared" si="13"/>
        <v>7978.8683499999734</v>
      </c>
      <c r="I45" s="387">
        <f t="shared" si="7"/>
        <v>953171.95834998717</v>
      </c>
      <c r="J45" s="437">
        <v>3.1E-2</v>
      </c>
      <c r="K45" s="387">
        <f t="shared" si="8"/>
        <v>29548.3307088496</v>
      </c>
      <c r="L45" s="387">
        <f t="shared" si="9"/>
        <v>982720.28905883676</v>
      </c>
      <c r="M45" s="437">
        <v>3.1E-2</v>
      </c>
      <c r="N45" s="553">
        <f t="shared" si="10"/>
        <v>30464.328960823939</v>
      </c>
      <c r="O45" s="553">
        <f t="shared" si="12"/>
        <v>1013184.6180196607</v>
      </c>
      <c r="P45" s="387">
        <f t="shared" si="11"/>
        <v>67991.528019673511</v>
      </c>
    </row>
    <row r="46" spans="1:16">
      <c r="A46" s="8">
        <v>35</v>
      </c>
      <c r="C46" s="639" t="s">
        <v>952</v>
      </c>
      <c r="D46" s="91">
        <v>1143221.8732780369</v>
      </c>
      <c r="F46" s="91">
        <v>326097.65622899926</v>
      </c>
      <c r="G46" s="437">
        <v>3.1E-2</v>
      </c>
      <c r="H46" s="387">
        <f t="shared" si="13"/>
        <v>10109.027343098976</v>
      </c>
      <c r="I46" s="387">
        <f t="shared" si="7"/>
        <v>1153330.900621136</v>
      </c>
      <c r="J46" s="437">
        <v>3.1E-2</v>
      </c>
      <c r="K46" s="387">
        <f t="shared" si="8"/>
        <v>35753.257919255215</v>
      </c>
      <c r="L46" s="387">
        <f t="shared" si="9"/>
        <v>1189084.1585403911</v>
      </c>
      <c r="M46" s="437">
        <v>3.1E-2</v>
      </c>
      <c r="N46" s="553">
        <f t="shared" si="10"/>
        <v>36861.608914752127</v>
      </c>
      <c r="O46" s="553">
        <f t="shared" si="12"/>
        <v>1225945.7674551432</v>
      </c>
      <c r="P46" s="387">
        <f t="shared" si="11"/>
        <v>82723.894177106326</v>
      </c>
    </row>
    <row r="47" spans="1:16">
      <c r="A47" s="8">
        <v>36</v>
      </c>
      <c r="C47" s="32">
        <v>28860</v>
      </c>
      <c r="D47" s="91">
        <v>73.92</v>
      </c>
      <c r="F47" s="91">
        <v>0</v>
      </c>
      <c r="G47" s="437">
        <v>3.1E-2</v>
      </c>
      <c r="H47" s="387">
        <f t="shared" si="13"/>
        <v>0</v>
      </c>
      <c r="I47" s="387">
        <f>+D47+H47</f>
        <v>73.92</v>
      </c>
      <c r="J47" s="437">
        <v>3.1E-2</v>
      </c>
      <c r="K47" s="387">
        <f>+I47*J47</f>
        <v>2.2915200000000002</v>
      </c>
      <c r="L47" s="387">
        <f>+I47+K47</f>
        <v>76.211520000000007</v>
      </c>
      <c r="M47" s="437">
        <v>3.1E-2</v>
      </c>
      <c r="N47" s="553">
        <f>+L47*M47</f>
        <v>2.3625571200000004</v>
      </c>
      <c r="O47" s="553">
        <f t="shared" si="12"/>
        <v>78.574077120000013</v>
      </c>
      <c r="P47" s="387">
        <f>+N47+K47+H47</f>
        <v>4.6540771200000002</v>
      </c>
    </row>
    <row r="48" spans="1:16">
      <c r="A48" s="8">
        <v>37</v>
      </c>
      <c r="C48" s="639" t="s">
        <v>953</v>
      </c>
      <c r="D48" s="91">
        <v>595618.26032400515</v>
      </c>
      <c r="F48" s="91">
        <v>144258.64363099993</v>
      </c>
      <c r="G48" s="437">
        <v>3.1E-2</v>
      </c>
      <c r="H48" s="387">
        <f t="shared" si="13"/>
        <v>4472.0179525609974</v>
      </c>
      <c r="I48" s="387">
        <f t="shared" si="7"/>
        <v>600090.27827656618</v>
      </c>
      <c r="J48" s="437">
        <v>3.1E-2</v>
      </c>
      <c r="K48" s="387">
        <f t="shared" si="8"/>
        <v>18602.798626573553</v>
      </c>
      <c r="L48" s="387">
        <f t="shared" si="9"/>
        <v>618693.07690313971</v>
      </c>
      <c r="M48" s="437">
        <v>3.1E-2</v>
      </c>
      <c r="N48" s="553">
        <f t="shared" si="10"/>
        <v>19179.485383997329</v>
      </c>
      <c r="O48" s="553">
        <f t="shared" si="12"/>
        <v>637872.56228713703</v>
      </c>
      <c r="P48" s="387">
        <f t="shared" si="11"/>
        <v>42254.301963131882</v>
      </c>
    </row>
    <row r="49" spans="1:16">
      <c r="A49" s="8">
        <v>38</v>
      </c>
      <c r="C49" s="639" t="s">
        <v>965</v>
      </c>
      <c r="D49" s="91">
        <v>18538.699999999993</v>
      </c>
      <c r="F49" s="91">
        <v>3423.8999999999992</v>
      </c>
      <c r="G49" s="437">
        <v>3.1E-2</v>
      </c>
      <c r="H49" s="387">
        <f t="shared" si="13"/>
        <v>106.14089999999997</v>
      </c>
      <c r="I49" s="387">
        <f t="shared" si="7"/>
        <v>18644.840899999992</v>
      </c>
      <c r="J49" s="437">
        <v>3.1E-2</v>
      </c>
      <c r="K49" s="387">
        <f t="shared" si="8"/>
        <v>577.99006789999976</v>
      </c>
      <c r="L49" s="387">
        <f t="shared" si="9"/>
        <v>19222.83096789999</v>
      </c>
      <c r="M49" s="437">
        <v>3.1E-2</v>
      </c>
      <c r="N49" s="553">
        <f t="shared" si="10"/>
        <v>595.90776000489973</v>
      </c>
      <c r="O49" s="553">
        <f t="shared" si="12"/>
        <v>19818.738727904889</v>
      </c>
      <c r="P49" s="387">
        <f t="shared" si="11"/>
        <v>1280.0387279048994</v>
      </c>
    </row>
    <row r="50" spans="1:16">
      <c r="A50" s="8">
        <v>39</v>
      </c>
      <c r="C50" s="639" t="s">
        <v>954</v>
      </c>
      <c r="D50" s="91">
        <v>216222.84648300009</v>
      </c>
      <c r="F50" s="91">
        <v>58968.791257000055</v>
      </c>
      <c r="G50" s="437">
        <v>3.1E-2</v>
      </c>
      <c r="H50" s="387">
        <f t="shared" si="13"/>
        <v>1828.0325289670018</v>
      </c>
      <c r="I50" s="387">
        <f t="shared" si="7"/>
        <v>218050.8790119671</v>
      </c>
      <c r="J50" s="437">
        <v>3.1E-2</v>
      </c>
      <c r="K50" s="387">
        <f t="shared" si="8"/>
        <v>6759.5772493709801</v>
      </c>
      <c r="L50" s="387">
        <f t="shared" si="9"/>
        <v>224810.45626133808</v>
      </c>
      <c r="M50" s="437">
        <v>3.1E-2</v>
      </c>
      <c r="N50" s="553">
        <f t="shared" si="10"/>
        <v>6969.1241441014809</v>
      </c>
      <c r="O50" s="553">
        <f t="shared" si="12"/>
        <v>231779.58040543957</v>
      </c>
      <c r="P50" s="387">
        <f t="shared" si="11"/>
        <v>15556.733922439462</v>
      </c>
    </row>
    <row r="51" spans="1:16">
      <c r="A51" s="8">
        <v>40</v>
      </c>
      <c r="C51" s="639" t="s">
        <v>955</v>
      </c>
      <c r="D51" s="91">
        <v>9325.1699999999946</v>
      </c>
      <c r="F51" s="91">
        <v>4589.6200000000008</v>
      </c>
      <c r="G51" s="437">
        <v>3.1E-2</v>
      </c>
      <c r="H51" s="387">
        <f t="shared" si="13"/>
        <v>142.27822000000003</v>
      </c>
      <c r="I51" s="387">
        <f t="shared" si="7"/>
        <v>9467.4482199999948</v>
      </c>
      <c r="J51" s="437">
        <v>3.1E-2</v>
      </c>
      <c r="K51" s="387">
        <f t="shared" si="8"/>
        <v>293.49089481999982</v>
      </c>
      <c r="L51" s="387">
        <f t="shared" si="9"/>
        <v>9760.9391148199938</v>
      </c>
      <c r="M51" s="437">
        <v>3.1E-2</v>
      </c>
      <c r="N51" s="553">
        <f t="shared" si="10"/>
        <v>302.58911255941979</v>
      </c>
      <c r="O51" s="553">
        <f t="shared" si="12"/>
        <v>10063.528227379413</v>
      </c>
      <c r="P51" s="387">
        <f t="shared" si="11"/>
        <v>738.35822737941965</v>
      </c>
    </row>
    <row r="52" spans="1:16">
      <c r="A52" s="8">
        <v>41</v>
      </c>
      <c r="C52" s="639" t="s">
        <v>956</v>
      </c>
      <c r="D52" s="91">
        <v>764674.29755901697</v>
      </c>
      <c r="F52" s="91">
        <v>203272.48417499993</v>
      </c>
      <c r="G52" s="437">
        <v>3.1E-2</v>
      </c>
      <c r="H52" s="387">
        <f t="shared" si="13"/>
        <v>6301.4470094249982</v>
      </c>
      <c r="I52" s="387">
        <f t="shared" si="7"/>
        <v>770975.74456844199</v>
      </c>
      <c r="J52" s="437">
        <v>3.1E-2</v>
      </c>
      <c r="K52" s="387">
        <f t="shared" si="8"/>
        <v>23900.248081621703</v>
      </c>
      <c r="L52" s="387">
        <f t="shared" si="9"/>
        <v>794875.99265006371</v>
      </c>
      <c r="M52" s="437">
        <v>3.1E-2</v>
      </c>
      <c r="N52" s="553">
        <f t="shared" si="10"/>
        <v>24641.155772151975</v>
      </c>
      <c r="O52" s="553">
        <f t="shared" si="12"/>
        <v>819517.14842221572</v>
      </c>
      <c r="P52" s="387">
        <f t="shared" si="11"/>
        <v>54842.850863198677</v>
      </c>
    </row>
    <row r="53" spans="1:16">
      <c r="A53" s="8">
        <v>42</v>
      </c>
      <c r="C53" s="639" t="s">
        <v>957</v>
      </c>
      <c r="D53" s="91">
        <v>879038.63501599082</v>
      </c>
      <c r="F53" s="91">
        <v>258998.25900699937</v>
      </c>
      <c r="G53" s="437">
        <v>3.1E-2</v>
      </c>
      <c r="H53" s="387">
        <f t="shared" si="13"/>
        <v>8028.9460292169806</v>
      </c>
      <c r="I53" s="387">
        <f t="shared" si="7"/>
        <v>887067.5810452078</v>
      </c>
      <c r="J53" s="437">
        <v>3.1E-2</v>
      </c>
      <c r="K53" s="387">
        <f t="shared" si="8"/>
        <v>27499.095012401442</v>
      </c>
      <c r="L53" s="387">
        <f t="shared" si="9"/>
        <v>914566.67605760926</v>
      </c>
      <c r="M53" s="437">
        <v>3.1E-2</v>
      </c>
      <c r="N53" s="553">
        <f t="shared" si="10"/>
        <v>28351.566957785886</v>
      </c>
      <c r="O53" s="553">
        <f t="shared" si="12"/>
        <v>942918.24301539513</v>
      </c>
      <c r="P53" s="387">
        <f t="shared" si="11"/>
        <v>63879.60799940431</v>
      </c>
    </row>
    <row r="54" spans="1:16">
      <c r="A54" s="8">
        <v>43</v>
      </c>
      <c r="C54" s="639" t="s">
        <v>966</v>
      </c>
      <c r="D54" s="91">
        <v>61214.120000000185</v>
      </c>
      <c r="F54" s="91">
        <v>19514.749999999964</v>
      </c>
      <c r="G54" s="437">
        <v>3.1E-2</v>
      </c>
      <c r="H54" s="387">
        <f t="shared" si="13"/>
        <v>604.95724999999891</v>
      </c>
      <c r="I54" s="387">
        <f t="shared" si="7"/>
        <v>61819.077250000184</v>
      </c>
      <c r="J54" s="437">
        <v>3.1E-2</v>
      </c>
      <c r="K54" s="387">
        <f t="shared" si="8"/>
        <v>1916.3913947500057</v>
      </c>
      <c r="L54" s="387">
        <f t="shared" si="9"/>
        <v>63735.468644750188</v>
      </c>
      <c r="M54" s="437">
        <v>3.1E-2</v>
      </c>
      <c r="N54" s="553">
        <f t="shared" si="10"/>
        <v>1975.7995279872557</v>
      </c>
      <c r="O54" s="553">
        <f t="shared" si="12"/>
        <v>65711.268172737444</v>
      </c>
      <c r="P54" s="387">
        <f t="shared" si="11"/>
        <v>4497.1481727372602</v>
      </c>
    </row>
    <row r="55" spans="1:16">
      <c r="A55" s="8">
        <v>44</v>
      </c>
      <c r="C55" s="639" t="s">
        <v>958</v>
      </c>
      <c r="D55" s="91">
        <v>359204.24000000238</v>
      </c>
      <c r="F55" s="91">
        <v>103198.70999999999</v>
      </c>
      <c r="G55" s="437">
        <v>3.1E-2</v>
      </c>
      <c r="H55" s="387">
        <f t="shared" si="13"/>
        <v>3199.1600099999996</v>
      </c>
      <c r="I55" s="387">
        <f t="shared" si="7"/>
        <v>362403.40001000237</v>
      </c>
      <c r="J55" s="437">
        <v>3.1E-2</v>
      </c>
      <c r="K55" s="387">
        <f t="shared" si="8"/>
        <v>11234.505400310074</v>
      </c>
      <c r="L55" s="387">
        <f t="shared" si="9"/>
        <v>373637.90541031247</v>
      </c>
      <c r="M55" s="437">
        <v>3.1E-2</v>
      </c>
      <c r="N55" s="553">
        <f t="shared" si="10"/>
        <v>11582.775067719685</v>
      </c>
      <c r="O55" s="553">
        <f t="shared" si="12"/>
        <v>385220.68047803215</v>
      </c>
      <c r="P55" s="387">
        <f t="shared" si="11"/>
        <v>26016.440478029759</v>
      </c>
    </row>
    <row r="56" spans="1:16">
      <c r="A56" s="8">
        <v>45</v>
      </c>
      <c r="C56" s="639" t="s">
        <v>959</v>
      </c>
      <c r="D56" s="91">
        <v>96110.140000000392</v>
      </c>
      <c r="F56" s="91">
        <v>19496.73000000004</v>
      </c>
      <c r="G56" s="437">
        <v>3.1E-2</v>
      </c>
      <c r="H56" s="387">
        <f t="shared" si="13"/>
        <v>604.39863000000128</v>
      </c>
      <c r="I56" s="387">
        <f t="shared" si="7"/>
        <v>96714.538630000388</v>
      </c>
      <c r="J56" s="437">
        <v>3.1E-2</v>
      </c>
      <c r="K56" s="387">
        <f t="shared" si="8"/>
        <v>2998.1506975300122</v>
      </c>
      <c r="L56" s="387">
        <f t="shared" si="9"/>
        <v>99712.689327530403</v>
      </c>
      <c r="M56" s="437">
        <v>3.1E-2</v>
      </c>
      <c r="N56" s="553">
        <f t="shared" si="10"/>
        <v>3091.0933691534424</v>
      </c>
      <c r="O56" s="553">
        <f t="shared" si="12"/>
        <v>102803.78269668385</v>
      </c>
      <c r="P56" s="387">
        <f t="shared" si="11"/>
        <v>6693.6426966834561</v>
      </c>
    </row>
    <row r="57" spans="1:16">
      <c r="A57" s="8">
        <v>46</v>
      </c>
      <c r="C57" s="639" t="s">
        <v>960</v>
      </c>
      <c r="D57" s="91">
        <v>1779.60861</v>
      </c>
      <c r="F57" s="91">
        <v>222.55833600000003</v>
      </c>
      <c r="G57" s="437">
        <v>3.1E-2</v>
      </c>
      <c r="H57" s="387">
        <f t="shared" si="13"/>
        <v>6.8993084160000011</v>
      </c>
      <c r="I57" s="387">
        <f t="shared" si="7"/>
        <v>1786.5079184159999</v>
      </c>
      <c r="J57" s="437">
        <v>3.1E-2</v>
      </c>
      <c r="K57" s="387">
        <f t="shared" si="8"/>
        <v>55.381745470896</v>
      </c>
      <c r="L57" s="387">
        <f t="shared" si="9"/>
        <v>1841.889663886896</v>
      </c>
      <c r="M57" s="437">
        <v>3.1E-2</v>
      </c>
      <c r="N57" s="553">
        <f t="shared" si="10"/>
        <v>57.098579580493777</v>
      </c>
      <c r="O57" s="553">
        <f>+L57+N57</f>
        <v>1898.9882434673898</v>
      </c>
      <c r="P57" s="387">
        <f t="shared" si="11"/>
        <v>119.37963346738977</v>
      </c>
    </row>
    <row r="58" spans="1:16">
      <c r="A58" s="8">
        <v>47</v>
      </c>
      <c r="C58" s="32">
        <v>29210</v>
      </c>
      <c r="D58" s="91">
        <v>387.61039200000005</v>
      </c>
      <c r="F58" s="91">
        <v>0</v>
      </c>
      <c r="G58" s="437">
        <v>3.1E-2</v>
      </c>
      <c r="H58" s="387">
        <f t="shared" si="13"/>
        <v>0</v>
      </c>
      <c r="I58" s="387">
        <f>+D58+H58</f>
        <v>387.61039200000005</v>
      </c>
      <c r="J58" s="437">
        <v>3.1E-2</v>
      </c>
      <c r="K58" s="387">
        <f t="shared" si="8"/>
        <v>12.015922152000002</v>
      </c>
      <c r="L58" s="387">
        <f t="shared" si="9"/>
        <v>399.62631415200008</v>
      </c>
      <c r="M58" s="437">
        <v>3.1E-2</v>
      </c>
      <c r="N58" s="553">
        <f t="shared" si="10"/>
        <v>12.388415738712002</v>
      </c>
      <c r="O58" s="553">
        <f>+L58+N58</f>
        <v>412.01472989071209</v>
      </c>
      <c r="P58" s="387">
        <f t="shared" si="11"/>
        <v>24.404337890712004</v>
      </c>
    </row>
    <row r="59" spans="1:16">
      <c r="A59" s="8">
        <v>48</v>
      </c>
      <c r="C59" s="32">
        <v>29260</v>
      </c>
      <c r="D59" s="91">
        <v>28313.028782999991</v>
      </c>
      <c r="F59" s="91">
        <v>0</v>
      </c>
      <c r="G59" s="437">
        <v>3.1E-2</v>
      </c>
      <c r="H59" s="387">
        <f t="shared" si="13"/>
        <v>0</v>
      </c>
      <c r="I59" s="387">
        <f t="shared" si="7"/>
        <v>28313.028782999991</v>
      </c>
      <c r="J59" s="437">
        <v>3.1E-2</v>
      </c>
      <c r="K59" s="387">
        <f t="shared" si="8"/>
        <v>877.70389227299972</v>
      </c>
      <c r="L59" s="387">
        <f t="shared" si="9"/>
        <v>29190.73267527299</v>
      </c>
      <c r="M59" s="437">
        <v>3.1E-2</v>
      </c>
      <c r="N59" s="553">
        <f t="shared" si="10"/>
        <v>904.91271293346267</v>
      </c>
      <c r="O59" s="553">
        <f>+L59+N59</f>
        <v>30095.645388206452</v>
      </c>
      <c r="P59" s="387">
        <f t="shared" si="11"/>
        <v>1782.6166052064623</v>
      </c>
    </row>
    <row r="60" spans="1:16">
      <c r="A60" s="8">
        <v>49</v>
      </c>
      <c r="C60" s="639" t="s">
        <v>967</v>
      </c>
      <c r="D60" s="91">
        <v>2965.83</v>
      </c>
      <c r="E60" s="505"/>
      <c r="F60" s="416">
        <v>1816.1100000000001</v>
      </c>
      <c r="G60" s="644">
        <v>3.1E-2</v>
      </c>
      <c r="H60" s="645">
        <f t="shared" si="13"/>
        <v>56.299410000000002</v>
      </c>
      <c r="I60" s="645">
        <f t="shared" si="7"/>
        <v>3022.12941</v>
      </c>
      <c r="J60" s="644">
        <v>3.1E-2</v>
      </c>
      <c r="K60" s="645">
        <f t="shared" si="8"/>
        <v>93.686011710000002</v>
      </c>
      <c r="L60" s="645">
        <f>+I60+K60</f>
        <v>3115.81542171</v>
      </c>
      <c r="M60" s="644">
        <v>3.1E-2</v>
      </c>
      <c r="N60" s="646">
        <f>+L60*M60</f>
        <v>96.590278073009998</v>
      </c>
      <c r="O60" s="646">
        <f>+L60+N60</f>
        <v>3212.4056997830098</v>
      </c>
      <c r="P60" s="645">
        <f t="shared" si="11"/>
        <v>246.57569978300998</v>
      </c>
    </row>
    <row r="61" spans="1:16">
      <c r="A61" s="8">
        <v>50</v>
      </c>
      <c r="D61" s="643">
        <f>SUM(D38:D60)</f>
        <v>8859248.0217900351</v>
      </c>
      <c r="F61" s="643">
        <f>SUM(F38:F60)</f>
        <v>2308180.6871949974</v>
      </c>
      <c r="H61" s="643">
        <f>SUM(H38:H60)</f>
        <v>71553.601303044925</v>
      </c>
      <c r="I61" s="643">
        <f>SUM(I38:I60)</f>
        <v>8930801.6230930816</v>
      </c>
      <c r="K61" s="643">
        <f>SUM(K38:K60)</f>
        <v>276854.8503158855</v>
      </c>
      <c r="L61" s="643">
        <f>SUM(L38:L60)</f>
        <v>9207656.4734089654</v>
      </c>
      <c r="N61" s="643">
        <f>SUM(N38:N60)</f>
        <v>285437.35067567788</v>
      </c>
      <c r="O61" s="643">
        <f>SUM(O38:O60)</f>
        <v>9493093.8240846451</v>
      </c>
      <c r="P61" s="643">
        <f>SUM(P38:P60)</f>
        <v>633845.80229460832</v>
      </c>
    </row>
    <row r="64" spans="1:16" ht="16.5" thickBot="1"/>
    <row r="65" spans="1:16">
      <c r="B65" s="1069" t="s">
        <v>1152</v>
      </c>
      <c r="C65" s="1070"/>
      <c r="D65" s="1070"/>
      <c r="E65" s="1071"/>
    </row>
    <row r="66" spans="1:16">
      <c r="B66" s="1072"/>
      <c r="C66" s="1073"/>
      <c r="D66" s="1073"/>
      <c r="E66" s="1074"/>
    </row>
    <row r="67" spans="1:16">
      <c r="B67" s="1072"/>
      <c r="C67" s="1073"/>
      <c r="D67" s="1073"/>
      <c r="E67" s="1074"/>
    </row>
    <row r="68" spans="1:16" ht="16.5" thickBot="1">
      <c r="B68" s="1075"/>
      <c r="C68" s="1076"/>
      <c r="D68" s="1076"/>
      <c r="E68" s="1077"/>
    </row>
    <row r="69" spans="1:16">
      <c r="A69" s="15" t="s">
        <v>891</v>
      </c>
    </row>
    <row r="70" spans="1:16">
      <c r="A70" s="8">
        <v>51</v>
      </c>
      <c r="B70" s="608" t="s">
        <v>1153</v>
      </c>
      <c r="F70" s="351">
        <v>1036861.35</v>
      </c>
      <c r="J70" s="437">
        <v>0</v>
      </c>
      <c r="K70" s="351">
        <f>+F70*J70</f>
        <v>0</v>
      </c>
      <c r="L70" s="351">
        <f>+F70+K70</f>
        <v>1036861.35</v>
      </c>
      <c r="M70" s="437">
        <v>0</v>
      </c>
      <c r="N70" s="6">
        <f>+L70*M70</f>
        <v>0</v>
      </c>
      <c r="O70" s="351">
        <f>+L70+N70</f>
        <v>1036861.35</v>
      </c>
      <c r="P70" s="351">
        <f>+O70-F70</f>
        <v>0</v>
      </c>
    </row>
    <row r="71" spans="1:16">
      <c r="A71" s="8">
        <v>52</v>
      </c>
      <c r="B71" s="608" t="s">
        <v>1154</v>
      </c>
      <c r="F71" s="351">
        <v>115428.85</v>
      </c>
      <c r="J71" s="437">
        <v>0.04</v>
      </c>
      <c r="K71" s="351">
        <f>+F71*J71</f>
        <v>4617.1540000000005</v>
      </c>
      <c r="L71" s="351">
        <f t="shared" ref="L71:L84" si="14">+F71+K71</f>
        <v>120046.004</v>
      </c>
      <c r="M71" s="437">
        <v>0.04</v>
      </c>
      <c r="N71" s="6">
        <f t="shared" ref="N71:N84" si="15">+L71*M71</f>
        <v>4801.8401599999997</v>
      </c>
      <c r="O71" s="351">
        <f t="shared" ref="O71:O84" si="16">+L71+N71</f>
        <v>124847.84416000001</v>
      </c>
      <c r="P71" s="351">
        <f t="shared" ref="P71:P84" si="17">+O71-F71</f>
        <v>9418.994160000002</v>
      </c>
    </row>
    <row r="72" spans="1:16">
      <c r="A72" s="8">
        <v>53</v>
      </c>
      <c r="B72" s="608" t="s">
        <v>1155</v>
      </c>
      <c r="F72" s="351">
        <v>423581.69</v>
      </c>
      <c r="J72" s="437">
        <v>0.04</v>
      </c>
      <c r="K72" s="351">
        <f t="shared" ref="K72:K84" si="18">+F72*J72</f>
        <v>16943.267599999999</v>
      </c>
      <c r="L72" s="351">
        <f t="shared" si="14"/>
        <v>440524.95760000002</v>
      </c>
      <c r="M72" s="437">
        <v>0.04</v>
      </c>
      <c r="N72" s="6">
        <f t="shared" si="15"/>
        <v>17620.998304000001</v>
      </c>
      <c r="O72" s="351">
        <f t="shared" si="16"/>
        <v>458145.95590400003</v>
      </c>
      <c r="P72" s="351">
        <f t="shared" si="17"/>
        <v>34564.265904000029</v>
      </c>
    </row>
    <row r="73" spans="1:16">
      <c r="A73" s="8">
        <v>54</v>
      </c>
      <c r="B73" s="608" t="s">
        <v>1156</v>
      </c>
      <c r="F73" s="351">
        <v>208965.05</v>
      </c>
      <c r="J73" s="437">
        <v>0.04</v>
      </c>
      <c r="K73" s="351">
        <f t="shared" si="18"/>
        <v>8358.601999999999</v>
      </c>
      <c r="L73" s="351">
        <f t="shared" si="14"/>
        <v>217323.652</v>
      </c>
      <c r="M73" s="437">
        <v>0.04</v>
      </c>
      <c r="N73" s="6">
        <f t="shared" si="15"/>
        <v>8692.9460799999997</v>
      </c>
      <c r="O73" s="351">
        <f t="shared" si="16"/>
        <v>226016.59808</v>
      </c>
      <c r="P73" s="351">
        <f t="shared" si="17"/>
        <v>17051.548080000008</v>
      </c>
    </row>
    <row r="74" spans="1:16">
      <c r="A74" s="8">
        <v>55</v>
      </c>
      <c r="B74" s="608" t="s">
        <v>1157</v>
      </c>
      <c r="F74" s="351">
        <v>153109.92000000001</v>
      </c>
      <c r="J74" s="437">
        <v>0.04</v>
      </c>
      <c r="K74" s="351">
        <f t="shared" si="18"/>
        <v>6124.3968000000004</v>
      </c>
      <c r="L74" s="351">
        <f t="shared" si="14"/>
        <v>159234.3168</v>
      </c>
      <c r="M74" s="437">
        <v>0.04</v>
      </c>
      <c r="N74" s="6">
        <f t="shared" si="15"/>
        <v>6369.3726720000004</v>
      </c>
      <c r="O74" s="351">
        <f t="shared" si="16"/>
        <v>165603.689472</v>
      </c>
      <c r="P74" s="351">
        <f t="shared" si="17"/>
        <v>12493.769471999985</v>
      </c>
    </row>
    <row r="75" spans="1:16">
      <c r="A75" s="8">
        <v>56</v>
      </c>
      <c r="B75" s="608" t="s">
        <v>1158</v>
      </c>
      <c r="F75" s="351">
        <v>84449.44</v>
      </c>
      <c r="J75" s="437">
        <v>0.04</v>
      </c>
      <c r="K75" s="351">
        <f t="shared" si="18"/>
        <v>3377.9776000000002</v>
      </c>
      <c r="L75" s="351">
        <f t="shared" si="14"/>
        <v>87827.417600000001</v>
      </c>
      <c r="M75" s="437">
        <v>0.04</v>
      </c>
      <c r="N75" s="6">
        <f t="shared" si="15"/>
        <v>3513.096704</v>
      </c>
      <c r="O75" s="351">
        <f t="shared" si="16"/>
        <v>91340.514303999997</v>
      </c>
      <c r="P75" s="351">
        <f t="shared" si="17"/>
        <v>6891.0743039999943</v>
      </c>
    </row>
    <row r="76" spans="1:16">
      <c r="A76" s="8">
        <v>57</v>
      </c>
      <c r="B76" s="608" t="s">
        <v>1159</v>
      </c>
      <c r="F76" s="351">
        <v>1024805.29</v>
      </c>
      <c r="J76" s="437">
        <v>0.04</v>
      </c>
      <c r="K76" s="351">
        <f t="shared" si="18"/>
        <v>40992.211600000002</v>
      </c>
      <c r="L76" s="351">
        <f t="shared" si="14"/>
        <v>1065797.5016000001</v>
      </c>
      <c r="M76" s="437">
        <v>0.04</v>
      </c>
      <c r="N76" s="6">
        <f t="shared" si="15"/>
        <v>42631.900064000001</v>
      </c>
      <c r="O76" s="351">
        <f t="shared" si="16"/>
        <v>1108429.401664</v>
      </c>
      <c r="P76" s="351">
        <f t="shared" si="17"/>
        <v>83624.111663999967</v>
      </c>
    </row>
    <row r="77" spans="1:16">
      <c r="A77" s="8">
        <v>58</v>
      </c>
      <c r="B77" s="608" t="s">
        <v>1160</v>
      </c>
      <c r="F77" s="351">
        <v>208344.85</v>
      </c>
      <c r="J77" s="437">
        <v>0.04</v>
      </c>
      <c r="K77" s="351">
        <f t="shared" si="18"/>
        <v>8333.7939999999999</v>
      </c>
      <c r="L77" s="351">
        <f t="shared" si="14"/>
        <v>216678.644</v>
      </c>
      <c r="M77" s="437">
        <v>0.04</v>
      </c>
      <c r="N77" s="6">
        <f t="shared" si="15"/>
        <v>8667.1457599999994</v>
      </c>
      <c r="O77" s="351">
        <f t="shared" si="16"/>
        <v>225345.78976000001</v>
      </c>
      <c r="P77" s="351">
        <f t="shared" si="17"/>
        <v>17000.939760000008</v>
      </c>
    </row>
    <row r="78" spans="1:16">
      <c r="A78" s="8">
        <v>59</v>
      </c>
      <c r="B78" s="608" t="s">
        <v>1161</v>
      </c>
      <c r="F78" s="351">
        <v>159743.65</v>
      </c>
      <c r="J78" s="437">
        <v>0.04</v>
      </c>
      <c r="K78" s="351">
        <f t="shared" si="18"/>
        <v>6389.7460000000001</v>
      </c>
      <c r="L78" s="351">
        <f t="shared" si="14"/>
        <v>166133.39600000001</v>
      </c>
      <c r="M78" s="437">
        <v>0.04</v>
      </c>
      <c r="N78" s="6">
        <f t="shared" si="15"/>
        <v>6645.3358400000006</v>
      </c>
      <c r="O78" s="351">
        <f t="shared" si="16"/>
        <v>172778.73184000002</v>
      </c>
      <c r="P78" s="351">
        <f t="shared" si="17"/>
        <v>13035.081840000028</v>
      </c>
    </row>
    <row r="79" spans="1:16">
      <c r="A79" s="8">
        <v>60</v>
      </c>
      <c r="B79" s="608" t="s">
        <v>1162</v>
      </c>
      <c r="F79" s="351">
        <v>250606.53</v>
      </c>
      <c r="J79" s="437">
        <v>0.04</v>
      </c>
      <c r="K79" s="351">
        <f t="shared" si="18"/>
        <v>10024.261200000001</v>
      </c>
      <c r="L79" s="351">
        <f t="shared" si="14"/>
        <v>260630.79120000001</v>
      </c>
      <c r="M79" s="437">
        <v>0.04</v>
      </c>
      <c r="N79" s="6">
        <f t="shared" si="15"/>
        <v>10425.231648000001</v>
      </c>
      <c r="O79" s="351">
        <f t="shared" si="16"/>
        <v>271056.02284799999</v>
      </c>
      <c r="P79" s="351">
        <f t="shared" si="17"/>
        <v>20449.492847999994</v>
      </c>
    </row>
    <row r="80" spans="1:16">
      <c r="A80" s="8">
        <v>61</v>
      </c>
      <c r="B80" s="608" t="s">
        <v>1163</v>
      </c>
      <c r="F80" s="351">
        <v>39737.97</v>
      </c>
      <c r="J80" s="437">
        <v>0.04</v>
      </c>
      <c r="K80" s="351">
        <f t="shared" si="18"/>
        <v>1589.5188000000001</v>
      </c>
      <c r="L80" s="351">
        <f t="shared" si="14"/>
        <v>41327.488799999999</v>
      </c>
      <c r="M80" s="437">
        <v>0.04</v>
      </c>
      <c r="N80" s="6">
        <f t="shared" si="15"/>
        <v>1653.0995519999999</v>
      </c>
      <c r="O80" s="351">
        <f t="shared" si="16"/>
        <v>42980.588351999999</v>
      </c>
      <c r="P80" s="351">
        <f t="shared" si="17"/>
        <v>3242.6183519999977</v>
      </c>
    </row>
    <row r="81" spans="1:16">
      <c r="A81" s="8">
        <v>62</v>
      </c>
      <c r="B81" s="608" t="s">
        <v>1164</v>
      </c>
      <c r="F81" s="351">
        <v>29392.47</v>
      </c>
      <c r="J81" s="437">
        <v>0.04</v>
      </c>
      <c r="K81" s="351">
        <f t="shared" si="18"/>
        <v>1175.6988000000001</v>
      </c>
      <c r="L81" s="351">
        <f t="shared" si="14"/>
        <v>30568.168799999999</v>
      </c>
      <c r="M81" s="437">
        <v>0.04</v>
      </c>
      <c r="N81" s="6">
        <f t="shared" si="15"/>
        <v>1222.726752</v>
      </c>
      <c r="O81" s="351">
        <f t="shared" si="16"/>
        <v>31790.895551999998</v>
      </c>
      <c r="P81" s="351">
        <f t="shared" si="17"/>
        <v>2398.425551999997</v>
      </c>
    </row>
    <row r="82" spans="1:16">
      <c r="A82" s="8">
        <v>63</v>
      </c>
      <c r="B82" s="608" t="s">
        <v>1165</v>
      </c>
      <c r="F82" s="351">
        <v>558174.55000000005</v>
      </c>
      <c r="J82" s="437">
        <v>0.04</v>
      </c>
      <c r="K82" s="351">
        <f t="shared" si="18"/>
        <v>22326.982000000004</v>
      </c>
      <c r="L82" s="351">
        <f t="shared" si="14"/>
        <v>580501.53200000001</v>
      </c>
      <c r="M82" s="437">
        <v>0.04</v>
      </c>
      <c r="N82" s="6">
        <f t="shared" si="15"/>
        <v>23220.061280000002</v>
      </c>
      <c r="O82" s="351">
        <f t="shared" si="16"/>
        <v>603721.59328000003</v>
      </c>
      <c r="P82" s="351">
        <f t="shared" si="17"/>
        <v>45547.043279999983</v>
      </c>
    </row>
    <row r="83" spans="1:16">
      <c r="A83" s="8">
        <v>64</v>
      </c>
      <c r="B83" s="608" t="s">
        <v>1166</v>
      </c>
      <c r="F83" s="351">
        <v>54777.31</v>
      </c>
      <c r="J83" s="437">
        <v>0.04</v>
      </c>
      <c r="K83" s="351">
        <f t="shared" si="18"/>
        <v>2191.0924</v>
      </c>
      <c r="L83" s="351">
        <f t="shared" si="14"/>
        <v>56968.402399999999</v>
      </c>
      <c r="M83" s="437">
        <v>0.04</v>
      </c>
      <c r="N83" s="6">
        <f t="shared" si="15"/>
        <v>2278.7360960000001</v>
      </c>
      <c r="O83" s="351">
        <f t="shared" si="16"/>
        <v>59247.138496</v>
      </c>
      <c r="P83" s="351">
        <f t="shared" si="17"/>
        <v>4469.8284960000019</v>
      </c>
    </row>
    <row r="84" spans="1:16">
      <c r="A84" s="8">
        <v>65</v>
      </c>
      <c r="B84" s="608" t="s">
        <v>1167</v>
      </c>
      <c r="F84" s="647">
        <v>9465.5499999999993</v>
      </c>
      <c r="J84" s="437">
        <v>0.04</v>
      </c>
      <c r="K84" s="351">
        <f t="shared" si="18"/>
        <v>378.62199999999996</v>
      </c>
      <c r="L84" s="351">
        <f t="shared" si="14"/>
        <v>9844.1719999999987</v>
      </c>
      <c r="M84" s="437">
        <v>0.04</v>
      </c>
      <c r="N84" s="6">
        <f t="shared" si="15"/>
        <v>393.76687999999996</v>
      </c>
      <c r="O84" s="351">
        <f t="shared" si="16"/>
        <v>10237.938879999998</v>
      </c>
      <c r="P84" s="351">
        <f t="shared" si="17"/>
        <v>772.38887999999861</v>
      </c>
    </row>
    <row r="85" spans="1:16">
      <c r="F85" s="648">
        <f>SUM(F70:F84)</f>
        <v>4357444.47</v>
      </c>
      <c r="K85" s="648">
        <f>SUM(K70:K84)</f>
        <v>132823.3248</v>
      </c>
      <c r="L85" s="648">
        <f>SUM(L70:L84)</f>
        <v>4490267.7948000003</v>
      </c>
      <c r="N85" s="648">
        <f>SUM(N70:N84)</f>
        <v>138136.25779200002</v>
      </c>
      <c r="O85" s="648">
        <f>SUM(O70:O84)</f>
        <v>4628404.052592</v>
      </c>
      <c r="P85" s="648">
        <f>SUM(P70:P84)</f>
        <v>270959.58259200002</v>
      </c>
    </row>
    <row r="86" spans="1:16">
      <c r="K86" s="351"/>
    </row>
    <row r="87" spans="1:16">
      <c r="A87" s="995" t="s">
        <v>1592</v>
      </c>
    </row>
    <row r="88" spans="1:16">
      <c r="A88" s="995" t="s">
        <v>2140</v>
      </c>
    </row>
    <row r="89" spans="1:16">
      <c r="A89" s="995" t="s">
        <v>2141</v>
      </c>
    </row>
  </sheetData>
  <mergeCells count="6">
    <mergeCell ref="B65:E68"/>
    <mergeCell ref="E1:L1"/>
    <mergeCell ref="E2:L2"/>
    <mergeCell ref="E3:L3"/>
    <mergeCell ref="E4:L4"/>
    <mergeCell ref="E5:L5"/>
  </mergeCells>
  <printOptions horizontalCentered="1"/>
  <pageMargins left="0.7" right="0.7" top="0.75" bottom="0.75" header="0.3" footer="0.3"/>
  <pageSetup scale="43" orientation="landscape" r:id="rId1"/>
  <headerFooter scaleWithDoc="0" alignWithMargins="0">
    <oddHeader>&amp;RPage &amp;P of &amp;N</oddHeader>
    <oddFooter>&amp;LElectronic Tab Name:&amp;A</oddFooter>
  </headerFooter>
  <rowBreaks count="2" manualBreakCount="2">
    <brk id="36" max="15" man="1"/>
    <brk id="63" max="15" man="1"/>
  </rowBreak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37"/>
  <sheetViews>
    <sheetView view="pageBreakPreview" zoomScaleNormal="100" zoomScaleSheetLayoutView="100" workbookViewId="0">
      <selection activeCell="A3" sqref="A3:H3"/>
    </sheetView>
  </sheetViews>
  <sheetFormatPr defaultRowHeight="15.75"/>
  <cols>
    <col min="1" max="1" width="9.42578125" style="8" bestFit="1" customWidth="1"/>
    <col min="2" max="2" width="33" style="6" bestFit="1" customWidth="1"/>
    <col min="3" max="3" width="10.28515625" style="6" bestFit="1" customWidth="1"/>
    <col min="4" max="4" width="27.28515625" style="6" customWidth="1"/>
    <col min="5" max="5" width="18.140625" style="37" bestFit="1" customWidth="1"/>
    <col min="6" max="6" width="11.28515625" style="6" bestFit="1" customWidth="1"/>
    <col min="7" max="7" width="10.140625" style="6" bestFit="1" customWidth="1"/>
    <col min="8" max="8" width="13.5703125" style="6" bestFit="1" customWidth="1"/>
    <col min="9" max="9" width="9.140625" style="6"/>
    <col min="10" max="10" width="9.7109375" style="6" bestFit="1" customWidth="1"/>
    <col min="11" max="16384" width="9.140625" style="6"/>
  </cols>
  <sheetData>
    <row r="1" spans="1:9">
      <c r="B1" s="1025" t="s">
        <v>61</v>
      </c>
      <c r="C1" s="1025"/>
      <c r="D1" s="1025"/>
      <c r="E1" s="1025"/>
      <c r="F1" s="1025"/>
      <c r="G1" s="5"/>
      <c r="H1" s="5"/>
      <c r="I1" s="5"/>
    </row>
    <row r="2" spans="1:9">
      <c r="B2" s="1025" t="s">
        <v>1690</v>
      </c>
      <c r="C2" s="1025"/>
      <c r="D2" s="1025"/>
      <c r="E2" s="1025"/>
      <c r="F2" s="1025"/>
      <c r="G2" s="5"/>
      <c r="H2" s="5"/>
      <c r="I2" s="5"/>
    </row>
    <row r="3" spans="1:9">
      <c r="B3" s="1025" t="s">
        <v>1709</v>
      </c>
      <c r="C3" s="1025"/>
      <c r="D3" s="1025"/>
      <c r="E3" s="1025"/>
      <c r="F3" s="1025"/>
      <c r="G3" s="5"/>
      <c r="H3" s="5"/>
      <c r="I3" s="5"/>
    </row>
    <row r="4" spans="1:9">
      <c r="B4" s="1025" t="s">
        <v>981</v>
      </c>
      <c r="C4" s="1025"/>
      <c r="D4" s="1025"/>
      <c r="E4" s="1025"/>
      <c r="F4" s="1025"/>
      <c r="G4" s="5"/>
      <c r="H4" s="5"/>
      <c r="I4" s="5"/>
    </row>
    <row r="5" spans="1:9">
      <c r="B5" s="1025" t="s">
        <v>985</v>
      </c>
      <c r="C5" s="1025"/>
      <c r="D5" s="1025"/>
      <c r="E5" s="1025"/>
      <c r="F5" s="1025"/>
      <c r="G5" s="5"/>
      <c r="H5" s="5"/>
      <c r="I5" s="5"/>
    </row>
    <row r="7" spans="1:9" s="8" customFormat="1">
      <c r="B7" s="8" t="s">
        <v>1731</v>
      </c>
      <c r="C7" s="8" t="s">
        <v>1729</v>
      </c>
      <c r="D7" s="8" t="s">
        <v>1730</v>
      </c>
      <c r="E7" s="8" t="s">
        <v>1733</v>
      </c>
      <c r="F7" s="8" t="s">
        <v>1734</v>
      </c>
    </row>
    <row r="8" spans="1:9">
      <c r="A8" s="15" t="s">
        <v>1754</v>
      </c>
    </row>
    <row r="9" spans="1:9">
      <c r="A9" s="8">
        <v>1</v>
      </c>
      <c r="B9" s="6" t="s">
        <v>1638</v>
      </c>
      <c r="E9" s="649">
        <f>+'MPP-6 - Plant Additions'!X208</f>
        <v>18072319.657660004</v>
      </c>
    </row>
    <row r="10" spans="1:9">
      <c r="E10" s="6"/>
    </row>
    <row r="11" spans="1:9">
      <c r="A11" s="8">
        <v>2</v>
      </c>
      <c r="B11" s="99" t="s">
        <v>2150</v>
      </c>
      <c r="C11" s="902">
        <f>E30</f>
        <v>1.1681678480842181E-2</v>
      </c>
      <c r="E11" s="6"/>
    </row>
    <row r="12" spans="1:9">
      <c r="A12" s="8">
        <v>3</v>
      </c>
      <c r="B12" s="6" t="s">
        <v>971</v>
      </c>
      <c r="E12" s="643">
        <f>+E9*C11</f>
        <v>211115.02764378799</v>
      </c>
    </row>
    <row r="13" spans="1:9">
      <c r="E13" s="6"/>
    </row>
    <row r="14" spans="1:9">
      <c r="A14" s="8">
        <v>4</v>
      </c>
      <c r="B14" s="6" t="s">
        <v>2151</v>
      </c>
      <c r="E14" s="120">
        <f>+E33</f>
        <v>199943.9</v>
      </c>
    </row>
    <row r="15" spans="1:9">
      <c r="E15" s="6"/>
    </row>
    <row r="16" spans="1:9">
      <c r="A16" s="8">
        <v>5</v>
      </c>
      <c r="B16" s="6" t="s">
        <v>887</v>
      </c>
      <c r="D16" s="30" t="s">
        <v>1753</v>
      </c>
      <c r="E16" s="351">
        <f>+E9</f>
        <v>18072319.657660004</v>
      </c>
      <c r="F16" s="351"/>
    </row>
    <row r="17" spans="1:7">
      <c r="D17" s="30"/>
      <c r="E17" s="351"/>
      <c r="F17" s="351"/>
    </row>
    <row r="18" spans="1:7">
      <c r="A18" s="8">
        <v>6</v>
      </c>
      <c r="B18" s="6" t="s">
        <v>296</v>
      </c>
      <c r="D18" s="30" t="s">
        <v>1372</v>
      </c>
      <c r="E18" s="351">
        <f>+'MPP-6 - Plant Additions'!Z230</f>
        <v>410853.14640118089</v>
      </c>
      <c r="F18" s="351">
        <f>+E18</f>
        <v>410853.14640118089</v>
      </c>
    </row>
    <row r="19" spans="1:7">
      <c r="A19" s="8">
        <v>7</v>
      </c>
      <c r="B19" s="6" t="s">
        <v>901</v>
      </c>
      <c r="D19" s="30" t="s">
        <v>1755</v>
      </c>
      <c r="E19" s="351">
        <f>+E18/2</f>
        <v>205426.57320059044</v>
      </c>
      <c r="F19" s="351"/>
    </row>
    <row r="20" spans="1:7">
      <c r="A20" s="8">
        <v>8</v>
      </c>
      <c r="B20" s="6" t="s">
        <v>902</v>
      </c>
      <c r="D20" s="30" t="s">
        <v>1756</v>
      </c>
      <c r="E20" s="351">
        <f>+E16*0.0375</f>
        <v>677711.98716225009</v>
      </c>
      <c r="F20" s="351"/>
    </row>
    <row r="21" spans="1:7">
      <c r="A21" s="8">
        <v>9</v>
      </c>
      <c r="B21" s="6" t="s">
        <v>106</v>
      </c>
      <c r="D21" s="30" t="s">
        <v>1757</v>
      </c>
      <c r="E21" s="351">
        <f>(+E20-E18)*0.35</f>
        <v>93400.594266374217</v>
      </c>
      <c r="F21" s="351"/>
    </row>
    <row r="22" spans="1:7">
      <c r="A22" s="8">
        <v>10</v>
      </c>
      <c r="B22" s="6" t="s">
        <v>903</v>
      </c>
      <c r="D22" s="30" t="s">
        <v>1758</v>
      </c>
      <c r="E22" s="351">
        <f>+E21/2</f>
        <v>46700.297133187109</v>
      </c>
      <c r="F22" s="351"/>
    </row>
    <row r="23" spans="1:7">
      <c r="A23" s="8">
        <v>11</v>
      </c>
      <c r="B23" s="6" t="s">
        <v>904</v>
      </c>
      <c r="D23" s="30" t="s">
        <v>1759</v>
      </c>
      <c r="E23" s="351"/>
      <c r="F23" s="351">
        <f>+F18*0.35</f>
        <v>143798.60124041329</v>
      </c>
    </row>
    <row r="24" spans="1:7">
      <c r="E24" s="351"/>
      <c r="F24" s="351"/>
    </row>
    <row r="25" spans="1:7">
      <c r="A25" s="8">
        <v>12</v>
      </c>
      <c r="B25" s="6" t="s">
        <v>905</v>
      </c>
      <c r="E25" s="351">
        <f>+E16-E22-E19</f>
        <v>17820192.787326224</v>
      </c>
      <c r="F25" s="351"/>
    </row>
    <row r="26" spans="1:7">
      <c r="F26" s="437"/>
      <c r="G26" s="351"/>
    </row>
    <row r="27" spans="1:7">
      <c r="A27" s="8" t="s">
        <v>1592</v>
      </c>
      <c r="F27" s="351"/>
      <c r="G27" s="351"/>
    </row>
    <row r="28" spans="1:7">
      <c r="A28" s="996" t="s">
        <v>2146</v>
      </c>
      <c r="B28" s="498" t="s">
        <v>2147</v>
      </c>
      <c r="C28" s="498"/>
      <c r="D28" s="498"/>
      <c r="E28" s="997">
        <v>222755000</v>
      </c>
      <c r="F28" s="351"/>
      <c r="G28" s="351"/>
    </row>
    <row r="29" spans="1:7">
      <c r="A29" s="521"/>
      <c r="B29" s="19" t="s">
        <v>2148</v>
      </c>
      <c r="C29" s="19"/>
      <c r="D29" s="19"/>
      <c r="E29" s="998">
        <v>2602152.29</v>
      </c>
      <c r="F29" s="351"/>
      <c r="G29" s="351"/>
    </row>
    <row r="30" spans="1:7">
      <c r="A30" s="522"/>
      <c r="B30" s="505" t="s">
        <v>2149</v>
      </c>
      <c r="C30" s="505"/>
      <c r="D30" s="505"/>
      <c r="E30" s="999">
        <f>E29/E28</f>
        <v>1.1681678480842181E-2</v>
      </c>
      <c r="F30" s="351"/>
      <c r="G30" s="351"/>
    </row>
    <row r="31" spans="1:7">
      <c r="A31" s="996" t="s">
        <v>2144</v>
      </c>
      <c r="B31" s="498" t="s">
        <v>2133</v>
      </c>
      <c r="C31" s="498"/>
      <c r="D31" s="498"/>
      <c r="E31" s="1000">
        <v>6500000</v>
      </c>
      <c r="F31" s="351"/>
      <c r="G31" s="351"/>
    </row>
    <row r="32" spans="1:7">
      <c r="A32" s="521"/>
      <c r="B32" s="19" t="s">
        <v>2135</v>
      </c>
      <c r="C32" s="19"/>
      <c r="D32" s="19"/>
      <c r="E32" s="1001">
        <v>3.0760599999999999E-2</v>
      </c>
      <c r="F32" s="351"/>
      <c r="G32" s="351"/>
    </row>
    <row r="33" spans="1:7">
      <c r="A33" s="522"/>
      <c r="B33" s="505" t="s">
        <v>2134</v>
      </c>
      <c r="C33" s="505"/>
      <c r="D33" s="505"/>
      <c r="E33" s="1002">
        <f>+E31*E32</f>
        <v>199943.9</v>
      </c>
      <c r="F33" s="351"/>
      <c r="G33" s="351"/>
    </row>
    <row r="34" spans="1:7">
      <c r="E34" s="6"/>
      <c r="F34" s="351"/>
      <c r="G34" s="351"/>
    </row>
    <row r="35" spans="1:7">
      <c r="F35" s="351"/>
      <c r="G35" s="351"/>
    </row>
    <row r="36" spans="1:7">
      <c r="F36" s="351"/>
      <c r="G36" s="351"/>
    </row>
    <row r="37" spans="1:7">
      <c r="F37" s="351"/>
      <c r="G37" s="351"/>
    </row>
  </sheetData>
  <mergeCells count="5">
    <mergeCell ref="B5:F5"/>
    <mergeCell ref="B1:F1"/>
    <mergeCell ref="B2:F2"/>
    <mergeCell ref="B4:F4"/>
    <mergeCell ref="B3:F3"/>
  </mergeCells>
  <printOptions horizontalCentered="1"/>
  <pageMargins left="0.7" right="0.7" top="0.75" bottom="0.75" header="0.3" footer="0.3"/>
  <pageSetup scale="84" fitToHeight="0" orientation="landscape" r:id="rId1"/>
  <headerFooter scaleWithDoc="0" alignWithMargins="0">
    <oddHeader>&amp;RPage &amp;P of &amp;N</oddHeader>
    <oddFooter>&amp;LElectronic Tab Name:&amp;A</oddFooter>
  </headerFooter>
  <colBreaks count="1" manualBreakCount="1">
    <brk id="6"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16"/>
  <sheetViews>
    <sheetView zoomScaleNormal="100" workbookViewId="0">
      <selection activeCell="A3" sqref="A3:H3"/>
    </sheetView>
  </sheetViews>
  <sheetFormatPr defaultRowHeight="15.75"/>
  <cols>
    <col min="1" max="1" width="9.42578125" style="8" bestFit="1" customWidth="1"/>
    <col min="2" max="3" width="9.140625" style="6"/>
    <col min="4" max="5" width="14" style="6" bestFit="1" customWidth="1"/>
    <col min="6" max="6" width="3.7109375" style="6" customWidth="1"/>
    <col min="7" max="7" width="14.140625" style="6" bestFit="1" customWidth="1"/>
    <col min="8" max="8" width="9.140625" style="6"/>
    <col min="9" max="10" width="12.5703125" style="6" bestFit="1" customWidth="1"/>
    <col min="11" max="16384" width="9.140625" style="6"/>
  </cols>
  <sheetData>
    <row r="1" spans="1:9">
      <c r="B1" s="1025" t="s">
        <v>61</v>
      </c>
      <c r="C1" s="1025"/>
      <c r="D1" s="1025"/>
      <c r="E1" s="1025"/>
      <c r="F1" s="1025"/>
      <c r="G1" s="1025"/>
      <c r="H1" s="1025"/>
      <c r="I1" s="30"/>
    </row>
    <row r="2" spans="1:9">
      <c r="B2" s="1025" t="s">
        <v>1690</v>
      </c>
      <c r="C2" s="1025"/>
      <c r="D2" s="1025"/>
      <c r="E2" s="1025"/>
      <c r="F2" s="1025"/>
      <c r="G2" s="1025"/>
      <c r="H2" s="1025"/>
      <c r="I2" s="30"/>
    </row>
    <row r="3" spans="1:9">
      <c r="B3" s="1025" t="s">
        <v>1710</v>
      </c>
      <c r="C3" s="1025"/>
      <c r="D3" s="1025"/>
      <c r="E3" s="1025"/>
      <c r="F3" s="1025"/>
      <c r="G3" s="1025"/>
      <c r="H3" s="1025"/>
      <c r="I3" s="30"/>
    </row>
    <row r="4" spans="1:9">
      <c r="B4" s="1025" t="s">
        <v>982</v>
      </c>
      <c r="C4" s="1025"/>
      <c r="D4" s="1025"/>
      <c r="E4" s="1025"/>
      <c r="F4" s="1025"/>
      <c r="G4" s="1025"/>
      <c r="H4" s="1025"/>
      <c r="I4" s="30"/>
    </row>
    <row r="5" spans="1:9">
      <c r="B5" s="1025" t="s">
        <v>985</v>
      </c>
      <c r="C5" s="1025"/>
      <c r="D5" s="1025"/>
      <c r="E5" s="1025"/>
      <c r="F5" s="1025"/>
      <c r="G5" s="1025"/>
      <c r="H5" s="1025"/>
      <c r="I5" s="30"/>
    </row>
    <row r="6" spans="1:9">
      <c r="E6" s="30"/>
      <c r="F6" s="30"/>
      <c r="G6" s="30"/>
      <c r="H6" s="30"/>
      <c r="I6" s="30"/>
    </row>
    <row r="7" spans="1:9" s="8" customFormat="1">
      <c r="B7" s="8" t="s">
        <v>1731</v>
      </c>
      <c r="D7" s="8" t="s">
        <v>1729</v>
      </c>
      <c r="E7" s="8" t="s">
        <v>1730</v>
      </c>
      <c r="G7" s="8" t="s">
        <v>1733</v>
      </c>
    </row>
    <row r="8" spans="1:9" ht="16.5" thickBot="1">
      <c r="A8" s="650" t="s">
        <v>891</v>
      </c>
      <c r="D8" s="993" t="s">
        <v>2136</v>
      </c>
      <c r="E8" s="993">
        <v>2016</v>
      </c>
      <c r="F8" s="8"/>
      <c r="G8" s="654" t="s">
        <v>59</v>
      </c>
    </row>
    <row r="9" spans="1:9">
      <c r="A9" s="8">
        <v>1</v>
      </c>
      <c r="B9" s="6" t="s">
        <v>899</v>
      </c>
      <c r="D9" s="651">
        <v>27313.75</v>
      </c>
      <c r="E9" s="651">
        <v>5656.8</v>
      </c>
      <c r="G9" s="649">
        <f>+D9+E9</f>
        <v>32970.550000000003</v>
      </c>
    </row>
    <row r="10" spans="1:9">
      <c r="A10" s="8">
        <v>2</v>
      </c>
      <c r="B10" s="6" t="s">
        <v>107</v>
      </c>
      <c r="D10" s="651">
        <v>219901.15</v>
      </c>
      <c r="E10" s="651">
        <v>66715.92</v>
      </c>
      <c r="G10" s="649">
        <f>+D10+E10</f>
        <v>286617.07</v>
      </c>
    </row>
    <row r="11" spans="1:9">
      <c r="A11" s="8">
        <v>3</v>
      </c>
      <c r="B11" s="6" t="s">
        <v>108</v>
      </c>
      <c r="D11" s="651">
        <v>51296.74</v>
      </c>
      <c r="E11" s="651">
        <v>37260.18</v>
      </c>
      <c r="G11" s="649">
        <f>+D11+E11</f>
        <v>88556.92</v>
      </c>
    </row>
    <row r="12" spans="1:9">
      <c r="D12" s="651"/>
      <c r="E12" s="651"/>
    </row>
    <row r="13" spans="1:9">
      <c r="A13" s="8">
        <v>4</v>
      </c>
      <c r="B13" s="6" t="s">
        <v>109</v>
      </c>
      <c r="D13" s="651">
        <f>SUM(D9:D12)</f>
        <v>298511.64</v>
      </c>
      <c r="E13" s="651">
        <f>SUM(E9:E12)</f>
        <v>109632.9</v>
      </c>
      <c r="G13" s="649">
        <f>SUM(G9:G11)</f>
        <v>408144.54</v>
      </c>
    </row>
    <row r="14" spans="1:9">
      <c r="A14" s="8">
        <v>5</v>
      </c>
      <c r="D14" s="6" t="s">
        <v>1117</v>
      </c>
      <c r="G14" s="652">
        <f>+E13</f>
        <v>109632.9</v>
      </c>
      <c r="H14" s="120"/>
    </row>
    <row r="15" spans="1:9" ht="16.5" thickBot="1">
      <c r="A15" s="8">
        <v>6</v>
      </c>
      <c r="B15" s="6" t="s">
        <v>63</v>
      </c>
      <c r="G15" s="653">
        <f>+G13-G14</f>
        <v>298511.64</v>
      </c>
      <c r="I15" s="649"/>
    </row>
    <row r="16" spans="1:9" ht="16.5" thickTop="1"/>
  </sheetData>
  <mergeCells count="5">
    <mergeCell ref="B1:H1"/>
    <mergeCell ref="B2:H2"/>
    <mergeCell ref="B4:H4"/>
    <mergeCell ref="B5:H5"/>
    <mergeCell ref="B3:H3"/>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
  <sheetViews>
    <sheetView workbookViewId="0">
      <selection activeCell="A31" sqref="A31"/>
    </sheetView>
  </sheetViews>
  <sheetFormatPr defaultRowHeight="15"/>
  <cols>
    <col min="1" max="1" width="98.7109375" style="4" customWidth="1"/>
    <col min="2" max="2" width="29.42578125" style="4" customWidth="1"/>
    <col min="3" max="16384" width="9.140625" style="4"/>
  </cols>
  <sheetData>
    <row r="1" spans="1:7" ht="15.75">
      <c r="A1" s="20" t="s">
        <v>1645</v>
      </c>
    </row>
    <row r="2" spans="1:7" ht="15.75">
      <c r="A2" s="20" t="s">
        <v>118</v>
      </c>
    </row>
    <row r="3" spans="1:7" ht="15.75">
      <c r="A3" s="20" t="s">
        <v>1643</v>
      </c>
    </row>
    <row r="4" spans="1:7" ht="15.75">
      <c r="A4" s="21"/>
    </row>
    <row r="5" spans="1:7" ht="15.75">
      <c r="A5" s="22"/>
    </row>
    <row r="6" spans="1:7" ht="15.75">
      <c r="A6" s="22"/>
    </row>
    <row r="7" spans="1:7" ht="15.75">
      <c r="A7" s="22"/>
    </row>
    <row r="8" spans="1:7" ht="15.75">
      <c r="A8" s="22" t="s">
        <v>1641</v>
      </c>
    </row>
    <row r="9" spans="1:7" ht="15.75">
      <c r="A9" s="22"/>
    </row>
    <row r="10" spans="1:7" ht="15.75">
      <c r="A10" s="22"/>
    </row>
    <row r="11" spans="1:7" ht="15.75">
      <c r="A11" s="22"/>
      <c r="G11" s="3"/>
    </row>
    <row r="12" spans="1:7" ht="15.75">
      <c r="A12" s="22"/>
    </row>
    <row r="13" spans="1:7" ht="15.75">
      <c r="A13" s="22"/>
      <c r="C13" s="26"/>
    </row>
    <row r="14" spans="1:7" ht="15.75">
      <c r="A14" s="22"/>
    </row>
    <row r="15" spans="1:7" ht="15.75">
      <c r="A15" s="22"/>
    </row>
    <row r="16" spans="1:7" ht="15.75">
      <c r="A16" s="23"/>
    </row>
    <row r="17" spans="1:1" ht="15.75">
      <c r="A17" s="23"/>
    </row>
    <row r="18" spans="1:1" ht="15.75">
      <c r="A18" s="22"/>
    </row>
    <row r="19" spans="1:1" ht="15.75">
      <c r="A19" s="23" t="s">
        <v>126</v>
      </c>
    </row>
    <row r="20" spans="1:1" ht="15.75">
      <c r="A20" s="23"/>
    </row>
    <row r="21" spans="1:1" ht="15.75">
      <c r="A21" s="23" t="s">
        <v>1644</v>
      </c>
    </row>
    <row r="22" spans="1:1" ht="15.75">
      <c r="A22" s="23"/>
    </row>
    <row r="23" spans="1:1" ht="15.75">
      <c r="A23" s="23"/>
    </row>
    <row r="24" spans="1:1" ht="15.75">
      <c r="A24" s="24" t="s">
        <v>1681</v>
      </c>
    </row>
    <row r="25" spans="1:1" ht="15.75">
      <c r="A25" s="23"/>
    </row>
    <row r="26" spans="1:1" ht="15.75">
      <c r="A26" s="23"/>
    </row>
    <row r="27" spans="1:1" ht="15.75">
      <c r="A27" s="23"/>
    </row>
    <row r="28" spans="1:1" ht="15.75">
      <c r="A28" s="23"/>
    </row>
    <row r="29" spans="1:1" ht="15.75">
      <c r="A29" s="23"/>
    </row>
    <row r="30" spans="1:1" ht="15.75">
      <c r="A30" s="1011" t="s">
        <v>2167</v>
      </c>
    </row>
    <row r="31" spans="1:1">
      <c r="A31" s="25"/>
    </row>
    <row r="32" spans="1:1">
      <c r="A32" s="3"/>
    </row>
    <row r="33" spans="1:1">
      <c r="A33" s="3"/>
    </row>
    <row r="34" spans="1:1">
      <c r="A34" s="3"/>
    </row>
    <row r="35" spans="1:1">
      <c r="A35" s="3"/>
    </row>
    <row r="36" spans="1:1">
      <c r="A36" s="3"/>
    </row>
  </sheetData>
  <printOptions horizontalCentered="1"/>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19"/>
  <sheetViews>
    <sheetView view="pageBreakPreview" zoomScale="90" zoomScaleNormal="100" zoomScaleSheetLayoutView="90" workbookViewId="0">
      <selection activeCell="A3" sqref="A3:H3"/>
    </sheetView>
  </sheetViews>
  <sheetFormatPr defaultRowHeight="15.75"/>
  <cols>
    <col min="1" max="1" width="8.85546875" style="8" bestFit="1" customWidth="1"/>
    <col min="2" max="2" width="36.28515625" style="6" bestFit="1" customWidth="1"/>
    <col min="3" max="3" width="25.7109375" style="6" bestFit="1" customWidth="1"/>
    <col min="4" max="4" width="8.140625" style="6" bestFit="1" customWidth="1"/>
    <col min="5" max="5" width="9" style="6" bestFit="1" customWidth="1"/>
    <col min="6" max="6" width="6.42578125" style="6" customWidth="1"/>
    <col min="7" max="7" width="5.42578125" style="6" bestFit="1" customWidth="1"/>
    <col min="8" max="8" width="10" style="6" bestFit="1" customWidth="1"/>
    <col min="9" max="9" width="5.42578125" style="6" bestFit="1" customWidth="1"/>
    <col min="10" max="10" width="11.140625" style="6" bestFit="1" customWidth="1"/>
    <col min="11" max="11" width="16.85546875" style="6" bestFit="1" customWidth="1"/>
    <col min="12" max="12" width="14.5703125" style="6" bestFit="1" customWidth="1"/>
    <col min="13" max="16384" width="9.140625" style="6"/>
  </cols>
  <sheetData>
    <row r="1" spans="1:12">
      <c r="C1" s="1025" t="s">
        <v>61</v>
      </c>
      <c r="D1" s="1025"/>
      <c r="E1" s="1025"/>
      <c r="F1" s="1025"/>
      <c r="G1" s="1025"/>
      <c r="H1" s="1025"/>
      <c r="I1" s="1025"/>
      <c r="J1" s="1025"/>
    </row>
    <row r="2" spans="1:12">
      <c r="C2" s="1025" t="s">
        <v>1690</v>
      </c>
      <c r="D2" s="1025"/>
      <c r="E2" s="1025"/>
      <c r="F2" s="1025"/>
      <c r="G2" s="1025"/>
      <c r="H2" s="1025"/>
      <c r="I2" s="1025"/>
      <c r="J2" s="1025"/>
    </row>
    <row r="3" spans="1:12">
      <c r="C3" s="1025" t="s">
        <v>1711</v>
      </c>
      <c r="D3" s="1025"/>
      <c r="E3" s="1025"/>
      <c r="F3" s="1025"/>
      <c r="G3" s="1025"/>
      <c r="H3" s="1025"/>
      <c r="I3" s="1025"/>
      <c r="J3" s="1025"/>
    </row>
    <row r="4" spans="1:12">
      <c r="C4" s="1025" t="s">
        <v>1717</v>
      </c>
      <c r="D4" s="1025"/>
      <c r="E4" s="1025"/>
      <c r="F4" s="1025"/>
      <c r="G4" s="1025"/>
      <c r="H4" s="1025"/>
      <c r="I4" s="1025"/>
      <c r="J4" s="1025"/>
    </row>
    <row r="5" spans="1:12">
      <c r="C5" s="1025" t="s">
        <v>985</v>
      </c>
      <c r="D5" s="1025"/>
      <c r="E5" s="1025"/>
      <c r="F5" s="1025"/>
      <c r="G5" s="1025"/>
      <c r="H5" s="1025"/>
      <c r="I5" s="1025"/>
      <c r="J5" s="1025"/>
    </row>
    <row r="9" spans="1:12" s="8" customFormat="1">
      <c r="B9" s="8" t="s">
        <v>1731</v>
      </c>
      <c r="C9" s="8" t="s">
        <v>1729</v>
      </c>
      <c r="D9" s="8" t="s">
        <v>1730</v>
      </c>
      <c r="E9" s="8" t="s">
        <v>1733</v>
      </c>
      <c r="F9" s="8" t="s">
        <v>1734</v>
      </c>
      <c r="G9" s="8" t="s">
        <v>1743</v>
      </c>
      <c r="H9" s="8" t="s">
        <v>1744</v>
      </c>
      <c r="I9" s="8" t="s">
        <v>1745</v>
      </c>
      <c r="J9" s="8" t="s">
        <v>1746</v>
      </c>
      <c r="K9" s="8" t="s">
        <v>1747</v>
      </c>
      <c r="L9" s="8" t="s">
        <v>1748</v>
      </c>
    </row>
    <row r="10" spans="1:12" s="8" customFormat="1" ht="16.5" thickBot="1">
      <c r="A10" s="15" t="s">
        <v>891</v>
      </c>
      <c r="B10" s="654" t="s">
        <v>1171</v>
      </c>
      <c r="C10" s="654" t="s">
        <v>1172</v>
      </c>
      <c r="D10" s="654" t="s">
        <v>934</v>
      </c>
      <c r="E10" s="654"/>
      <c r="F10" s="654" t="s">
        <v>1173</v>
      </c>
      <c r="G10" s="654" t="s">
        <v>1174</v>
      </c>
      <c r="H10" s="654" t="s">
        <v>1173</v>
      </c>
      <c r="I10" s="654" t="s">
        <v>1174</v>
      </c>
      <c r="J10" s="655">
        <v>2017</v>
      </c>
      <c r="K10" s="595" t="s">
        <v>1175</v>
      </c>
      <c r="L10" s="595" t="s">
        <v>1176</v>
      </c>
    </row>
    <row r="12" spans="1:12">
      <c r="A12" s="8">
        <v>1</v>
      </c>
      <c r="B12" s="6" t="s">
        <v>1168</v>
      </c>
      <c r="C12" s="6" t="s">
        <v>1169</v>
      </c>
      <c r="D12" s="387">
        <v>48.08</v>
      </c>
      <c r="E12" s="351">
        <v>2080</v>
      </c>
      <c r="F12" s="6">
        <v>100</v>
      </c>
      <c r="G12" s="6">
        <v>0</v>
      </c>
      <c r="H12" s="656">
        <f>D12*E12*F12*0.01</f>
        <v>100006.40000000001</v>
      </c>
      <c r="I12" s="6">
        <f>D12*E12*G12*0.01</f>
        <v>0</v>
      </c>
      <c r="J12" s="585">
        <f>H12</f>
        <v>100006.40000000001</v>
      </c>
      <c r="K12" s="437">
        <f>'State Allocation Formulas'!L25</f>
        <v>0.77239999999999998</v>
      </c>
      <c r="L12" s="351">
        <f>+J12*K12</f>
        <v>77244.943360000005</v>
      </c>
    </row>
    <row r="13" spans="1:12">
      <c r="A13" s="8">
        <v>2</v>
      </c>
      <c r="B13" s="6" t="s">
        <v>1168</v>
      </c>
      <c r="C13" s="6" t="s">
        <v>1170</v>
      </c>
      <c r="D13" s="387">
        <v>35.54</v>
      </c>
      <c r="E13" s="351">
        <v>2080</v>
      </c>
      <c r="F13" s="6">
        <v>100</v>
      </c>
      <c r="G13" s="6">
        <v>0</v>
      </c>
      <c r="H13" s="656">
        <f>D13*E13*F13*0.01</f>
        <v>73923.199999999997</v>
      </c>
      <c r="I13" s="6">
        <f>D13*E13*G13*0.01</f>
        <v>0</v>
      </c>
      <c r="J13" s="585">
        <f>H13</f>
        <v>73923.199999999997</v>
      </c>
      <c r="K13" s="437">
        <f>'State Allocation Formulas'!L25</f>
        <v>0.77239999999999998</v>
      </c>
      <c r="L13" s="351">
        <f>+J13*K13</f>
        <v>57098.279679999992</v>
      </c>
    </row>
    <row r="14" spans="1:12" ht="16.5" thickBot="1">
      <c r="A14" s="8">
        <v>3</v>
      </c>
      <c r="B14" s="6" t="s">
        <v>1168</v>
      </c>
      <c r="C14" s="6" t="s">
        <v>1170</v>
      </c>
      <c r="D14" s="387">
        <v>30.76</v>
      </c>
      <c r="E14" s="351">
        <v>2080</v>
      </c>
      <c r="F14" s="6">
        <v>100</v>
      </c>
      <c r="G14" s="6">
        <v>0</v>
      </c>
      <c r="H14" s="657">
        <f>D14*E14*F14*0.01</f>
        <v>63980.800000000003</v>
      </c>
      <c r="I14" s="6">
        <f>D14*E14*G14*0.01</f>
        <v>0</v>
      </c>
      <c r="J14" s="658">
        <f>H14</f>
        <v>63980.800000000003</v>
      </c>
      <c r="K14" s="437">
        <f>'State Allocation Formulas'!L25</f>
        <v>0.77239999999999998</v>
      </c>
      <c r="L14" s="351">
        <f>+J14*K14</f>
        <v>49418.769919999999</v>
      </c>
    </row>
    <row r="15" spans="1:12">
      <c r="D15" s="387"/>
      <c r="E15" s="351"/>
      <c r="H15" s="656">
        <f>SUM(H12:H14)</f>
        <v>237910.40000000002</v>
      </c>
      <c r="J15" s="659">
        <f>SUM(J12:J14)</f>
        <v>237910.40000000002</v>
      </c>
      <c r="L15" s="660">
        <f>SUM(L12:L14)</f>
        <v>183761.99296</v>
      </c>
    </row>
    <row r="16" spans="1:12">
      <c r="A16" s="8">
        <v>4</v>
      </c>
      <c r="C16" s="6" t="s">
        <v>1177</v>
      </c>
      <c r="K16" s="437">
        <v>0.45</v>
      </c>
      <c r="L16" s="120">
        <f>+L15*K16</f>
        <v>82692.896831999999</v>
      </c>
    </row>
    <row r="17" spans="1:12">
      <c r="A17" s="8">
        <v>5</v>
      </c>
      <c r="C17" s="6" t="s">
        <v>1178</v>
      </c>
      <c r="K17" s="437">
        <v>7.1499999999999994E-2</v>
      </c>
      <c r="L17" s="120">
        <f>+L15*K17</f>
        <v>13138.982496639999</v>
      </c>
    </row>
    <row r="19" spans="1:12">
      <c r="A19" s="8">
        <v>6</v>
      </c>
      <c r="B19" s="6" t="s">
        <v>1674</v>
      </c>
      <c r="L19" s="661">
        <f>+L15+L16+L17</f>
        <v>279593.87228864001</v>
      </c>
    </row>
  </sheetData>
  <mergeCells count="5">
    <mergeCell ref="C1:J1"/>
    <mergeCell ref="C2:J2"/>
    <mergeCell ref="C3:J3"/>
    <mergeCell ref="C4:J4"/>
    <mergeCell ref="C5:J5"/>
  </mergeCells>
  <printOptions horizontalCentered="1"/>
  <pageMargins left="0.7" right="0.7" top="0.75" bottom="0.75" header="0.3" footer="0.3"/>
  <pageSetup scale="77" fitToHeight="0" orientation="landscape" r:id="rId1"/>
  <headerFooter scaleWithDoc="0" alignWithMargins="0">
    <oddHeader>&amp;RPage &amp;P of &amp;N</oddHeader>
    <oddFooter>&amp;LElectronic Tab Name:&amp;A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19"/>
  <sheetViews>
    <sheetView workbookViewId="0">
      <selection activeCell="A3" sqref="A3:H3"/>
    </sheetView>
  </sheetViews>
  <sheetFormatPr defaultRowHeight="15.75"/>
  <cols>
    <col min="1" max="1" width="9.140625" style="148"/>
    <col min="2" max="2" width="35.140625" style="148" bestFit="1" customWidth="1"/>
    <col min="3" max="3" width="2.85546875" style="148" customWidth="1"/>
    <col min="4" max="4" width="10.140625" style="148" bestFit="1" customWidth="1"/>
    <col min="5" max="5" width="9.140625" style="148"/>
    <col min="6" max="6" width="10.140625" style="148" bestFit="1" customWidth="1"/>
    <col min="7" max="16384" width="9.140625" style="148"/>
  </cols>
  <sheetData>
    <row r="1" spans="1:9">
      <c r="A1" s="1025" t="s">
        <v>61</v>
      </c>
      <c r="B1" s="1025"/>
      <c r="C1" s="1025"/>
      <c r="D1" s="1025"/>
      <c r="E1" s="1025"/>
      <c r="F1" s="5"/>
      <c r="G1" s="5"/>
      <c r="H1" s="5"/>
      <c r="I1" s="5"/>
    </row>
    <row r="2" spans="1:9">
      <c r="A2" s="1025" t="s">
        <v>1690</v>
      </c>
      <c r="B2" s="1025"/>
      <c r="C2" s="1025"/>
      <c r="D2" s="1025"/>
      <c r="E2" s="1025"/>
      <c r="F2" s="5"/>
      <c r="G2" s="5"/>
      <c r="H2" s="5"/>
      <c r="I2" s="5"/>
    </row>
    <row r="3" spans="1:9">
      <c r="A3" s="1025" t="s">
        <v>1721</v>
      </c>
      <c r="B3" s="1025"/>
      <c r="C3" s="1025"/>
      <c r="D3" s="1025"/>
      <c r="E3" s="1025"/>
      <c r="F3" s="5"/>
      <c r="G3" s="5"/>
      <c r="H3" s="5"/>
      <c r="I3" s="5"/>
    </row>
    <row r="4" spans="1:9">
      <c r="A4" s="1025" t="s">
        <v>1025</v>
      </c>
      <c r="B4" s="1025"/>
      <c r="C4" s="1025"/>
      <c r="D4" s="1025"/>
      <c r="E4" s="1025"/>
      <c r="F4" s="5"/>
      <c r="G4" s="5"/>
      <c r="H4" s="5"/>
      <c r="I4" s="5"/>
    </row>
    <row r="5" spans="1:9">
      <c r="A5" s="1025" t="s">
        <v>985</v>
      </c>
      <c r="B5" s="1025"/>
      <c r="C5" s="1025"/>
      <c r="D5" s="1025"/>
      <c r="E5" s="1025"/>
      <c r="F5" s="5"/>
      <c r="G5" s="5"/>
      <c r="H5" s="5"/>
      <c r="I5" s="5"/>
    </row>
    <row r="7" spans="1:9">
      <c r="A7" s="662" t="s">
        <v>891</v>
      </c>
      <c r="B7" s="612" t="s">
        <v>1731</v>
      </c>
      <c r="C7" s="612"/>
      <c r="D7" s="612" t="s">
        <v>1729</v>
      </c>
    </row>
    <row r="8" spans="1:9">
      <c r="A8" s="612">
        <v>1</v>
      </c>
      <c r="B8" s="148" t="s">
        <v>2157</v>
      </c>
      <c r="D8" s="663">
        <v>2219857.09</v>
      </c>
    </row>
    <row r="9" spans="1:9">
      <c r="A9" s="612">
        <v>2</v>
      </c>
      <c r="B9" s="148" t="s">
        <v>1019</v>
      </c>
      <c r="D9" s="664">
        <v>5000000</v>
      </c>
    </row>
    <row r="10" spans="1:9">
      <c r="A10" s="612">
        <v>3</v>
      </c>
      <c r="B10" s="148" t="s">
        <v>1151</v>
      </c>
      <c r="D10" s="665">
        <f>5690427/12*5</f>
        <v>2371011.25</v>
      </c>
    </row>
    <row r="11" spans="1:9">
      <c r="A11" s="612">
        <v>4</v>
      </c>
      <c r="B11" s="148" t="s">
        <v>1020</v>
      </c>
      <c r="D11" s="663">
        <f>+D8+D9+D10</f>
        <v>9590868.3399999999</v>
      </c>
    </row>
    <row r="12" spans="1:9" ht="18">
      <c r="A12" s="612">
        <v>5</v>
      </c>
      <c r="B12" s="148" t="s">
        <v>2063</v>
      </c>
      <c r="D12" s="665">
        <v>10</v>
      </c>
    </row>
    <row r="13" spans="1:9" ht="16.5" thickBot="1">
      <c r="A13" s="612">
        <v>6</v>
      </c>
      <c r="B13" s="148" t="s">
        <v>1021</v>
      </c>
      <c r="D13" s="666">
        <f>+D11/D12</f>
        <v>959086.83400000003</v>
      </c>
    </row>
    <row r="14" spans="1:9" ht="16.5" thickTop="1"/>
    <row r="16" spans="1:9" ht="18">
      <c r="A16" s="148" t="s">
        <v>2064</v>
      </c>
    </row>
    <row r="18" spans="1:2">
      <c r="A18" s="148" t="s">
        <v>1592</v>
      </c>
    </row>
    <row r="19" spans="1:2">
      <c r="A19" s="612" t="s">
        <v>2146</v>
      </c>
      <c r="B19" s="148" t="s">
        <v>2158</v>
      </c>
    </row>
  </sheetData>
  <mergeCells count="5">
    <mergeCell ref="A1:E1"/>
    <mergeCell ref="A2:E2"/>
    <mergeCell ref="A3:E3"/>
    <mergeCell ref="A4:E4"/>
    <mergeCell ref="A5:E5"/>
  </mergeCells>
  <printOptions horizontalCentered="1"/>
  <pageMargins left="0.7" right="0.7" top="0.75" bottom="0.75" header="0.3" footer="0.3"/>
  <pageSetup scale="94" fitToHeight="0" orientation="portrait" r:id="rId1"/>
  <headerFooter scaleWithDoc="0" alignWithMargins="0">
    <oddHeader>&amp;RPage &amp;P of &amp;N</oddHeader>
    <oddFooter>&amp;LElectronic Tab Name:&amp;A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O22"/>
  <sheetViews>
    <sheetView zoomScaleNormal="100" workbookViewId="0">
      <selection activeCell="A3" sqref="A3:H3"/>
    </sheetView>
  </sheetViews>
  <sheetFormatPr defaultColWidth="11.42578125" defaultRowHeight="15.75"/>
  <cols>
    <col min="1" max="1" width="9.28515625" style="6" bestFit="1" customWidth="1"/>
    <col min="2" max="2" width="25" style="6" bestFit="1" customWidth="1"/>
    <col min="3" max="3" width="12.5703125" style="6" customWidth="1"/>
    <col min="4" max="4" width="5.85546875" style="6" customWidth="1"/>
    <col min="5" max="5" width="12.28515625" style="6" bestFit="1" customWidth="1"/>
    <col min="6" max="6" width="5.42578125" style="6" customWidth="1"/>
    <col min="7" max="7" width="10.28515625" style="6" bestFit="1" customWidth="1"/>
    <col min="8" max="8" width="4.85546875" style="6" customWidth="1"/>
    <col min="9" max="9" width="9.85546875" style="6" bestFit="1" customWidth="1"/>
    <col min="10" max="10" width="4.7109375" style="6" customWidth="1"/>
    <col min="11" max="11" width="9.85546875" style="6" bestFit="1" customWidth="1"/>
    <col min="12" max="12" width="3.28515625" style="6" customWidth="1"/>
    <col min="13" max="13" width="11" style="6" bestFit="1" customWidth="1"/>
    <col min="14" max="14" width="3.5703125" style="6" customWidth="1"/>
    <col min="15" max="15" width="11.85546875" style="6" customWidth="1"/>
    <col min="16" max="16384" width="11.42578125" style="6"/>
  </cols>
  <sheetData>
    <row r="1" spans="1:15">
      <c r="B1" s="1025" t="s">
        <v>61</v>
      </c>
      <c r="C1" s="1025"/>
      <c r="D1" s="1025"/>
      <c r="E1" s="1025"/>
      <c r="F1" s="1025"/>
      <c r="G1" s="1025"/>
      <c r="H1" s="1025"/>
      <c r="I1" s="1025"/>
      <c r="J1" s="1025"/>
      <c r="K1" s="1025"/>
      <c r="L1" s="1025"/>
      <c r="M1" s="1025"/>
    </row>
    <row r="2" spans="1:15">
      <c r="B2" s="1025" t="s">
        <v>1690</v>
      </c>
      <c r="C2" s="1025"/>
      <c r="D2" s="1025"/>
      <c r="E2" s="1025"/>
      <c r="F2" s="1025"/>
      <c r="G2" s="1025"/>
      <c r="H2" s="1025"/>
      <c r="I2" s="1025"/>
      <c r="J2" s="1025"/>
      <c r="K2" s="1025"/>
      <c r="L2" s="1025"/>
      <c r="M2" s="1025"/>
    </row>
    <row r="3" spans="1:15">
      <c r="B3" s="1025" t="s">
        <v>1722</v>
      </c>
      <c r="C3" s="1025"/>
      <c r="D3" s="1025"/>
      <c r="E3" s="1025"/>
      <c r="F3" s="1025"/>
      <c r="G3" s="1025"/>
      <c r="H3" s="1025"/>
      <c r="I3" s="1025"/>
      <c r="J3" s="1025"/>
      <c r="K3" s="1025"/>
      <c r="L3" s="1025"/>
      <c r="M3" s="1025"/>
    </row>
    <row r="4" spans="1:15">
      <c r="B4" s="1025" t="s">
        <v>1026</v>
      </c>
      <c r="C4" s="1025"/>
      <c r="D4" s="1025"/>
      <c r="E4" s="1025"/>
      <c r="F4" s="1025"/>
      <c r="G4" s="1025"/>
      <c r="H4" s="1025"/>
      <c r="I4" s="1025"/>
      <c r="J4" s="1025"/>
      <c r="K4" s="1025"/>
      <c r="L4" s="1025"/>
      <c r="M4" s="1025"/>
    </row>
    <row r="5" spans="1:15">
      <c r="B5" s="1025" t="s">
        <v>985</v>
      </c>
      <c r="C5" s="1025"/>
      <c r="D5" s="1025"/>
      <c r="E5" s="1025"/>
      <c r="F5" s="1025"/>
      <c r="G5" s="1025"/>
      <c r="H5" s="1025"/>
      <c r="I5" s="1025"/>
      <c r="J5" s="1025"/>
      <c r="K5" s="1025"/>
      <c r="L5" s="1025"/>
      <c r="M5" s="1025"/>
    </row>
    <row r="7" spans="1:15" s="8" customFormat="1">
      <c r="B7" s="8" t="s">
        <v>1731</v>
      </c>
      <c r="C7" s="8" t="s">
        <v>1729</v>
      </c>
      <c r="E7" s="8" t="s">
        <v>1730</v>
      </c>
      <c r="G7" s="8" t="s">
        <v>1733</v>
      </c>
      <c r="I7" s="8" t="s">
        <v>1734</v>
      </c>
      <c r="K7" s="8" t="s">
        <v>1743</v>
      </c>
      <c r="M7" s="8" t="s">
        <v>1744</v>
      </c>
      <c r="O7" s="8" t="s">
        <v>1745</v>
      </c>
    </row>
    <row r="8" spans="1:15" ht="78.75">
      <c r="A8" s="667" t="s">
        <v>891</v>
      </c>
      <c r="B8" s="667" t="s">
        <v>1027</v>
      </c>
      <c r="C8" s="668" t="s">
        <v>2154</v>
      </c>
      <c r="D8" s="667"/>
      <c r="E8" s="668" t="s">
        <v>2155</v>
      </c>
      <c r="F8" s="667"/>
      <c r="G8" s="669" t="s">
        <v>1034</v>
      </c>
      <c r="H8" s="14"/>
      <c r="I8" s="668" t="s">
        <v>2156</v>
      </c>
      <c r="J8" s="668"/>
      <c r="K8" s="668" t="s">
        <v>1033</v>
      </c>
      <c r="L8" s="14"/>
      <c r="M8" s="668" t="s">
        <v>1028</v>
      </c>
      <c r="O8" s="668" t="s">
        <v>1760</v>
      </c>
    </row>
    <row r="9" spans="1:15">
      <c r="B9" s="670"/>
      <c r="C9" s="670"/>
      <c r="D9" s="670"/>
      <c r="E9" s="671"/>
      <c r="F9" s="670"/>
      <c r="G9" s="667"/>
      <c r="H9" s="667"/>
      <c r="I9" s="667"/>
      <c r="J9" s="667"/>
      <c r="K9" s="667"/>
      <c r="L9" s="667"/>
      <c r="M9" s="667"/>
    </row>
    <row r="10" spans="1:15">
      <c r="A10" s="8">
        <v>1</v>
      </c>
      <c r="B10" s="672" t="s">
        <v>1988</v>
      </c>
      <c r="C10" s="673">
        <v>10</v>
      </c>
      <c r="D10" s="672"/>
      <c r="E10" s="674">
        <v>1297</v>
      </c>
      <c r="F10" s="672"/>
      <c r="G10" s="675">
        <f t="shared" ref="G10:G15" si="0">+C10*E10</f>
        <v>12970</v>
      </c>
      <c r="H10" s="676"/>
      <c r="I10" s="677">
        <v>12</v>
      </c>
      <c r="J10" s="678"/>
      <c r="K10" s="678">
        <f t="shared" ref="K10:K15" si="1">+I10*E10</f>
        <v>15564</v>
      </c>
      <c r="L10" s="676"/>
      <c r="M10" s="675">
        <f t="shared" ref="M10:M15" si="2">+K10-G10</f>
        <v>2594</v>
      </c>
      <c r="N10" s="676"/>
      <c r="O10" s="679">
        <f>(I10-C10)/C10</f>
        <v>0.2</v>
      </c>
    </row>
    <row r="11" spans="1:15">
      <c r="A11" s="8">
        <v>2</v>
      </c>
      <c r="B11" s="680" t="s">
        <v>1989</v>
      </c>
      <c r="C11" s="681">
        <v>18</v>
      </c>
      <c r="D11" s="680"/>
      <c r="E11" s="16">
        <v>4059</v>
      </c>
      <c r="F11" s="680"/>
      <c r="G11" s="682">
        <f t="shared" si="0"/>
        <v>73062</v>
      </c>
      <c r="H11" s="680"/>
      <c r="I11" s="683">
        <v>21</v>
      </c>
      <c r="J11" s="684"/>
      <c r="K11" s="684">
        <f t="shared" si="1"/>
        <v>85239</v>
      </c>
      <c r="L11" s="680"/>
      <c r="M11" s="685">
        <f t="shared" si="2"/>
        <v>12177</v>
      </c>
      <c r="O11" s="686">
        <f t="shared" ref="O11:O15" si="3">(I11-C11)/C11</f>
        <v>0.16666666666666666</v>
      </c>
    </row>
    <row r="12" spans="1:15">
      <c r="A12" s="8">
        <v>3</v>
      </c>
      <c r="B12" s="672" t="s">
        <v>1029</v>
      </c>
      <c r="C12" s="673">
        <v>20</v>
      </c>
      <c r="D12" s="672"/>
      <c r="E12" s="674">
        <v>271</v>
      </c>
      <c r="F12" s="672"/>
      <c r="G12" s="687">
        <f t="shared" si="0"/>
        <v>5420</v>
      </c>
      <c r="H12" s="672"/>
      <c r="I12" s="688">
        <v>24</v>
      </c>
      <c r="J12" s="689"/>
      <c r="K12" s="689">
        <f t="shared" si="1"/>
        <v>6504</v>
      </c>
      <c r="L12" s="672"/>
      <c r="M12" s="690">
        <f t="shared" si="2"/>
        <v>1084</v>
      </c>
      <c r="N12" s="690"/>
      <c r="O12" s="691">
        <f t="shared" si="3"/>
        <v>0.2</v>
      </c>
    </row>
    <row r="13" spans="1:15">
      <c r="A13" s="8">
        <v>4</v>
      </c>
      <c r="B13" s="680" t="s">
        <v>1030</v>
      </c>
      <c r="C13" s="681">
        <v>45</v>
      </c>
      <c r="D13" s="680"/>
      <c r="E13" s="16">
        <v>2916</v>
      </c>
      <c r="F13" s="680"/>
      <c r="G13" s="692">
        <f t="shared" si="0"/>
        <v>131220</v>
      </c>
      <c r="H13" s="680"/>
      <c r="I13" s="683">
        <v>0</v>
      </c>
      <c r="J13" s="684"/>
      <c r="K13" s="684">
        <f t="shared" si="1"/>
        <v>0</v>
      </c>
      <c r="L13" s="680"/>
      <c r="M13" s="685">
        <f t="shared" si="2"/>
        <v>-131220</v>
      </c>
      <c r="O13" s="693">
        <f t="shared" si="3"/>
        <v>-1</v>
      </c>
    </row>
    <row r="14" spans="1:15">
      <c r="A14" s="8">
        <v>5</v>
      </c>
      <c r="B14" s="672" t="s">
        <v>1031</v>
      </c>
      <c r="C14" s="673">
        <v>24</v>
      </c>
      <c r="D14" s="672"/>
      <c r="E14" s="674">
        <v>1865</v>
      </c>
      <c r="F14" s="672"/>
      <c r="G14" s="687">
        <f t="shared" si="0"/>
        <v>44760</v>
      </c>
      <c r="H14" s="672"/>
      <c r="I14" s="688">
        <v>28</v>
      </c>
      <c r="J14" s="689"/>
      <c r="K14" s="689">
        <f t="shared" si="1"/>
        <v>52220</v>
      </c>
      <c r="L14" s="672"/>
      <c r="M14" s="690">
        <f t="shared" si="2"/>
        <v>7460</v>
      </c>
      <c r="N14" s="690"/>
      <c r="O14" s="691">
        <f t="shared" si="3"/>
        <v>0.16666666666666666</v>
      </c>
    </row>
    <row r="15" spans="1:15">
      <c r="A15" s="8">
        <v>6</v>
      </c>
      <c r="B15" s="680" t="s">
        <v>1032</v>
      </c>
      <c r="C15" s="681">
        <v>60</v>
      </c>
      <c r="D15" s="680"/>
      <c r="E15" s="16">
        <v>626</v>
      </c>
      <c r="F15" s="680"/>
      <c r="G15" s="682">
        <f t="shared" si="0"/>
        <v>37560</v>
      </c>
      <c r="H15" s="680"/>
      <c r="I15" s="683">
        <v>70</v>
      </c>
      <c r="J15" s="684"/>
      <c r="K15" s="684">
        <f t="shared" si="1"/>
        <v>43820</v>
      </c>
      <c r="L15" s="680"/>
      <c r="M15" s="684">
        <f t="shared" si="2"/>
        <v>6260</v>
      </c>
      <c r="O15" s="686">
        <f t="shared" si="3"/>
        <v>0.16666666666666666</v>
      </c>
    </row>
    <row r="16" spans="1:15">
      <c r="B16" s="14"/>
      <c r="C16" s="14"/>
      <c r="D16" s="14"/>
      <c r="E16" s="14"/>
      <c r="F16" s="14"/>
      <c r="G16" s="14"/>
      <c r="H16" s="14"/>
      <c r="I16" s="14"/>
      <c r="J16" s="14"/>
      <c r="K16" s="14"/>
      <c r="L16" s="14"/>
      <c r="M16" s="682">
        <f>SUM(M10:M15)</f>
        <v>-101645</v>
      </c>
    </row>
    <row r="17" spans="1:13">
      <c r="B17" s="1078" t="s">
        <v>2065</v>
      </c>
      <c r="C17" s="1078"/>
      <c r="D17" s="1078"/>
      <c r="E17" s="1078"/>
      <c r="F17" s="1078"/>
      <c r="G17" s="1078"/>
      <c r="H17" s="1078"/>
      <c r="I17" s="1078"/>
      <c r="J17" s="1078"/>
      <c r="K17" s="1078"/>
      <c r="L17" s="1078"/>
      <c r="M17" s="14"/>
    </row>
    <row r="18" spans="1:13">
      <c r="B18" s="1078"/>
      <c r="C18" s="1078"/>
      <c r="D18" s="1078"/>
      <c r="E18" s="1078"/>
      <c r="F18" s="1078"/>
      <c r="G18" s="1078"/>
      <c r="H18" s="1078"/>
      <c r="I18" s="1078"/>
      <c r="J18" s="1078"/>
      <c r="K18" s="1078"/>
      <c r="L18" s="1078"/>
    </row>
    <row r="20" spans="1:13">
      <c r="A20" s="6" t="s">
        <v>1592</v>
      </c>
    </row>
    <row r="21" spans="1:13">
      <c r="A21" s="8" t="s">
        <v>2146</v>
      </c>
      <c r="B21" s="6" t="s">
        <v>2152</v>
      </c>
    </row>
    <row r="22" spans="1:13">
      <c r="A22" s="8" t="s">
        <v>2144</v>
      </c>
      <c r="B22" s="6" t="s">
        <v>2153</v>
      </c>
    </row>
  </sheetData>
  <mergeCells count="6">
    <mergeCell ref="B17:L18"/>
    <mergeCell ref="B1:M1"/>
    <mergeCell ref="B2:M2"/>
    <mergeCell ref="B3:M3"/>
    <mergeCell ref="B4:M4"/>
    <mergeCell ref="B5:M5"/>
  </mergeCells>
  <printOptions horizontalCentered="1"/>
  <pageMargins left="0.7" right="0.7" top="0.75" bottom="0.75" header="0.3" footer="0.3"/>
  <pageSetup scale="87" fitToHeight="0" orientation="landscape" r:id="rId1"/>
  <headerFooter scaleWithDoc="0" alignWithMargins="0">
    <oddHeader>&amp;RPage &amp;P of &amp;N</oddHeader>
    <oddFooter>&amp;LElectronic Tab Name:&amp;A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35"/>
  <sheetViews>
    <sheetView zoomScaleNormal="100" workbookViewId="0">
      <selection activeCell="A3" sqref="A3:H3"/>
    </sheetView>
  </sheetViews>
  <sheetFormatPr defaultRowHeight="15.75"/>
  <cols>
    <col min="1" max="1" width="10.140625" style="612" customWidth="1"/>
    <col min="2" max="2" width="61.85546875" style="148" bestFit="1" customWidth="1"/>
    <col min="3" max="3" width="18" style="148" bestFit="1" customWidth="1"/>
    <col min="4" max="4" width="12.7109375" style="148" bestFit="1" customWidth="1"/>
    <col min="5" max="16384" width="9.140625" style="148"/>
  </cols>
  <sheetData>
    <row r="1" spans="1:12">
      <c r="A1" s="1025" t="s">
        <v>61</v>
      </c>
      <c r="B1" s="1025"/>
      <c r="C1" s="1025"/>
      <c r="D1" s="1025"/>
      <c r="E1" s="1025"/>
      <c r="F1" s="5"/>
      <c r="G1" s="5"/>
      <c r="H1" s="5"/>
      <c r="I1" s="5"/>
      <c r="J1" s="5"/>
      <c r="K1" s="5"/>
      <c r="L1" s="5"/>
    </row>
    <row r="2" spans="1:12">
      <c r="A2" s="1025" t="s">
        <v>1690</v>
      </c>
      <c r="B2" s="1025"/>
      <c r="C2" s="1025"/>
      <c r="D2" s="1025"/>
      <c r="E2" s="1025"/>
      <c r="F2" s="5"/>
      <c r="G2" s="5"/>
      <c r="H2" s="5"/>
      <c r="I2" s="5"/>
      <c r="J2" s="5"/>
      <c r="K2" s="5"/>
      <c r="L2" s="5"/>
    </row>
    <row r="3" spans="1:12">
      <c r="A3" s="1025" t="s">
        <v>1723</v>
      </c>
      <c r="B3" s="1025"/>
      <c r="C3" s="1025"/>
      <c r="D3" s="1025"/>
      <c r="E3" s="1025"/>
      <c r="F3" s="5"/>
      <c r="G3" s="5"/>
      <c r="H3" s="5"/>
      <c r="I3" s="5"/>
      <c r="J3" s="5"/>
      <c r="K3" s="5"/>
      <c r="L3" s="5"/>
    </row>
    <row r="4" spans="1:12">
      <c r="A4" s="1025" t="s">
        <v>1718</v>
      </c>
      <c r="B4" s="1025"/>
      <c r="C4" s="1025"/>
      <c r="D4" s="1025"/>
      <c r="E4" s="1025"/>
      <c r="F4" s="5"/>
      <c r="G4" s="5"/>
      <c r="H4" s="5"/>
      <c r="I4" s="5"/>
      <c r="J4" s="5"/>
      <c r="K4" s="5"/>
      <c r="L4" s="5"/>
    </row>
    <row r="5" spans="1:12">
      <c r="A5" s="1025" t="s">
        <v>985</v>
      </c>
      <c r="B5" s="1025"/>
      <c r="C5" s="1025"/>
      <c r="D5" s="1025"/>
      <c r="E5" s="1025"/>
      <c r="F5" s="5"/>
      <c r="G5" s="5"/>
      <c r="H5" s="5"/>
      <c r="I5" s="5"/>
      <c r="J5" s="5"/>
      <c r="K5" s="5"/>
      <c r="L5" s="5"/>
    </row>
    <row r="8" spans="1:12" s="612" customFormat="1">
      <c r="A8" s="662" t="s">
        <v>891</v>
      </c>
      <c r="B8" s="612" t="s">
        <v>1731</v>
      </c>
      <c r="C8" s="612" t="s">
        <v>1729</v>
      </c>
      <c r="D8" s="612" t="s">
        <v>1730</v>
      </c>
      <c r="E8" s="612" t="s">
        <v>1733</v>
      </c>
    </row>
    <row r="9" spans="1:12">
      <c r="A9" s="612">
        <v>1</v>
      </c>
      <c r="B9" s="148" t="s">
        <v>1363</v>
      </c>
      <c r="C9" s="694"/>
      <c r="D9" s="694">
        <v>14908023</v>
      </c>
    </row>
    <row r="10" spans="1:12" ht="16.5" thickBot="1">
      <c r="A10" s="612">
        <v>2</v>
      </c>
      <c r="B10" s="148" t="s">
        <v>1364</v>
      </c>
      <c r="C10" s="694"/>
      <c r="D10" s="695">
        <f>+'CRM Adjustment (b)'!AA79</f>
        <v>11884345.086249998</v>
      </c>
    </row>
    <row r="11" spans="1:12">
      <c r="A11" s="612">
        <v>3</v>
      </c>
      <c r="B11" s="148" t="s">
        <v>1365</v>
      </c>
      <c r="C11" s="694"/>
      <c r="D11" s="696">
        <f>+D9-D10</f>
        <v>3023677.9137500022</v>
      </c>
    </row>
    <row r="12" spans="1:12">
      <c r="C12" s="694"/>
      <c r="D12" s="694"/>
    </row>
    <row r="13" spans="1:12">
      <c r="C13" s="694"/>
      <c r="D13" s="694"/>
    </row>
    <row r="14" spans="1:12">
      <c r="A14" s="612">
        <v>4</v>
      </c>
      <c r="B14" s="148" t="s">
        <v>887</v>
      </c>
      <c r="C14" s="696">
        <f>+D11</f>
        <v>3023677.9137500022</v>
      </c>
      <c r="D14" s="694"/>
    </row>
    <row r="15" spans="1:12">
      <c r="C15" s="694"/>
      <c r="D15" s="694"/>
      <c r="E15" s="663" t="s">
        <v>1987</v>
      </c>
    </row>
    <row r="16" spans="1:12">
      <c r="A16" s="612">
        <v>5</v>
      </c>
      <c r="B16" s="148" t="s">
        <v>900</v>
      </c>
      <c r="C16" s="694">
        <f>+C14*0.0258</f>
        <v>78010.890174750049</v>
      </c>
      <c r="D16" s="694"/>
      <c r="E16" s="663">
        <f>+C16</f>
        <v>78010.890174750049</v>
      </c>
    </row>
    <row r="17" spans="1:6">
      <c r="A17" s="612">
        <v>6</v>
      </c>
      <c r="B17" s="148" t="s">
        <v>901</v>
      </c>
      <c r="C17" s="696">
        <f>+C16/2</f>
        <v>39005.445087375025</v>
      </c>
      <c r="D17" s="694"/>
      <c r="E17" s="663"/>
      <c r="F17" s="663"/>
    </row>
    <row r="18" spans="1:6">
      <c r="A18" s="612">
        <v>7</v>
      </c>
      <c r="B18" s="148" t="s">
        <v>902</v>
      </c>
      <c r="C18" s="694">
        <f>+C14*0.0375</f>
        <v>113387.92176562508</v>
      </c>
      <c r="D18" s="694"/>
      <c r="E18" s="663"/>
      <c r="F18" s="663"/>
    </row>
    <row r="19" spans="1:6">
      <c r="A19" s="612">
        <v>8</v>
      </c>
      <c r="B19" s="148" t="s">
        <v>106</v>
      </c>
      <c r="C19" s="694">
        <f>(+C18-C16)*0.35</f>
        <v>12381.961056806262</v>
      </c>
      <c r="D19" s="694"/>
      <c r="E19" s="663"/>
      <c r="F19" s="663"/>
    </row>
    <row r="20" spans="1:6">
      <c r="A20" s="612">
        <v>9</v>
      </c>
      <c r="B20" s="148" t="s">
        <v>903</v>
      </c>
      <c r="C20" s="696">
        <f>+C19/2</f>
        <v>6190.9805284031308</v>
      </c>
      <c r="D20" s="694"/>
      <c r="E20" s="663"/>
      <c r="F20" s="663"/>
    </row>
    <row r="21" spans="1:6">
      <c r="C21" s="694"/>
      <c r="D21" s="694"/>
      <c r="E21" s="663"/>
      <c r="F21" s="663"/>
    </row>
    <row r="22" spans="1:6">
      <c r="C22" s="694"/>
      <c r="D22" s="694"/>
      <c r="E22" s="663"/>
      <c r="F22" s="663"/>
    </row>
    <row r="23" spans="1:6">
      <c r="A23" s="612">
        <v>10</v>
      </c>
      <c r="B23" s="148" t="s">
        <v>905</v>
      </c>
      <c r="C23" s="697">
        <f>+C14-C17-C20</f>
        <v>2978481.488134224</v>
      </c>
      <c r="D23" s="694"/>
      <c r="E23" s="663"/>
    </row>
    <row r="24" spans="1:6">
      <c r="C24" s="694"/>
      <c r="D24" s="694"/>
    </row>
    <row r="25" spans="1:6">
      <c r="C25" s="694"/>
      <c r="D25" s="694"/>
      <c r="F25" s="698"/>
    </row>
    <row r="26" spans="1:6">
      <c r="C26" s="698"/>
      <c r="D26" s="698"/>
      <c r="E26" s="698"/>
      <c r="F26" s="698"/>
    </row>
    <row r="27" spans="1:6">
      <c r="C27" s="698"/>
      <c r="D27" s="698"/>
      <c r="E27" s="698"/>
    </row>
    <row r="28" spans="1:6">
      <c r="F28" s="699"/>
    </row>
    <row r="29" spans="1:6">
      <c r="C29" s="699"/>
      <c r="E29" s="699"/>
      <c r="F29" s="698"/>
    </row>
    <row r="30" spans="1:6">
      <c r="C30" s="699"/>
      <c r="E30" s="699"/>
      <c r="F30" s="698"/>
    </row>
    <row r="31" spans="1:6">
      <c r="E31" s="699"/>
    </row>
    <row r="32" spans="1:6">
      <c r="C32" s="699"/>
      <c r="E32" s="699"/>
    </row>
    <row r="33" spans="3:5">
      <c r="C33" s="699"/>
      <c r="E33" s="699"/>
    </row>
    <row r="34" spans="3:5">
      <c r="C34" s="699"/>
      <c r="E34" s="699"/>
    </row>
    <row r="35" spans="3:5">
      <c r="C35" s="699"/>
      <c r="E35" s="699"/>
    </row>
  </sheetData>
  <mergeCells count="5">
    <mergeCell ref="A1:E1"/>
    <mergeCell ref="A2:E2"/>
    <mergeCell ref="A3:E3"/>
    <mergeCell ref="A4:E4"/>
    <mergeCell ref="A5:E5"/>
  </mergeCells>
  <printOptions horizontalCentered="1"/>
  <pageMargins left="0.7" right="0.7" top="0.75" bottom="0.75" header="0.3" footer="0.3"/>
  <pageSetup scale="75" fitToHeight="0" orientation="landscape" r:id="rId1"/>
  <headerFooter scaleWithDoc="0" alignWithMargins="0">
    <oddHeader>&amp;RPage &amp;P of &amp;N</oddHeader>
    <oddFooter>&amp;LElectronic Tab Name:&amp;A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C80"/>
  <sheetViews>
    <sheetView view="pageBreakPreview" zoomScaleNormal="100" zoomScaleSheetLayoutView="100" workbookViewId="0">
      <selection activeCell="U2" sqref="U2"/>
    </sheetView>
  </sheetViews>
  <sheetFormatPr defaultRowHeight="15.75"/>
  <cols>
    <col min="1" max="1" width="12.140625" style="35" bestFit="1" customWidth="1"/>
    <col min="2" max="2" width="12.7109375" style="6" bestFit="1" customWidth="1"/>
    <col min="3" max="3" width="17.5703125" style="6" bestFit="1" customWidth="1"/>
    <col min="4" max="4" width="61.85546875" style="6" bestFit="1" customWidth="1"/>
    <col min="5" max="5" width="14" style="6" bestFit="1" customWidth="1"/>
    <col min="6" max="6" width="16.140625" style="6" bestFit="1" customWidth="1"/>
    <col min="7" max="7" width="9.42578125" style="6" bestFit="1" customWidth="1"/>
    <col min="8" max="8" width="9.28515625" style="6" bestFit="1" customWidth="1"/>
    <col min="9" max="9" width="13" style="6" bestFit="1" customWidth="1"/>
    <col min="10" max="10" width="12.28515625" style="6" customWidth="1"/>
    <col min="11" max="11" width="16.140625" style="6" bestFit="1" customWidth="1"/>
    <col min="12" max="12" width="18.28515625" style="6" bestFit="1" customWidth="1"/>
    <col min="13" max="13" width="17.7109375" style="6" bestFit="1" customWidth="1"/>
    <col min="14" max="15" width="17.28515625" style="6" bestFit="1" customWidth="1"/>
    <col min="16" max="19" width="18.28515625" style="6" bestFit="1" customWidth="1"/>
    <col min="20" max="20" width="18.7109375" style="6" bestFit="1" customWidth="1"/>
    <col min="21" max="22" width="18.28515625" style="6" bestFit="1" customWidth="1"/>
    <col min="23" max="25" width="19.140625" style="6" bestFit="1" customWidth="1"/>
    <col min="26" max="26" width="18.7109375" style="6" bestFit="1" customWidth="1"/>
    <col min="27" max="27" width="19.140625" style="6" bestFit="1" customWidth="1"/>
    <col min="28" max="28" width="6.5703125" style="6" customWidth="1"/>
    <col min="29" max="29" width="19.140625" style="6" bestFit="1" customWidth="1"/>
    <col min="30" max="16384" width="9.140625" style="6"/>
  </cols>
  <sheetData>
    <row r="1" spans="2:29">
      <c r="B1" s="1025" t="s">
        <v>61</v>
      </c>
      <c r="C1" s="1025"/>
      <c r="D1" s="1025"/>
      <c r="E1" s="1025"/>
      <c r="F1" s="1025"/>
      <c r="G1" s="1025"/>
      <c r="H1" s="1025"/>
      <c r="M1" s="5"/>
      <c r="N1" s="1025" t="s">
        <v>61</v>
      </c>
      <c r="O1" s="1025"/>
      <c r="P1" s="1025"/>
      <c r="Q1" s="1025"/>
      <c r="R1" s="5"/>
      <c r="X1" s="1025" t="s">
        <v>61</v>
      </c>
      <c r="Y1" s="1025"/>
      <c r="Z1" s="1025"/>
      <c r="AA1" s="5"/>
      <c r="AB1" s="5"/>
    </row>
    <row r="2" spans="2:29">
      <c r="B2" s="1025" t="s">
        <v>1690</v>
      </c>
      <c r="C2" s="1025"/>
      <c r="D2" s="1025"/>
      <c r="E2" s="1025"/>
      <c r="F2" s="1025"/>
      <c r="G2" s="1025"/>
      <c r="H2" s="1025"/>
      <c r="M2" s="5"/>
      <c r="N2" s="1025" t="s">
        <v>1690</v>
      </c>
      <c r="O2" s="1025"/>
      <c r="P2" s="1025"/>
      <c r="Q2" s="1025"/>
      <c r="R2" s="5"/>
      <c r="X2" s="1025" t="s">
        <v>1690</v>
      </c>
      <c r="Y2" s="1025"/>
      <c r="Z2" s="1025"/>
      <c r="AA2" s="5"/>
      <c r="AB2" s="5"/>
    </row>
    <row r="3" spans="2:29">
      <c r="B3" s="1025" t="s">
        <v>2042</v>
      </c>
      <c r="C3" s="1025"/>
      <c r="D3" s="1025"/>
      <c r="E3" s="1025"/>
      <c r="F3" s="1025"/>
      <c r="G3" s="1025"/>
      <c r="H3" s="1025"/>
      <c r="M3" s="5"/>
      <c r="N3" s="1025" t="s">
        <v>2042</v>
      </c>
      <c r="O3" s="1025"/>
      <c r="P3" s="1025"/>
      <c r="Q3" s="1025"/>
      <c r="R3" s="5"/>
      <c r="X3" s="1025" t="s">
        <v>2042</v>
      </c>
      <c r="Y3" s="1025"/>
      <c r="Z3" s="1025"/>
      <c r="AA3" s="5"/>
      <c r="AB3" s="5"/>
    </row>
    <row r="4" spans="2:29">
      <c r="B4" s="1025" t="s">
        <v>1719</v>
      </c>
      <c r="C4" s="1025"/>
      <c r="D4" s="1025"/>
      <c r="E4" s="1025"/>
      <c r="F4" s="1025"/>
      <c r="G4" s="1025"/>
      <c r="H4" s="1025"/>
      <c r="M4" s="5"/>
      <c r="N4" s="1025" t="s">
        <v>1719</v>
      </c>
      <c r="O4" s="1025"/>
      <c r="P4" s="1025"/>
      <c r="Q4" s="1025"/>
      <c r="R4" s="5"/>
      <c r="X4" s="1025" t="s">
        <v>1719</v>
      </c>
      <c r="Y4" s="1025"/>
      <c r="Z4" s="1025"/>
      <c r="AA4" s="5"/>
      <c r="AB4" s="5"/>
    </row>
    <row r="5" spans="2:29">
      <c r="B5" s="1025" t="s">
        <v>985</v>
      </c>
      <c r="C5" s="1025"/>
      <c r="D5" s="1025"/>
      <c r="E5" s="1025"/>
      <c r="F5" s="1025"/>
      <c r="G5" s="1025"/>
      <c r="H5" s="1025"/>
      <c r="M5" s="5"/>
      <c r="N5" s="1025" t="s">
        <v>985</v>
      </c>
      <c r="O5" s="1025"/>
      <c r="P5" s="1025"/>
      <c r="Q5" s="1025"/>
      <c r="R5" s="5"/>
      <c r="X5" s="1025" t="s">
        <v>985</v>
      </c>
      <c r="Y5" s="1025"/>
      <c r="Z5" s="1025"/>
      <c r="AA5" s="5"/>
      <c r="AB5" s="5"/>
    </row>
    <row r="6" spans="2:29">
      <c r="B6" s="34"/>
      <c r="C6" s="34"/>
      <c r="D6" s="34"/>
      <c r="E6" s="34"/>
      <c r="F6" s="34"/>
      <c r="G6" s="34"/>
      <c r="H6" s="34"/>
    </row>
    <row r="7" spans="2:29" s="35" customFormat="1">
      <c r="B7" s="35" t="s">
        <v>1731</v>
      </c>
      <c r="C7" s="35" t="s">
        <v>1729</v>
      </c>
      <c r="D7" s="35" t="s">
        <v>1730</v>
      </c>
      <c r="E7" s="35" t="s">
        <v>1733</v>
      </c>
      <c r="F7" s="35" t="s">
        <v>1743</v>
      </c>
      <c r="G7" s="35" t="s">
        <v>1744</v>
      </c>
      <c r="H7" s="35" t="s">
        <v>1745</v>
      </c>
      <c r="I7" s="35" t="s">
        <v>1746</v>
      </c>
      <c r="J7" s="35" t="s">
        <v>1747</v>
      </c>
      <c r="K7" s="35" t="s">
        <v>1748</v>
      </c>
      <c r="L7" s="35" t="s">
        <v>1749</v>
      </c>
      <c r="M7" s="35" t="s">
        <v>1750</v>
      </c>
      <c r="N7" s="35" t="s">
        <v>1751</v>
      </c>
      <c r="O7" s="35" t="s">
        <v>1752</v>
      </c>
      <c r="P7" s="35" t="s">
        <v>2026</v>
      </c>
      <c r="Q7" s="35" t="s">
        <v>2027</v>
      </c>
      <c r="R7" s="35" t="s">
        <v>2028</v>
      </c>
      <c r="S7" s="35" t="s">
        <v>2029</v>
      </c>
      <c r="T7" s="35" t="s">
        <v>2030</v>
      </c>
      <c r="U7" s="35" t="s">
        <v>2031</v>
      </c>
      <c r="V7" s="35" t="s">
        <v>2032</v>
      </c>
      <c r="W7" s="35" t="s">
        <v>2033</v>
      </c>
      <c r="X7" s="35" t="s">
        <v>2034</v>
      </c>
      <c r="Y7" s="35" t="s">
        <v>2035</v>
      </c>
      <c r="Z7" s="35" t="s">
        <v>2036</v>
      </c>
      <c r="AA7" s="35" t="s">
        <v>1181</v>
      </c>
      <c r="AC7" s="35" t="s">
        <v>2037</v>
      </c>
    </row>
    <row r="8" spans="2:29">
      <c r="B8" s="34"/>
      <c r="C8" s="34"/>
      <c r="D8" s="34"/>
      <c r="E8" s="34"/>
      <c r="F8" s="34"/>
      <c r="G8" s="34"/>
      <c r="H8" s="34"/>
    </row>
    <row r="9" spans="2:29">
      <c r="I9" s="442" t="s">
        <v>1181</v>
      </c>
      <c r="J9" s="442" t="s">
        <v>1181</v>
      </c>
      <c r="K9" s="442" t="s">
        <v>1181</v>
      </c>
      <c r="L9" s="442" t="s">
        <v>1181</v>
      </c>
      <c r="M9" s="442" t="s">
        <v>1181</v>
      </c>
      <c r="N9" s="442" t="s">
        <v>1181</v>
      </c>
      <c r="O9" s="442" t="s">
        <v>1181</v>
      </c>
      <c r="P9" s="442" t="s">
        <v>1181</v>
      </c>
      <c r="Q9" s="442" t="s">
        <v>1181</v>
      </c>
      <c r="R9" s="442" t="s">
        <v>1181</v>
      </c>
      <c r="S9" s="442" t="s">
        <v>1181</v>
      </c>
      <c r="T9" s="442" t="s">
        <v>1181</v>
      </c>
      <c r="U9" s="442" t="s">
        <v>1181</v>
      </c>
      <c r="V9" s="442" t="s">
        <v>1181</v>
      </c>
      <c r="W9" s="442" t="s">
        <v>1181</v>
      </c>
      <c r="X9" s="442" t="s">
        <v>59</v>
      </c>
      <c r="Y9" s="442" t="s">
        <v>1181</v>
      </c>
      <c r="Z9" s="442" t="s">
        <v>1181</v>
      </c>
      <c r="AA9" s="442" t="s">
        <v>1181</v>
      </c>
      <c r="AC9" s="444"/>
    </row>
    <row r="10" spans="2:29">
      <c r="I10" s="700">
        <v>2015</v>
      </c>
      <c r="J10" s="700">
        <v>2015</v>
      </c>
      <c r="K10" s="700">
        <v>2015</v>
      </c>
      <c r="L10" s="700">
        <v>2015</v>
      </c>
      <c r="M10" s="700">
        <v>2015</v>
      </c>
      <c r="N10" s="700">
        <v>2015</v>
      </c>
      <c r="O10" s="700">
        <v>2016</v>
      </c>
      <c r="P10" s="700">
        <v>2016</v>
      </c>
      <c r="Q10" s="700">
        <v>2016</v>
      </c>
      <c r="R10" s="700">
        <v>2016</v>
      </c>
      <c r="S10" s="700">
        <v>2016</v>
      </c>
      <c r="T10" s="700">
        <v>2016</v>
      </c>
      <c r="U10" s="700">
        <v>2016</v>
      </c>
      <c r="V10" s="700">
        <v>2016</v>
      </c>
      <c r="W10" s="700">
        <v>2016</v>
      </c>
      <c r="X10" s="700" t="s">
        <v>2012</v>
      </c>
      <c r="Y10" s="700">
        <v>2016</v>
      </c>
      <c r="Z10" s="700">
        <v>2016</v>
      </c>
      <c r="AA10" s="700">
        <v>2016</v>
      </c>
      <c r="AC10" s="701"/>
    </row>
    <row r="11" spans="2:29">
      <c r="B11" s="8"/>
      <c r="C11" s="32"/>
      <c r="E11" s="8"/>
      <c r="G11" s="702"/>
      <c r="H11" s="703"/>
      <c r="I11" s="442" t="s">
        <v>1182</v>
      </c>
      <c r="J11" s="442" t="s">
        <v>1182</v>
      </c>
      <c r="K11" s="442" t="s">
        <v>1182</v>
      </c>
      <c r="L11" s="442" t="s">
        <v>1182</v>
      </c>
      <c r="M11" s="442" t="s">
        <v>1182</v>
      </c>
      <c r="N11" s="442" t="s">
        <v>1182</v>
      </c>
      <c r="O11" s="442" t="s">
        <v>1182</v>
      </c>
      <c r="P11" s="442" t="s">
        <v>1182</v>
      </c>
      <c r="Q11" s="442" t="s">
        <v>1182</v>
      </c>
      <c r="R11" s="442" t="s">
        <v>1182</v>
      </c>
      <c r="S11" s="442" t="s">
        <v>1182</v>
      </c>
      <c r="T11" s="442" t="s">
        <v>1182</v>
      </c>
      <c r="U11" s="442" t="s">
        <v>1182</v>
      </c>
      <c r="V11" s="442" t="s">
        <v>1182</v>
      </c>
      <c r="W11" s="442" t="s">
        <v>1183</v>
      </c>
      <c r="X11" s="442" t="s">
        <v>2013</v>
      </c>
      <c r="Y11" s="442" t="s">
        <v>1183</v>
      </c>
      <c r="Z11" s="442" t="s">
        <v>1183</v>
      </c>
      <c r="AA11" s="442" t="s">
        <v>1183</v>
      </c>
      <c r="AC11" s="444"/>
    </row>
    <row r="12" spans="2:29">
      <c r="B12" s="8"/>
      <c r="C12" s="32"/>
      <c r="E12" s="8"/>
      <c r="G12" s="702"/>
      <c r="H12" s="703"/>
      <c r="I12" s="700" t="s">
        <v>1380</v>
      </c>
      <c r="J12" s="700" t="s">
        <v>1381</v>
      </c>
      <c r="K12" s="700" t="s">
        <v>2008</v>
      </c>
      <c r="L12" s="700" t="s">
        <v>2009</v>
      </c>
      <c r="M12" s="700" t="s">
        <v>2010</v>
      </c>
      <c r="N12" s="700" t="s">
        <v>2011</v>
      </c>
      <c r="O12" s="700" t="s">
        <v>1128</v>
      </c>
      <c r="P12" s="700" t="s">
        <v>1129</v>
      </c>
      <c r="Q12" s="700" t="s">
        <v>1130</v>
      </c>
      <c r="R12" s="700" t="s">
        <v>1131</v>
      </c>
      <c r="S12" s="700" t="s">
        <v>1132</v>
      </c>
      <c r="T12" s="700" t="s">
        <v>1133</v>
      </c>
      <c r="U12" s="700" t="s">
        <v>1134</v>
      </c>
      <c r="V12" s="700" t="s">
        <v>1135</v>
      </c>
      <c r="W12" s="700" t="s">
        <v>2008</v>
      </c>
      <c r="X12" s="700" t="s">
        <v>2014</v>
      </c>
      <c r="Y12" s="700" t="s">
        <v>2009</v>
      </c>
      <c r="Z12" s="700" t="s">
        <v>2010</v>
      </c>
      <c r="AA12" s="700" t="s">
        <v>2011</v>
      </c>
      <c r="AC12" s="701"/>
    </row>
    <row r="13" spans="2:29">
      <c r="B13" s="8"/>
      <c r="C13" s="32"/>
      <c r="E13" s="8"/>
      <c r="G13" s="702"/>
      <c r="H13" s="703"/>
      <c r="I13" s="442" t="s">
        <v>992</v>
      </c>
      <c r="J13" s="442" t="s">
        <v>992</v>
      </c>
      <c r="K13" s="442" t="s">
        <v>992</v>
      </c>
      <c r="L13" s="442" t="s">
        <v>992</v>
      </c>
      <c r="M13" s="442" t="s">
        <v>992</v>
      </c>
      <c r="N13" s="442" t="s">
        <v>992</v>
      </c>
      <c r="O13" s="442" t="s">
        <v>992</v>
      </c>
      <c r="P13" s="442" t="s">
        <v>992</v>
      </c>
      <c r="Q13" s="442" t="s">
        <v>992</v>
      </c>
      <c r="R13" s="442" t="s">
        <v>992</v>
      </c>
      <c r="S13" s="442" t="s">
        <v>992</v>
      </c>
      <c r="T13" s="442" t="s">
        <v>992</v>
      </c>
      <c r="U13" s="442" t="s">
        <v>992</v>
      </c>
      <c r="V13" s="442" t="s">
        <v>992</v>
      </c>
      <c r="W13" s="442" t="s">
        <v>992</v>
      </c>
      <c r="X13" s="442" t="s">
        <v>2015</v>
      </c>
      <c r="Y13" s="442" t="s">
        <v>992</v>
      </c>
      <c r="Z13" s="442" t="s">
        <v>992</v>
      </c>
      <c r="AA13" s="442" t="s">
        <v>992</v>
      </c>
      <c r="AC13" s="444"/>
    </row>
    <row r="14" spans="2:29">
      <c r="B14" s="8"/>
      <c r="C14" s="32"/>
      <c r="E14" s="8"/>
      <c r="G14" s="702"/>
      <c r="H14" s="703"/>
      <c r="I14" s="442" t="s">
        <v>1184</v>
      </c>
      <c r="J14" s="442" t="s">
        <v>1184</v>
      </c>
      <c r="K14" s="442" t="s">
        <v>1184</v>
      </c>
      <c r="L14" s="442" t="s">
        <v>1184</v>
      </c>
      <c r="M14" s="442" t="s">
        <v>1184</v>
      </c>
      <c r="N14" s="442" t="s">
        <v>1184</v>
      </c>
      <c r="O14" s="442" t="s">
        <v>1184</v>
      </c>
      <c r="P14" s="442" t="s">
        <v>1184</v>
      </c>
      <c r="Q14" s="442" t="s">
        <v>1184</v>
      </c>
      <c r="R14" s="442" t="s">
        <v>1184</v>
      </c>
      <c r="S14" s="442" t="s">
        <v>1184</v>
      </c>
      <c r="T14" s="442" t="s">
        <v>1184</v>
      </c>
      <c r="U14" s="442" t="s">
        <v>1184</v>
      </c>
      <c r="V14" s="442" t="s">
        <v>1184</v>
      </c>
      <c r="W14" s="442" t="s">
        <v>1184</v>
      </c>
      <c r="X14" s="442" t="s">
        <v>2016</v>
      </c>
      <c r="Y14" s="442" t="s">
        <v>1184</v>
      </c>
      <c r="Z14" s="442" t="s">
        <v>1184</v>
      </c>
      <c r="AA14" s="442" t="s">
        <v>1184</v>
      </c>
      <c r="AC14" s="444"/>
    </row>
    <row r="15" spans="2:29">
      <c r="B15" s="8"/>
      <c r="C15" s="32"/>
      <c r="E15" s="8"/>
      <c r="G15" s="702"/>
      <c r="H15" s="703"/>
      <c r="I15" s="442" t="s">
        <v>410</v>
      </c>
      <c r="J15" s="442" t="s">
        <v>410</v>
      </c>
      <c r="K15" s="442" t="s">
        <v>410</v>
      </c>
      <c r="L15" s="442" t="s">
        <v>410</v>
      </c>
      <c r="M15" s="442" t="s">
        <v>410</v>
      </c>
      <c r="N15" s="442" t="s">
        <v>410</v>
      </c>
      <c r="O15" s="442" t="s">
        <v>410</v>
      </c>
      <c r="P15" s="442" t="s">
        <v>410</v>
      </c>
      <c r="Q15" s="442" t="s">
        <v>410</v>
      </c>
      <c r="R15" s="442" t="s">
        <v>410</v>
      </c>
      <c r="S15" s="442" t="s">
        <v>410</v>
      </c>
      <c r="T15" s="442" t="s">
        <v>410</v>
      </c>
      <c r="U15" s="442" t="s">
        <v>410</v>
      </c>
      <c r="V15" s="442" t="s">
        <v>410</v>
      </c>
      <c r="W15" s="442" t="s">
        <v>410</v>
      </c>
      <c r="X15" s="442"/>
      <c r="Y15" s="442" t="s">
        <v>410</v>
      </c>
      <c r="Z15" s="442" t="s">
        <v>410</v>
      </c>
      <c r="AA15" s="442" t="s">
        <v>410</v>
      </c>
      <c r="AC15" s="444"/>
    </row>
    <row r="16" spans="2:29">
      <c r="B16" s="8"/>
      <c r="C16" s="32"/>
      <c r="E16" s="8"/>
      <c r="G16" s="704"/>
      <c r="H16" s="705"/>
      <c r="I16" s="450"/>
      <c r="J16" s="450"/>
      <c r="K16" s="450"/>
      <c r="L16" s="450"/>
      <c r="M16" s="450"/>
      <c r="N16" s="450"/>
      <c r="O16" s="450"/>
      <c r="P16" s="450"/>
      <c r="Q16" s="450"/>
      <c r="R16" s="450"/>
      <c r="S16" s="450"/>
      <c r="T16" s="450"/>
      <c r="U16" s="450"/>
      <c r="V16" s="450"/>
      <c r="W16" s="450"/>
      <c r="X16" s="450"/>
      <c r="Y16" s="450"/>
      <c r="Z16" s="450"/>
      <c r="AA16" s="450"/>
      <c r="AC16" s="450"/>
    </row>
    <row r="17" spans="1:29">
      <c r="A17" s="35" t="s">
        <v>891</v>
      </c>
      <c r="B17" s="32" t="s">
        <v>1185</v>
      </c>
      <c r="C17" s="32" t="s">
        <v>1186</v>
      </c>
      <c r="D17" s="32" t="s">
        <v>1187</v>
      </c>
      <c r="E17" s="32" t="s">
        <v>1188</v>
      </c>
      <c r="F17" s="8" t="s">
        <v>1189</v>
      </c>
      <c r="G17" s="702" t="s">
        <v>974</v>
      </c>
      <c r="H17" s="706" t="s">
        <v>1190</v>
      </c>
      <c r="I17" s="18"/>
      <c r="J17" s="18"/>
      <c r="K17" s="18"/>
      <c r="L17" s="18"/>
      <c r="M17" s="18"/>
      <c r="N17" s="18"/>
      <c r="O17" s="18"/>
      <c r="P17" s="18"/>
      <c r="Q17" s="18"/>
      <c r="R17" s="18"/>
      <c r="S17" s="18"/>
      <c r="T17" s="18"/>
      <c r="U17" s="18"/>
      <c r="V17" s="18"/>
      <c r="W17" s="18"/>
      <c r="X17" s="18"/>
      <c r="Y17" s="18"/>
      <c r="Z17" s="18"/>
      <c r="AA17" s="18"/>
      <c r="AB17" s="8"/>
      <c r="AC17" s="523" t="s">
        <v>886</v>
      </c>
    </row>
    <row r="18" spans="1:29">
      <c r="A18" s="35">
        <v>1</v>
      </c>
      <c r="B18" s="707"/>
      <c r="C18" s="707" t="s">
        <v>1191</v>
      </c>
      <c r="D18" s="708" t="s">
        <v>1192</v>
      </c>
      <c r="E18" s="709"/>
      <c r="F18" s="710"/>
      <c r="G18" s="707"/>
      <c r="H18" s="711"/>
      <c r="I18" s="712"/>
      <c r="J18" s="712"/>
      <c r="K18" s="712"/>
      <c r="L18" s="712"/>
      <c r="M18" s="712"/>
      <c r="N18" s="712"/>
      <c r="O18" s="712"/>
      <c r="P18" s="712"/>
      <c r="Q18" s="712"/>
      <c r="R18" s="712"/>
      <c r="S18" s="712"/>
      <c r="T18" s="712"/>
      <c r="U18" s="712"/>
      <c r="V18" s="712"/>
      <c r="W18" s="712"/>
      <c r="X18" s="712"/>
      <c r="Y18" s="712"/>
      <c r="Z18" s="712"/>
      <c r="AA18" s="712"/>
      <c r="AB18" s="19"/>
      <c r="AC18" s="713"/>
    </row>
    <row r="19" spans="1:29">
      <c r="A19" s="35">
        <v>2</v>
      </c>
      <c r="B19" s="442" t="s">
        <v>1193</v>
      </c>
      <c r="C19" s="442" t="s">
        <v>1191</v>
      </c>
      <c r="D19" s="99" t="s">
        <v>1194</v>
      </c>
      <c r="E19" s="595" t="s">
        <v>1195</v>
      </c>
      <c r="F19" s="99" t="s">
        <v>1196</v>
      </c>
      <c r="G19" s="442" t="s">
        <v>1197</v>
      </c>
      <c r="H19" s="714">
        <v>4.1300000000000003E-2</v>
      </c>
      <c r="I19" s="715"/>
      <c r="J19" s="715"/>
      <c r="K19" s="715"/>
      <c r="L19" s="715">
        <v>0</v>
      </c>
      <c r="M19" s="715">
        <v>0</v>
      </c>
      <c r="N19" s="715">
        <v>0</v>
      </c>
      <c r="O19" s="715">
        <v>0</v>
      </c>
      <c r="P19" s="715">
        <v>0</v>
      </c>
      <c r="Q19" s="715">
        <v>0</v>
      </c>
      <c r="R19" s="715">
        <v>-47.47</v>
      </c>
      <c r="S19" s="715">
        <v>0</v>
      </c>
      <c r="T19" s="715">
        <v>0</v>
      </c>
      <c r="U19" s="715">
        <v>0</v>
      </c>
      <c r="V19" s="715">
        <v>0</v>
      </c>
      <c r="W19" s="715">
        <v>0</v>
      </c>
      <c r="X19" s="715">
        <f>SUM(I19:W19)</f>
        <v>-47.47</v>
      </c>
      <c r="Y19" s="715">
        <v>0</v>
      </c>
      <c r="Z19" s="715">
        <v>0</v>
      </c>
      <c r="AA19" s="715">
        <v>0</v>
      </c>
      <c r="AB19" s="19"/>
      <c r="AC19" s="716">
        <f t="shared" ref="AC19:AC30" si="0">SUM(I19:AB19)-X19</f>
        <v>-47.47</v>
      </c>
    </row>
    <row r="20" spans="1:29">
      <c r="A20" s="35">
        <v>3</v>
      </c>
      <c r="B20" s="442" t="s">
        <v>1198</v>
      </c>
      <c r="C20" s="442" t="s">
        <v>1191</v>
      </c>
      <c r="D20" s="99" t="s">
        <v>1199</v>
      </c>
      <c r="E20" s="595" t="s">
        <v>1200</v>
      </c>
      <c r="F20" s="99" t="s">
        <v>1196</v>
      </c>
      <c r="G20" s="442" t="s">
        <v>1201</v>
      </c>
      <c r="H20" s="714">
        <v>3.3300000000000003E-2</v>
      </c>
      <c r="I20" s="715"/>
      <c r="J20" s="715"/>
      <c r="K20" s="715"/>
      <c r="L20" s="715">
        <v>0</v>
      </c>
      <c r="M20" s="715">
        <v>0</v>
      </c>
      <c r="N20" s="715">
        <v>0</v>
      </c>
      <c r="O20" s="715">
        <v>0</v>
      </c>
      <c r="P20" s="715">
        <v>0</v>
      </c>
      <c r="Q20" s="715">
        <v>0</v>
      </c>
      <c r="R20" s="715">
        <v>0</v>
      </c>
      <c r="S20" s="715">
        <v>0</v>
      </c>
      <c r="T20" s="715">
        <v>0</v>
      </c>
      <c r="U20" s="715">
        <v>0</v>
      </c>
      <c r="V20" s="715">
        <v>0</v>
      </c>
      <c r="W20" s="715">
        <v>0</v>
      </c>
      <c r="X20" s="715">
        <f t="shared" ref="X20:X71" si="1">SUM(I20:W20)</f>
        <v>0</v>
      </c>
      <c r="Y20" s="715">
        <v>0</v>
      </c>
      <c r="Z20" s="715">
        <v>0</v>
      </c>
      <c r="AA20" s="715">
        <v>0</v>
      </c>
      <c r="AB20" s="19"/>
      <c r="AC20" s="716">
        <f t="shared" si="0"/>
        <v>0</v>
      </c>
    </row>
    <row r="21" spans="1:29">
      <c r="A21" s="35">
        <v>4</v>
      </c>
      <c r="B21" s="442" t="s">
        <v>1202</v>
      </c>
      <c r="C21" s="442" t="s">
        <v>1191</v>
      </c>
      <c r="D21" s="99" t="s">
        <v>1199</v>
      </c>
      <c r="E21" s="595" t="s">
        <v>1203</v>
      </c>
      <c r="F21" s="99" t="s">
        <v>1196</v>
      </c>
      <c r="G21" s="442" t="s">
        <v>1201</v>
      </c>
      <c r="H21" s="714">
        <v>3.3300000000000003E-2</v>
      </c>
      <c r="I21" s="715"/>
      <c r="J21" s="715"/>
      <c r="K21" s="715"/>
      <c r="L21" s="715">
        <v>0</v>
      </c>
      <c r="M21" s="715">
        <v>0</v>
      </c>
      <c r="N21" s="715">
        <v>0</v>
      </c>
      <c r="O21" s="715">
        <v>0</v>
      </c>
      <c r="P21" s="715">
        <v>0</v>
      </c>
      <c r="Q21" s="715">
        <v>0</v>
      </c>
      <c r="R21" s="715">
        <v>0</v>
      </c>
      <c r="S21" s="715">
        <v>0</v>
      </c>
      <c r="T21" s="715">
        <v>0</v>
      </c>
      <c r="U21" s="715">
        <v>0</v>
      </c>
      <c r="V21" s="715">
        <v>0</v>
      </c>
      <c r="W21" s="715">
        <v>0</v>
      </c>
      <c r="X21" s="715">
        <f t="shared" si="1"/>
        <v>0</v>
      </c>
      <c r="Y21" s="715">
        <v>0</v>
      </c>
      <c r="Z21" s="715">
        <v>0</v>
      </c>
      <c r="AA21" s="715">
        <v>0</v>
      </c>
      <c r="AB21" s="19"/>
      <c r="AC21" s="716">
        <f t="shared" si="0"/>
        <v>0</v>
      </c>
    </row>
    <row r="22" spans="1:29">
      <c r="A22" s="35">
        <v>5</v>
      </c>
      <c r="B22" s="442" t="s">
        <v>1204</v>
      </c>
      <c r="C22" s="442" t="s">
        <v>1191</v>
      </c>
      <c r="D22" s="99" t="s">
        <v>1205</v>
      </c>
      <c r="E22" s="595" t="s">
        <v>1206</v>
      </c>
      <c r="F22" s="99" t="s">
        <v>1196</v>
      </c>
      <c r="G22" s="442" t="s">
        <v>1201</v>
      </c>
      <c r="H22" s="714">
        <v>3.3300000000000003E-2</v>
      </c>
      <c r="I22" s="715"/>
      <c r="J22" s="715"/>
      <c r="K22" s="715"/>
      <c r="L22" s="715">
        <v>0</v>
      </c>
      <c r="M22" s="715">
        <v>0</v>
      </c>
      <c r="N22" s="715">
        <v>0</v>
      </c>
      <c r="O22" s="715">
        <v>0</v>
      </c>
      <c r="P22" s="715">
        <v>0</v>
      </c>
      <c r="Q22" s="715">
        <v>0</v>
      </c>
      <c r="R22" s="715">
        <v>47.47</v>
      </c>
      <c r="S22" s="715">
        <v>0</v>
      </c>
      <c r="T22" s="715">
        <v>0</v>
      </c>
      <c r="U22" s="715">
        <v>0</v>
      </c>
      <c r="V22" s="715">
        <v>0</v>
      </c>
      <c r="W22" s="715">
        <v>0</v>
      </c>
      <c r="X22" s="715">
        <f t="shared" si="1"/>
        <v>47.47</v>
      </c>
      <c r="Y22" s="715">
        <v>0</v>
      </c>
      <c r="Z22" s="715">
        <v>0</v>
      </c>
      <c r="AA22" s="715">
        <v>0</v>
      </c>
      <c r="AB22" s="19"/>
      <c r="AC22" s="716">
        <f t="shared" si="0"/>
        <v>47.47</v>
      </c>
    </row>
    <row r="23" spans="1:29">
      <c r="A23" s="35">
        <v>6</v>
      </c>
      <c r="B23" s="442" t="s">
        <v>1207</v>
      </c>
      <c r="C23" s="442" t="s">
        <v>1191</v>
      </c>
      <c r="D23" s="99" t="s">
        <v>1208</v>
      </c>
      <c r="E23" s="595" t="s">
        <v>1209</v>
      </c>
      <c r="F23" s="99" t="s">
        <v>1196</v>
      </c>
      <c r="G23" s="442" t="s">
        <v>1201</v>
      </c>
      <c r="H23" s="714">
        <v>1.2500000000000001E-2</v>
      </c>
      <c r="I23" s="715"/>
      <c r="J23" s="715"/>
      <c r="K23" s="715"/>
      <c r="L23" s="715">
        <v>496358.98</v>
      </c>
      <c r="M23" s="715">
        <v>107295.45</v>
      </c>
      <c r="N23" s="715">
        <v>0</v>
      </c>
      <c r="O23" s="715">
        <v>784.15</v>
      </c>
      <c r="P23" s="715">
        <v>692.25</v>
      </c>
      <c r="Q23" s="715">
        <v>0</v>
      </c>
      <c r="R23" s="715">
        <v>3780.9</v>
      </c>
      <c r="S23" s="715">
        <v>6007.19</v>
      </c>
      <c r="T23" s="715">
        <v>0</v>
      </c>
      <c r="U23" s="715">
        <v>321.2</v>
      </c>
      <c r="V23" s="715">
        <v>0</v>
      </c>
      <c r="W23" s="715">
        <v>0</v>
      </c>
      <c r="X23" s="715">
        <f t="shared" si="1"/>
        <v>615240.11999999988</v>
      </c>
      <c r="Y23" s="715">
        <v>0</v>
      </c>
      <c r="Z23" s="715">
        <v>0</v>
      </c>
      <c r="AA23" s="715">
        <v>0</v>
      </c>
      <c r="AB23" s="19"/>
      <c r="AC23" s="716">
        <f t="shared" si="0"/>
        <v>615240.11999999988</v>
      </c>
    </row>
    <row r="24" spans="1:29">
      <c r="A24" s="35">
        <v>7</v>
      </c>
      <c r="B24" s="442" t="s">
        <v>1210</v>
      </c>
      <c r="C24" s="442" t="s">
        <v>1191</v>
      </c>
      <c r="D24" s="99" t="s">
        <v>1211</v>
      </c>
      <c r="E24" s="595" t="s">
        <v>1212</v>
      </c>
      <c r="F24" s="99" t="s">
        <v>1196</v>
      </c>
      <c r="G24" s="442" t="s">
        <v>1197</v>
      </c>
      <c r="H24" s="714">
        <v>4.1300000000000003E-2</v>
      </c>
      <c r="I24" s="715"/>
      <c r="J24" s="715"/>
      <c r="K24" s="715"/>
      <c r="L24" s="715">
        <v>19344.52</v>
      </c>
      <c r="M24" s="715">
        <v>17842.55</v>
      </c>
      <c r="N24" s="715">
        <v>919.46</v>
      </c>
      <c r="O24" s="715">
        <v>111681.13</v>
      </c>
      <c r="P24" s="715">
        <v>17571.3</v>
      </c>
      <c r="Q24" s="715">
        <v>3957.35</v>
      </c>
      <c r="R24" s="715">
        <v>3756.31</v>
      </c>
      <c r="S24" s="715">
        <v>75505.39</v>
      </c>
      <c r="T24" s="715">
        <v>0</v>
      </c>
      <c r="U24" s="715">
        <v>0</v>
      </c>
      <c r="V24" s="715">
        <v>0</v>
      </c>
      <c r="W24" s="715">
        <v>0</v>
      </c>
      <c r="X24" s="715">
        <f t="shared" si="1"/>
        <v>250578.01</v>
      </c>
      <c r="Y24" s="715">
        <v>0</v>
      </c>
      <c r="Z24" s="715">
        <v>0</v>
      </c>
      <c r="AA24" s="715">
        <v>0</v>
      </c>
      <c r="AB24" s="19"/>
      <c r="AC24" s="716">
        <f t="shared" si="0"/>
        <v>250578.01</v>
      </c>
    </row>
    <row r="25" spans="1:29">
      <c r="A25" s="35">
        <v>8</v>
      </c>
      <c r="B25" s="442" t="s">
        <v>1213</v>
      </c>
      <c r="C25" s="442" t="s">
        <v>1191</v>
      </c>
      <c r="D25" s="99" t="s">
        <v>1214</v>
      </c>
      <c r="E25" s="595" t="s">
        <v>1215</v>
      </c>
      <c r="F25" s="99" t="s">
        <v>1196</v>
      </c>
      <c r="G25" s="442" t="s">
        <v>1197</v>
      </c>
      <c r="H25" s="714">
        <v>4.1300000000000003E-2</v>
      </c>
      <c r="I25" s="715"/>
      <c r="J25" s="715"/>
      <c r="K25" s="715"/>
      <c r="L25" s="715">
        <v>137632.98000000001</v>
      </c>
      <c r="M25" s="715">
        <v>0</v>
      </c>
      <c r="N25" s="715">
        <v>2091.09</v>
      </c>
      <c r="O25" s="715">
        <v>572.14</v>
      </c>
      <c r="P25" s="715">
        <v>2191.7800000000002</v>
      </c>
      <c r="Q25" s="715">
        <v>1446.56</v>
      </c>
      <c r="R25" s="715">
        <v>856.26</v>
      </c>
      <c r="S25" s="715">
        <v>10426.48</v>
      </c>
      <c r="T25" s="715">
        <v>0</v>
      </c>
      <c r="U25" s="715">
        <v>0</v>
      </c>
      <c r="V25" s="715">
        <v>0</v>
      </c>
      <c r="W25" s="715">
        <v>0</v>
      </c>
      <c r="X25" s="715">
        <f t="shared" si="1"/>
        <v>155217.29000000004</v>
      </c>
      <c r="Y25" s="715">
        <v>0</v>
      </c>
      <c r="Z25" s="715">
        <v>0</v>
      </c>
      <c r="AA25" s="715">
        <v>0</v>
      </c>
      <c r="AB25" s="19"/>
      <c r="AC25" s="716">
        <f t="shared" si="0"/>
        <v>155217.29000000004</v>
      </c>
    </row>
    <row r="26" spans="1:29">
      <c r="A26" s="35">
        <v>9</v>
      </c>
      <c r="B26" s="442" t="s">
        <v>1216</v>
      </c>
      <c r="C26" s="442" t="s">
        <v>1191</v>
      </c>
      <c r="D26" s="99" t="s">
        <v>1217</v>
      </c>
      <c r="E26" s="595" t="s">
        <v>1218</v>
      </c>
      <c r="F26" s="99" t="s">
        <v>1196</v>
      </c>
      <c r="G26" s="442" t="s">
        <v>1197</v>
      </c>
      <c r="H26" s="714">
        <v>4.1300000000000003E-2</v>
      </c>
      <c r="I26" s="715"/>
      <c r="J26" s="715"/>
      <c r="K26" s="715"/>
      <c r="L26" s="715">
        <v>87559.86</v>
      </c>
      <c r="M26" s="715">
        <v>100089.63</v>
      </c>
      <c r="N26" s="715">
        <v>63297.49</v>
      </c>
      <c r="O26" s="715">
        <v>29531.54</v>
      </c>
      <c r="P26" s="715">
        <v>14359.95</v>
      </c>
      <c r="Q26" s="715">
        <v>735.72</v>
      </c>
      <c r="R26" s="715">
        <v>1071.99</v>
      </c>
      <c r="S26" s="715">
        <v>54404.55</v>
      </c>
      <c r="T26" s="715">
        <v>0</v>
      </c>
      <c r="U26" s="715">
        <v>0</v>
      </c>
      <c r="V26" s="715">
        <v>0</v>
      </c>
      <c r="W26" s="715">
        <v>0</v>
      </c>
      <c r="X26" s="715">
        <f t="shared" si="1"/>
        <v>351050.72999999992</v>
      </c>
      <c r="Y26" s="715">
        <v>0</v>
      </c>
      <c r="Z26" s="715">
        <v>0</v>
      </c>
      <c r="AA26" s="715">
        <v>0</v>
      </c>
      <c r="AB26" s="19"/>
      <c r="AC26" s="716">
        <f t="shared" si="0"/>
        <v>351050.72999999992</v>
      </c>
    </row>
    <row r="27" spans="1:29">
      <c r="A27" s="35">
        <v>10</v>
      </c>
      <c r="B27" s="442" t="s">
        <v>1219</v>
      </c>
      <c r="C27" s="442" t="s">
        <v>1191</v>
      </c>
      <c r="D27" s="99" t="s">
        <v>1220</v>
      </c>
      <c r="E27" s="595" t="s">
        <v>1221</v>
      </c>
      <c r="F27" s="99" t="s">
        <v>1196</v>
      </c>
      <c r="G27" s="442" t="s">
        <v>1197</v>
      </c>
      <c r="H27" s="714">
        <v>4.1300000000000003E-2</v>
      </c>
      <c r="I27" s="715"/>
      <c r="J27" s="715"/>
      <c r="K27" s="715"/>
      <c r="L27" s="715">
        <v>37813.14</v>
      </c>
      <c r="M27" s="715">
        <v>22981.22</v>
      </c>
      <c r="N27" s="715">
        <v>366999.34</v>
      </c>
      <c r="O27" s="715">
        <v>2520.9499999999998</v>
      </c>
      <c r="P27" s="715">
        <v>22261.99</v>
      </c>
      <c r="Q27" s="715">
        <v>9451.68</v>
      </c>
      <c r="R27" s="715">
        <v>10116.379999999999</v>
      </c>
      <c r="S27" s="715">
        <v>81627.14</v>
      </c>
      <c r="T27" s="715">
        <v>0</v>
      </c>
      <c r="U27" s="715">
        <v>0</v>
      </c>
      <c r="V27" s="715">
        <v>0</v>
      </c>
      <c r="W27" s="715">
        <v>0</v>
      </c>
      <c r="X27" s="715">
        <f t="shared" si="1"/>
        <v>553771.84</v>
      </c>
      <c r="Y27" s="715">
        <v>0</v>
      </c>
      <c r="Z27" s="715">
        <v>0</v>
      </c>
      <c r="AA27" s="715">
        <v>0</v>
      </c>
      <c r="AB27" s="19"/>
      <c r="AC27" s="716">
        <f t="shared" si="0"/>
        <v>553771.84</v>
      </c>
    </row>
    <row r="28" spans="1:29">
      <c r="A28" s="35">
        <v>11</v>
      </c>
      <c r="B28" s="442" t="s">
        <v>1222</v>
      </c>
      <c r="C28" s="442" t="s">
        <v>1191</v>
      </c>
      <c r="D28" s="99" t="s">
        <v>1223</v>
      </c>
      <c r="E28" s="595" t="s">
        <v>1224</v>
      </c>
      <c r="F28" s="99" t="s">
        <v>1196</v>
      </c>
      <c r="G28" s="442" t="s">
        <v>1197</v>
      </c>
      <c r="H28" s="714">
        <v>4.1300000000000003E-2</v>
      </c>
      <c r="I28" s="715"/>
      <c r="J28" s="715"/>
      <c r="K28" s="715"/>
      <c r="L28" s="715">
        <v>56461.45</v>
      </c>
      <c r="M28" s="715">
        <v>8360.2000000000007</v>
      </c>
      <c r="N28" s="715">
        <v>8252.6200000000008</v>
      </c>
      <c r="O28" s="715">
        <v>0</v>
      </c>
      <c r="P28" s="715">
        <v>0</v>
      </c>
      <c r="Q28" s="715">
        <v>0</v>
      </c>
      <c r="R28" s="715">
        <v>0</v>
      </c>
      <c r="S28" s="715">
        <v>37231.06</v>
      </c>
      <c r="T28" s="715">
        <v>0</v>
      </c>
      <c r="U28" s="715">
        <v>0</v>
      </c>
      <c r="V28" s="715">
        <v>0</v>
      </c>
      <c r="W28" s="715">
        <v>0</v>
      </c>
      <c r="X28" s="715">
        <f t="shared" si="1"/>
        <v>110305.32999999999</v>
      </c>
      <c r="Y28" s="715">
        <v>0</v>
      </c>
      <c r="Z28" s="715">
        <v>0</v>
      </c>
      <c r="AA28" s="715">
        <v>0</v>
      </c>
      <c r="AB28" s="19"/>
      <c r="AC28" s="716">
        <f t="shared" si="0"/>
        <v>110305.32999999999</v>
      </c>
    </row>
    <row r="29" spans="1:29">
      <c r="A29" s="35">
        <v>12</v>
      </c>
      <c r="B29" s="717" t="s">
        <v>1225</v>
      </c>
      <c r="C29" s="718" t="s">
        <v>1191</v>
      </c>
      <c r="D29" s="719" t="s">
        <v>1226</v>
      </c>
      <c r="E29" s="720" t="s">
        <v>1227</v>
      </c>
      <c r="F29" s="719" t="s">
        <v>1196</v>
      </c>
      <c r="G29" s="718" t="s">
        <v>1197</v>
      </c>
      <c r="H29" s="714">
        <v>4.1300000000000003E-2</v>
      </c>
      <c r="I29" s="715"/>
      <c r="J29" s="715"/>
      <c r="K29" s="715"/>
      <c r="L29" s="715">
        <v>0</v>
      </c>
      <c r="M29" s="715">
        <v>0</v>
      </c>
      <c r="N29" s="715">
        <v>0</v>
      </c>
      <c r="O29" s="715">
        <v>0</v>
      </c>
      <c r="P29" s="715">
        <v>0</v>
      </c>
      <c r="Q29" s="715">
        <v>0</v>
      </c>
      <c r="R29" s="715">
        <v>0</v>
      </c>
      <c r="S29" s="715">
        <v>143.84</v>
      </c>
      <c r="T29" s="715">
        <v>1678.71</v>
      </c>
      <c r="U29" s="715">
        <v>45350.63</v>
      </c>
      <c r="V29" s="715">
        <v>17059.03</v>
      </c>
      <c r="W29" s="715">
        <v>10396.68</v>
      </c>
      <c r="X29" s="715">
        <f t="shared" si="1"/>
        <v>74628.89</v>
      </c>
      <c r="Y29" s="715">
        <v>491494.78</v>
      </c>
      <c r="Z29" s="715">
        <v>378425.64</v>
      </c>
      <c r="AA29" s="715">
        <v>1349738.71</v>
      </c>
      <c r="AB29" s="19"/>
      <c r="AC29" s="716">
        <f t="shared" si="0"/>
        <v>2294288.02</v>
      </c>
    </row>
    <row r="30" spans="1:29">
      <c r="A30" s="35">
        <v>13</v>
      </c>
      <c r="B30" s="707" t="s">
        <v>1228</v>
      </c>
      <c r="C30" s="707" t="s">
        <v>1229</v>
      </c>
      <c r="D30" s="710" t="s">
        <v>1230</v>
      </c>
      <c r="E30" s="721" t="s">
        <v>1227</v>
      </c>
      <c r="F30" s="710" t="s">
        <v>1196</v>
      </c>
      <c r="G30" s="707" t="s">
        <v>1231</v>
      </c>
      <c r="H30" s="711">
        <v>1.2500000000000001E-2</v>
      </c>
      <c r="I30" s="712">
        <v>0</v>
      </c>
      <c r="J30" s="712">
        <v>0</v>
      </c>
      <c r="K30" s="712">
        <v>0</v>
      </c>
      <c r="L30" s="712">
        <v>0</v>
      </c>
      <c r="M30" s="712">
        <v>0</v>
      </c>
      <c r="N30" s="712">
        <v>0</v>
      </c>
      <c r="O30" s="712">
        <v>0</v>
      </c>
      <c r="P30" s="712">
        <v>0</v>
      </c>
      <c r="Q30" s="712">
        <v>0</v>
      </c>
      <c r="R30" s="712">
        <v>34057.68</v>
      </c>
      <c r="S30" s="712">
        <v>16919.71</v>
      </c>
      <c r="T30" s="712">
        <v>57710.06</v>
      </c>
      <c r="U30" s="712">
        <v>16298.62</v>
      </c>
      <c r="V30" s="712">
        <v>159971.60999999999</v>
      </c>
      <c r="W30" s="712">
        <v>2178.64</v>
      </c>
      <c r="X30" s="715">
        <f t="shared" si="1"/>
        <v>287136.32</v>
      </c>
      <c r="Y30" s="712">
        <v>140721.99</v>
      </c>
      <c r="Z30" s="712">
        <v>2111.88</v>
      </c>
      <c r="AA30" s="712">
        <v>53927.27</v>
      </c>
      <c r="AB30" s="19"/>
      <c r="AC30" s="722">
        <f t="shared" si="0"/>
        <v>483897.46</v>
      </c>
    </row>
    <row r="31" spans="1:29">
      <c r="A31" s="35">
        <v>14</v>
      </c>
      <c r="B31" s="707"/>
      <c r="C31" s="707" t="s">
        <v>1232</v>
      </c>
      <c r="D31" s="708" t="s">
        <v>1233</v>
      </c>
      <c r="E31" s="709"/>
      <c r="F31" s="710"/>
      <c r="G31" s="707"/>
      <c r="H31" s="711"/>
      <c r="I31" s="712">
        <v>0</v>
      </c>
      <c r="J31" s="712">
        <v>0</v>
      </c>
      <c r="K31" s="712">
        <v>0</v>
      </c>
      <c r="L31" s="712">
        <v>0</v>
      </c>
      <c r="M31" s="712">
        <v>0</v>
      </c>
      <c r="N31" s="712">
        <v>0</v>
      </c>
      <c r="O31" s="712">
        <v>0</v>
      </c>
      <c r="P31" s="712">
        <v>0</v>
      </c>
      <c r="Q31" s="712">
        <v>0</v>
      </c>
      <c r="R31" s="712">
        <v>0</v>
      </c>
      <c r="S31" s="712">
        <v>0</v>
      </c>
      <c r="T31" s="712">
        <v>0</v>
      </c>
      <c r="U31" s="712">
        <v>0</v>
      </c>
      <c r="V31" s="712">
        <v>0</v>
      </c>
      <c r="W31" s="712">
        <v>0</v>
      </c>
      <c r="X31" s="715">
        <f t="shared" si="1"/>
        <v>0</v>
      </c>
      <c r="Y31" s="712">
        <v>0</v>
      </c>
      <c r="Z31" s="712">
        <v>0</v>
      </c>
      <c r="AA31" s="712">
        <v>0</v>
      </c>
      <c r="AB31" s="19"/>
      <c r="AC31" s="716"/>
    </row>
    <row r="32" spans="1:29">
      <c r="A32" s="35">
        <v>15</v>
      </c>
      <c r="B32" s="442" t="s">
        <v>1234</v>
      </c>
      <c r="C32" s="442" t="s">
        <v>1232</v>
      </c>
      <c r="D32" s="99" t="s">
        <v>1235</v>
      </c>
      <c r="E32" s="595" t="s">
        <v>1227</v>
      </c>
      <c r="F32" s="99" t="s">
        <v>1236</v>
      </c>
      <c r="G32" s="442" t="s">
        <v>1237</v>
      </c>
      <c r="H32" s="714">
        <v>1.9199999999999998E-2</v>
      </c>
      <c r="I32" s="715">
        <v>0</v>
      </c>
      <c r="J32" s="715">
        <v>0</v>
      </c>
      <c r="K32" s="715">
        <v>577.02</v>
      </c>
      <c r="L32" s="715">
        <v>3.24</v>
      </c>
      <c r="M32" s="715">
        <v>2952.26</v>
      </c>
      <c r="N32" s="715">
        <v>918.6</v>
      </c>
      <c r="O32" s="715">
        <v>13201.96</v>
      </c>
      <c r="P32" s="715">
        <v>9068.6299999999992</v>
      </c>
      <c r="Q32" s="715">
        <v>137.9</v>
      </c>
      <c r="R32" s="715">
        <v>84.77</v>
      </c>
      <c r="S32" s="715">
        <v>192.36</v>
      </c>
      <c r="T32" s="715">
        <v>130.05000000000001</v>
      </c>
      <c r="U32" s="715">
        <v>123.06</v>
      </c>
      <c r="V32" s="715">
        <v>144.04</v>
      </c>
      <c r="W32" s="715">
        <v>210.51</v>
      </c>
      <c r="X32" s="715">
        <f t="shared" si="1"/>
        <v>27744.400000000001</v>
      </c>
      <c r="Y32" s="715">
        <v>151.09</v>
      </c>
      <c r="Z32" s="715">
        <v>-62.45</v>
      </c>
      <c r="AA32" s="715">
        <v>136.83000000000001</v>
      </c>
      <c r="AB32" s="99"/>
      <c r="AC32" s="716">
        <f t="shared" ref="AC32:AC39" si="2">SUM(I32:AB32)-X32</f>
        <v>27969.870000000003</v>
      </c>
    </row>
    <row r="33" spans="1:29">
      <c r="A33" s="35">
        <v>16</v>
      </c>
      <c r="B33" s="442" t="s">
        <v>1238</v>
      </c>
      <c r="C33" s="442" t="s">
        <v>1232</v>
      </c>
      <c r="D33" s="723" t="s">
        <v>1239</v>
      </c>
      <c r="E33" s="442" t="s">
        <v>1227</v>
      </c>
      <c r="F33" s="723" t="s">
        <v>1236</v>
      </c>
      <c r="G33" s="442" t="s">
        <v>1240</v>
      </c>
      <c r="H33" s="714">
        <v>1.8200000000000001E-2</v>
      </c>
      <c r="I33" s="715">
        <v>0</v>
      </c>
      <c r="J33" s="715">
        <v>0</v>
      </c>
      <c r="K33" s="715">
        <v>0</v>
      </c>
      <c r="L33" s="715">
        <v>0</v>
      </c>
      <c r="M33" s="715">
        <v>0</v>
      </c>
      <c r="N33" s="715">
        <v>1056.42</v>
      </c>
      <c r="O33" s="715">
        <v>-1235.98</v>
      </c>
      <c r="P33" s="715">
        <v>0</v>
      </c>
      <c r="Q33" s="715">
        <v>0</v>
      </c>
      <c r="R33" s="715">
        <v>0</v>
      </c>
      <c r="S33" s="715">
        <v>0</v>
      </c>
      <c r="T33" s="715">
        <v>0</v>
      </c>
      <c r="U33" s="715">
        <v>0</v>
      </c>
      <c r="V33" s="715">
        <v>0</v>
      </c>
      <c r="W33" s="715">
        <v>0</v>
      </c>
      <c r="X33" s="715">
        <f t="shared" si="1"/>
        <v>-179.55999999999995</v>
      </c>
      <c r="Y33" s="715">
        <v>0</v>
      </c>
      <c r="Z33" s="715">
        <v>0</v>
      </c>
      <c r="AA33" s="715">
        <v>0</v>
      </c>
      <c r="AB33" s="19"/>
      <c r="AC33" s="716">
        <f t="shared" si="2"/>
        <v>-179.55999999999995</v>
      </c>
    </row>
    <row r="34" spans="1:29">
      <c r="A34" s="35">
        <v>17</v>
      </c>
      <c r="B34" s="442" t="s">
        <v>1241</v>
      </c>
      <c r="C34" s="442" t="s">
        <v>1232</v>
      </c>
      <c r="D34" s="723" t="s">
        <v>1242</v>
      </c>
      <c r="E34" s="442" t="s">
        <v>1243</v>
      </c>
      <c r="F34" s="723" t="s">
        <v>1236</v>
      </c>
      <c r="G34" s="442" t="s">
        <v>1240</v>
      </c>
      <c r="H34" s="714">
        <v>1.8200000000000001E-2</v>
      </c>
      <c r="I34" s="715">
        <v>0</v>
      </c>
      <c r="J34" s="715">
        <v>0</v>
      </c>
      <c r="K34" s="715">
        <v>0</v>
      </c>
      <c r="L34" s="715">
        <v>0</v>
      </c>
      <c r="M34" s="715">
        <v>2283.4</v>
      </c>
      <c r="N34" s="715">
        <v>102941.2</v>
      </c>
      <c r="O34" s="715">
        <v>28654.240000000002</v>
      </c>
      <c r="P34" s="715">
        <v>40385.589999999997</v>
      </c>
      <c r="Q34" s="715">
        <v>140584.06</v>
      </c>
      <c r="R34" s="715">
        <v>14479.45</v>
      </c>
      <c r="S34" s="715">
        <v>14623.13</v>
      </c>
      <c r="T34" s="715">
        <v>0</v>
      </c>
      <c r="U34" s="715">
        <v>0</v>
      </c>
      <c r="V34" s="715">
        <v>0</v>
      </c>
      <c r="W34" s="715">
        <v>0</v>
      </c>
      <c r="X34" s="715">
        <f t="shared" si="1"/>
        <v>343951.07</v>
      </c>
      <c r="Y34" s="715">
        <v>0</v>
      </c>
      <c r="Z34" s="715">
        <v>0</v>
      </c>
      <c r="AA34" s="715">
        <v>0</v>
      </c>
      <c r="AB34" s="19"/>
      <c r="AC34" s="716">
        <f t="shared" si="2"/>
        <v>343951.07</v>
      </c>
    </row>
    <row r="35" spans="1:29">
      <c r="A35" s="35">
        <v>18</v>
      </c>
      <c r="B35" s="718" t="s">
        <v>1244</v>
      </c>
      <c r="C35" s="442" t="s">
        <v>1232</v>
      </c>
      <c r="D35" s="719" t="s">
        <v>1245</v>
      </c>
      <c r="E35" s="595" t="s">
        <v>1246</v>
      </c>
      <c r="F35" s="723" t="s">
        <v>1236</v>
      </c>
      <c r="G35" s="718" t="s">
        <v>1231</v>
      </c>
      <c r="H35" s="724">
        <v>1.2500000000000001E-2</v>
      </c>
      <c r="I35" s="725">
        <v>0</v>
      </c>
      <c r="J35" s="725">
        <v>0</v>
      </c>
      <c r="K35" s="725">
        <v>0</v>
      </c>
      <c r="L35" s="725">
        <v>0</v>
      </c>
      <c r="M35" s="725">
        <v>0</v>
      </c>
      <c r="N35" s="725">
        <v>19581.27</v>
      </c>
      <c r="O35" s="725">
        <v>15841.61</v>
      </c>
      <c r="P35" s="725">
        <v>7001.95</v>
      </c>
      <c r="Q35" s="725">
        <v>0</v>
      </c>
      <c r="R35" s="725">
        <v>0</v>
      </c>
      <c r="S35" s="725">
        <v>921.69</v>
      </c>
      <c r="T35" s="725">
        <v>0</v>
      </c>
      <c r="U35" s="725">
        <v>0</v>
      </c>
      <c r="V35" s="725">
        <v>0</v>
      </c>
      <c r="W35" s="725">
        <v>0</v>
      </c>
      <c r="X35" s="715">
        <f t="shared" si="1"/>
        <v>43346.520000000004</v>
      </c>
      <c r="Y35" s="725">
        <v>0</v>
      </c>
      <c r="Z35" s="725">
        <v>0</v>
      </c>
      <c r="AA35" s="725">
        <v>0</v>
      </c>
      <c r="AB35" s="19"/>
      <c r="AC35" s="716">
        <f t="shared" si="2"/>
        <v>43346.520000000004</v>
      </c>
    </row>
    <row r="36" spans="1:29">
      <c r="A36" s="35">
        <v>19</v>
      </c>
      <c r="B36" s="726" t="s">
        <v>1247</v>
      </c>
      <c r="C36" s="726" t="s">
        <v>1248</v>
      </c>
      <c r="D36" s="727" t="s">
        <v>1249</v>
      </c>
      <c r="E36" s="728" t="s">
        <v>1250</v>
      </c>
      <c r="F36" s="727" t="s">
        <v>1251</v>
      </c>
      <c r="G36" s="729" t="s">
        <v>1231</v>
      </c>
      <c r="H36" s="730">
        <v>1.2500000000000001E-2</v>
      </c>
      <c r="I36" s="731">
        <v>936.32</v>
      </c>
      <c r="J36" s="731">
        <v>269.57</v>
      </c>
      <c r="K36" s="731">
        <v>16480.060000000001</v>
      </c>
      <c r="L36" s="731">
        <v>11692.24</v>
      </c>
      <c r="M36" s="731">
        <v>753238.6</v>
      </c>
      <c r="N36" s="731">
        <v>475027.76</v>
      </c>
      <c r="O36" s="731">
        <v>2852.36</v>
      </c>
      <c r="P36" s="731">
        <v>20.93</v>
      </c>
      <c r="Q36" s="731">
        <v>0</v>
      </c>
      <c r="R36" s="731">
        <v>0</v>
      </c>
      <c r="S36" s="731">
        <v>0</v>
      </c>
      <c r="T36" s="731">
        <v>-417.25</v>
      </c>
      <c r="U36" s="731">
        <v>0</v>
      </c>
      <c r="V36" s="731">
        <v>0</v>
      </c>
      <c r="W36" s="731">
        <v>0</v>
      </c>
      <c r="X36" s="715">
        <f t="shared" si="1"/>
        <v>1260100.5900000001</v>
      </c>
      <c r="Y36" s="731">
        <v>0</v>
      </c>
      <c r="Z36" s="731">
        <v>0</v>
      </c>
      <c r="AA36" s="731">
        <v>0</v>
      </c>
      <c r="AB36" s="19"/>
      <c r="AC36" s="722">
        <f t="shared" si="2"/>
        <v>1260100.5900000001</v>
      </c>
    </row>
    <row r="37" spans="1:29">
      <c r="A37" s="35">
        <v>20</v>
      </c>
      <c r="B37" s="732" t="s">
        <v>1252</v>
      </c>
      <c r="C37" s="732" t="s">
        <v>1253</v>
      </c>
      <c r="D37" s="710" t="s">
        <v>1254</v>
      </c>
      <c r="E37" s="721" t="s">
        <v>1255</v>
      </c>
      <c r="F37" s="710" t="s">
        <v>1256</v>
      </c>
      <c r="G37" s="707" t="s">
        <v>1231</v>
      </c>
      <c r="H37" s="733">
        <v>1.2500000000000001E-2</v>
      </c>
      <c r="I37" s="712">
        <v>0</v>
      </c>
      <c r="J37" s="712">
        <v>42746</v>
      </c>
      <c r="K37" s="712">
        <v>646272.68000000005</v>
      </c>
      <c r="L37" s="712">
        <v>646741.66</v>
      </c>
      <c r="M37" s="712">
        <v>389376.8</v>
      </c>
      <c r="N37" s="712">
        <v>96345.52</v>
      </c>
      <c r="O37" s="712">
        <v>7803.93</v>
      </c>
      <c r="P37" s="712">
        <v>112.47</v>
      </c>
      <c r="Q37" s="712">
        <v>62.62</v>
      </c>
      <c r="R37" s="712">
        <v>912.03</v>
      </c>
      <c r="S37" s="712">
        <v>300.18</v>
      </c>
      <c r="T37" s="712">
        <v>0</v>
      </c>
      <c r="U37" s="712">
        <v>0</v>
      </c>
      <c r="V37" s="712">
        <v>0</v>
      </c>
      <c r="W37" s="712">
        <v>0</v>
      </c>
      <c r="X37" s="715">
        <f t="shared" si="1"/>
        <v>1830673.8900000001</v>
      </c>
      <c r="Y37" s="712">
        <v>0</v>
      </c>
      <c r="Z37" s="712">
        <v>0</v>
      </c>
      <c r="AA37" s="712">
        <v>0</v>
      </c>
      <c r="AB37" s="19"/>
      <c r="AC37" s="722">
        <f t="shared" si="2"/>
        <v>1830673.8900000001</v>
      </c>
    </row>
    <row r="38" spans="1:29">
      <c r="A38" s="35">
        <v>21</v>
      </c>
      <c r="B38" s="726" t="s">
        <v>1257</v>
      </c>
      <c r="C38" s="726" t="s">
        <v>1258</v>
      </c>
      <c r="D38" s="727" t="s">
        <v>1259</v>
      </c>
      <c r="E38" s="728" t="s">
        <v>1260</v>
      </c>
      <c r="F38" s="727" t="s">
        <v>1236</v>
      </c>
      <c r="G38" s="729" t="s">
        <v>1231</v>
      </c>
      <c r="H38" s="730">
        <v>1.2500000000000001E-2</v>
      </c>
      <c r="I38" s="712">
        <v>0</v>
      </c>
      <c r="J38" s="712">
        <v>0</v>
      </c>
      <c r="K38" s="712">
        <v>0</v>
      </c>
      <c r="L38" s="712">
        <v>0</v>
      </c>
      <c r="M38" s="712">
        <v>32262.57</v>
      </c>
      <c r="N38" s="712">
        <v>0</v>
      </c>
      <c r="O38" s="712">
        <v>0</v>
      </c>
      <c r="P38" s="712">
        <v>0</v>
      </c>
      <c r="Q38" s="712">
        <v>0</v>
      </c>
      <c r="R38" s="712">
        <v>0</v>
      </c>
      <c r="S38" s="712">
        <v>0</v>
      </c>
      <c r="T38" s="712">
        <v>0</v>
      </c>
      <c r="U38" s="712">
        <v>0</v>
      </c>
      <c r="V38" s="712">
        <v>0</v>
      </c>
      <c r="W38" s="712">
        <v>0</v>
      </c>
      <c r="X38" s="715">
        <f t="shared" si="1"/>
        <v>32262.57</v>
      </c>
      <c r="Y38" s="712">
        <v>0</v>
      </c>
      <c r="Z38" s="712">
        <v>0</v>
      </c>
      <c r="AA38" s="712">
        <v>0</v>
      </c>
      <c r="AB38" s="19"/>
      <c r="AC38" s="722">
        <f t="shared" si="2"/>
        <v>32262.57</v>
      </c>
    </row>
    <row r="39" spans="1:29">
      <c r="A39" s="35">
        <v>22</v>
      </c>
      <c r="B39" s="732" t="s">
        <v>1261</v>
      </c>
      <c r="C39" s="732" t="s">
        <v>1262</v>
      </c>
      <c r="D39" s="710" t="s">
        <v>1263</v>
      </c>
      <c r="E39" s="721" t="s">
        <v>1264</v>
      </c>
      <c r="F39" s="710" t="s">
        <v>1256</v>
      </c>
      <c r="G39" s="707"/>
      <c r="H39" s="733">
        <v>2.1999999999999999E-2</v>
      </c>
      <c r="I39" s="712">
        <v>0</v>
      </c>
      <c r="J39" s="712">
        <v>0</v>
      </c>
      <c r="K39" s="712">
        <v>0</v>
      </c>
      <c r="L39" s="712">
        <v>3917.49</v>
      </c>
      <c r="M39" s="712">
        <v>14511.94</v>
      </c>
      <c r="N39" s="712">
        <v>61616.03</v>
      </c>
      <c r="O39" s="712">
        <v>503.21</v>
      </c>
      <c r="P39" s="712">
        <v>466.24</v>
      </c>
      <c r="Q39" s="712">
        <v>11529.23</v>
      </c>
      <c r="R39" s="712">
        <v>0</v>
      </c>
      <c r="S39" s="712">
        <v>0</v>
      </c>
      <c r="T39" s="712">
        <v>0</v>
      </c>
      <c r="U39" s="712">
        <v>0</v>
      </c>
      <c r="V39" s="712">
        <v>0</v>
      </c>
      <c r="W39" s="712">
        <v>0</v>
      </c>
      <c r="X39" s="715">
        <f t="shared" si="1"/>
        <v>92544.14</v>
      </c>
      <c r="Y39" s="712">
        <v>0</v>
      </c>
      <c r="Z39" s="712">
        <v>0</v>
      </c>
      <c r="AA39" s="712">
        <v>0</v>
      </c>
      <c r="AB39" s="19"/>
      <c r="AC39" s="722">
        <f t="shared" si="2"/>
        <v>92544.14</v>
      </c>
    </row>
    <row r="40" spans="1:29">
      <c r="A40" s="35">
        <v>23</v>
      </c>
      <c r="B40" s="732"/>
      <c r="C40" s="732" t="s">
        <v>1265</v>
      </c>
      <c r="D40" s="708" t="s">
        <v>1266</v>
      </c>
      <c r="E40" s="709"/>
      <c r="F40" s="710" t="s">
        <v>1267</v>
      </c>
      <c r="G40" s="707"/>
      <c r="H40" s="733"/>
      <c r="I40" s="712">
        <v>0</v>
      </c>
      <c r="J40" s="712">
        <v>0</v>
      </c>
      <c r="K40" s="712">
        <v>0</v>
      </c>
      <c r="L40" s="712">
        <v>0</v>
      </c>
      <c r="M40" s="712">
        <v>0</v>
      </c>
      <c r="N40" s="712">
        <v>0</v>
      </c>
      <c r="O40" s="712">
        <v>0</v>
      </c>
      <c r="P40" s="712">
        <v>0</v>
      </c>
      <c r="Q40" s="712">
        <v>0</v>
      </c>
      <c r="R40" s="712">
        <v>0</v>
      </c>
      <c r="S40" s="712">
        <v>0</v>
      </c>
      <c r="T40" s="712">
        <v>0</v>
      </c>
      <c r="U40" s="712">
        <v>0</v>
      </c>
      <c r="V40" s="712">
        <v>0</v>
      </c>
      <c r="W40" s="712">
        <v>0</v>
      </c>
      <c r="X40" s="715">
        <f t="shared" si="1"/>
        <v>0</v>
      </c>
      <c r="Y40" s="712">
        <v>0</v>
      </c>
      <c r="Z40" s="712">
        <v>0</v>
      </c>
      <c r="AA40" s="712">
        <v>0</v>
      </c>
      <c r="AB40" s="19"/>
      <c r="AC40" s="713"/>
    </row>
    <row r="41" spans="1:29">
      <c r="A41" s="35">
        <v>24</v>
      </c>
      <c r="B41" s="442" t="s">
        <v>1268</v>
      </c>
      <c r="C41" s="734" t="s">
        <v>1265</v>
      </c>
      <c r="D41" s="99" t="s">
        <v>1269</v>
      </c>
      <c r="E41" s="595" t="s">
        <v>1270</v>
      </c>
      <c r="F41" s="99" t="s">
        <v>1267</v>
      </c>
      <c r="G41" s="442" t="s">
        <v>1271</v>
      </c>
      <c r="H41" s="735"/>
      <c r="I41" s="715"/>
      <c r="J41" s="715"/>
      <c r="K41" s="715"/>
      <c r="L41" s="715">
        <v>0</v>
      </c>
      <c r="M41" s="715">
        <v>0</v>
      </c>
      <c r="N41" s="715">
        <v>0</v>
      </c>
      <c r="O41" s="715">
        <v>0</v>
      </c>
      <c r="P41" s="715">
        <v>0</v>
      </c>
      <c r="Q41" s="715">
        <v>0</v>
      </c>
      <c r="R41" s="715">
        <v>0</v>
      </c>
      <c r="S41" s="715">
        <v>0</v>
      </c>
      <c r="T41" s="715">
        <v>0</v>
      </c>
      <c r="U41" s="715">
        <v>0</v>
      </c>
      <c r="V41" s="715">
        <v>0</v>
      </c>
      <c r="W41" s="715">
        <v>0</v>
      </c>
      <c r="X41" s="715">
        <f t="shared" si="1"/>
        <v>0</v>
      </c>
      <c r="Y41" s="715">
        <v>0</v>
      </c>
      <c r="Z41" s="715">
        <v>0</v>
      </c>
      <c r="AA41" s="715">
        <v>0</v>
      </c>
      <c r="AB41" s="19"/>
      <c r="AC41" s="716">
        <f t="shared" ref="AC41:AC54" si="3">SUM(I41:AB41)-X41</f>
        <v>0</v>
      </c>
    </row>
    <row r="42" spans="1:29">
      <c r="A42" s="35">
        <v>25</v>
      </c>
      <c r="B42" s="734" t="s">
        <v>1272</v>
      </c>
      <c r="C42" s="734" t="s">
        <v>1265</v>
      </c>
      <c r="D42" s="99" t="s">
        <v>1273</v>
      </c>
      <c r="E42" s="595" t="s">
        <v>1274</v>
      </c>
      <c r="F42" s="99" t="s">
        <v>1267</v>
      </c>
      <c r="G42" s="442" t="s">
        <v>1271</v>
      </c>
      <c r="H42" s="735"/>
      <c r="I42" s="715"/>
      <c r="J42" s="715"/>
      <c r="K42" s="715"/>
      <c r="L42" s="715">
        <v>0</v>
      </c>
      <c r="M42" s="715">
        <v>0</v>
      </c>
      <c r="N42" s="715">
        <v>194.57</v>
      </c>
      <c r="O42" s="715">
        <v>0</v>
      </c>
      <c r="P42" s="715">
        <v>0</v>
      </c>
      <c r="Q42" s="715">
        <v>0</v>
      </c>
      <c r="R42" s="715">
        <v>0</v>
      </c>
      <c r="S42" s="715">
        <v>0</v>
      </c>
      <c r="T42" s="715">
        <v>0</v>
      </c>
      <c r="U42" s="715">
        <v>0</v>
      </c>
      <c r="V42" s="715">
        <v>0</v>
      </c>
      <c r="W42" s="715">
        <v>0</v>
      </c>
      <c r="X42" s="715">
        <f t="shared" si="1"/>
        <v>194.57</v>
      </c>
      <c r="Y42" s="715">
        <v>0</v>
      </c>
      <c r="Z42" s="715">
        <v>0</v>
      </c>
      <c r="AA42" s="715">
        <v>0</v>
      </c>
      <c r="AB42" s="19"/>
      <c r="AC42" s="716">
        <f t="shared" si="3"/>
        <v>194.57</v>
      </c>
    </row>
    <row r="43" spans="1:29">
      <c r="A43" s="35">
        <v>26</v>
      </c>
      <c r="B43" s="734"/>
      <c r="C43" s="734"/>
      <c r="D43" s="99" t="s">
        <v>1275</v>
      </c>
      <c r="E43" s="595"/>
      <c r="F43" s="99" t="s">
        <v>1267</v>
      </c>
      <c r="G43" s="442"/>
      <c r="H43" s="735"/>
      <c r="I43" s="715"/>
      <c r="J43" s="715"/>
      <c r="K43" s="715"/>
      <c r="L43" s="715">
        <v>0</v>
      </c>
      <c r="M43" s="715">
        <v>0</v>
      </c>
      <c r="N43" s="715">
        <v>0</v>
      </c>
      <c r="O43" s="715">
        <v>0</v>
      </c>
      <c r="P43" s="715">
        <v>0</v>
      </c>
      <c r="Q43" s="715">
        <v>0</v>
      </c>
      <c r="R43" s="715">
        <v>0</v>
      </c>
      <c r="S43" s="715">
        <v>0</v>
      </c>
      <c r="T43" s="715">
        <v>0</v>
      </c>
      <c r="U43" s="715">
        <v>0</v>
      </c>
      <c r="V43" s="715">
        <v>0</v>
      </c>
      <c r="W43" s="715">
        <v>0</v>
      </c>
      <c r="X43" s="715">
        <f t="shared" si="1"/>
        <v>0</v>
      </c>
      <c r="Y43" s="715">
        <v>0</v>
      </c>
      <c r="Z43" s="715">
        <v>0</v>
      </c>
      <c r="AA43" s="715">
        <v>0</v>
      </c>
      <c r="AB43" s="19"/>
      <c r="AC43" s="716">
        <f t="shared" si="3"/>
        <v>0</v>
      </c>
    </row>
    <row r="44" spans="1:29">
      <c r="A44" s="35">
        <v>27</v>
      </c>
      <c r="B44" s="734" t="s">
        <v>1276</v>
      </c>
      <c r="C44" s="734" t="s">
        <v>1265</v>
      </c>
      <c r="D44" s="723" t="s">
        <v>1277</v>
      </c>
      <c r="E44" s="595" t="s">
        <v>1278</v>
      </c>
      <c r="F44" s="99" t="s">
        <v>1267</v>
      </c>
      <c r="G44" s="442" t="s">
        <v>1271</v>
      </c>
      <c r="H44" s="735"/>
      <c r="I44" s="715"/>
      <c r="J44" s="715"/>
      <c r="K44" s="715"/>
      <c r="L44" s="715">
        <v>371622.84</v>
      </c>
      <c r="M44" s="715">
        <v>246610.39</v>
      </c>
      <c r="N44" s="715">
        <v>351686</v>
      </c>
      <c r="O44" s="715">
        <v>29234.19</v>
      </c>
      <c r="P44" s="715">
        <v>-55401.67</v>
      </c>
      <c r="Q44" s="715">
        <v>541161.93999999994</v>
      </c>
      <c r="R44" s="715">
        <v>2472.11</v>
      </c>
      <c r="S44" s="715">
        <v>288929.71999999997</v>
      </c>
      <c r="T44" s="715">
        <v>24466.59</v>
      </c>
      <c r="U44" s="715">
        <v>343</v>
      </c>
      <c r="V44" s="715">
        <v>0</v>
      </c>
      <c r="W44" s="715">
        <v>0</v>
      </c>
      <c r="X44" s="715">
        <f t="shared" si="1"/>
        <v>1801125.11</v>
      </c>
      <c r="Y44" s="715">
        <v>0</v>
      </c>
      <c r="Z44" s="715">
        <v>0</v>
      </c>
      <c r="AA44" s="715">
        <v>0</v>
      </c>
      <c r="AB44" s="19"/>
      <c r="AC44" s="716">
        <f t="shared" si="3"/>
        <v>1801125.11</v>
      </c>
    </row>
    <row r="45" spans="1:29">
      <c r="A45" s="35">
        <v>28</v>
      </c>
      <c r="B45" s="734" t="s">
        <v>1279</v>
      </c>
      <c r="C45" s="734" t="s">
        <v>1265</v>
      </c>
      <c r="D45" s="723" t="s">
        <v>1280</v>
      </c>
      <c r="E45" s="595" t="s">
        <v>1281</v>
      </c>
      <c r="F45" s="99" t="s">
        <v>1267</v>
      </c>
      <c r="G45" s="442" t="s">
        <v>1271</v>
      </c>
      <c r="H45" s="735"/>
      <c r="I45" s="715"/>
      <c r="J45" s="715"/>
      <c r="K45" s="715"/>
      <c r="L45" s="715">
        <v>0</v>
      </c>
      <c r="M45" s="715">
        <v>0</v>
      </c>
      <c r="N45" s="715">
        <v>0</v>
      </c>
      <c r="O45" s="715">
        <v>0</v>
      </c>
      <c r="P45" s="715">
        <v>0</v>
      </c>
      <c r="Q45" s="715">
        <v>0</v>
      </c>
      <c r="R45" s="715">
        <v>0</v>
      </c>
      <c r="S45" s="715">
        <v>17270.02</v>
      </c>
      <c r="T45" s="715">
        <v>461824.13</v>
      </c>
      <c r="U45" s="715">
        <v>58403.35</v>
      </c>
      <c r="V45" s="715">
        <v>244032.88</v>
      </c>
      <c r="W45" s="715">
        <v>179.58</v>
      </c>
      <c r="X45" s="715">
        <f t="shared" si="1"/>
        <v>781709.96</v>
      </c>
      <c r="Y45" s="715">
        <v>4494.07</v>
      </c>
      <c r="Z45" s="715">
        <v>4656.17</v>
      </c>
      <c r="AA45" s="715">
        <v>0</v>
      </c>
      <c r="AB45" s="19"/>
      <c r="AC45" s="716">
        <f t="shared" si="3"/>
        <v>790860.2</v>
      </c>
    </row>
    <row r="46" spans="1:29">
      <c r="A46" s="35">
        <v>29</v>
      </c>
      <c r="B46" s="734" t="s">
        <v>1282</v>
      </c>
      <c r="C46" s="734" t="s">
        <v>1265</v>
      </c>
      <c r="D46" s="723" t="s">
        <v>1283</v>
      </c>
      <c r="E46" s="595" t="s">
        <v>1284</v>
      </c>
      <c r="F46" s="99" t="s">
        <v>1267</v>
      </c>
      <c r="G46" s="442" t="s">
        <v>1271</v>
      </c>
      <c r="H46" s="735"/>
      <c r="I46" s="715"/>
      <c r="J46" s="715"/>
      <c r="K46" s="715"/>
      <c r="L46" s="715">
        <v>88470.05</v>
      </c>
      <c r="M46" s="715">
        <v>40560.379999999997</v>
      </c>
      <c r="N46" s="715">
        <v>499.53</v>
      </c>
      <c r="O46" s="715">
        <v>63.06</v>
      </c>
      <c r="P46" s="715">
        <v>2087.1799999999998</v>
      </c>
      <c r="Q46" s="715">
        <v>31042.17</v>
      </c>
      <c r="R46" s="715">
        <v>2330.23</v>
      </c>
      <c r="S46" s="715">
        <v>-59787.75</v>
      </c>
      <c r="T46" s="715">
        <v>0</v>
      </c>
      <c r="U46" s="715">
        <v>544.46</v>
      </c>
      <c r="V46" s="715">
        <v>0</v>
      </c>
      <c r="W46" s="715">
        <v>0</v>
      </c>
      <c r="X46" s="715">
        <f t="shared" si="1"/>
        <v>105809.31000000001</v>
      </c>
      <c r="Y46" s="715">
        <v>0</v>
      </c>
      <c r="Z46" s="715">
        <v>0</v>
      </c>
      <c r="AA46" s="715">
        <v>0</v>
      </c>
      <c r="AB46" s="19"/>
      <c r="AC46" s="716">
        <f t="shared" si="3"/>
        <v>105809.31000000001</v>
      </c>
    </row>
    <row r="47" spans="1:29">
      <c r="A47" s="35">
        <v>30</v>
      </c>
      <c r="B47" s="734" t="s">
        <v>1285</v>
      </c>
      <c r="C47" s="734" t="s">
        <v>1265</v>
      </c>
      <c r="D47" s="723" t="s">
        <v>1286</v>
      </c>
      <c r="E47" s="595" t="s">
        <v>1287</v>
      </c>
      <c r="F47" s="99" t="s">
        <v>1267</v>
      </c>
      <c r="G47" s="442" t="s">
        <v>1271</v>
      </c>
      <c r="H47" s="735"/>
      <c r="I47" s="715"/>
      <c r="J47" s="715"/>
      <c r="K47" s="715"/>
      <c r="L47" s="715">
        <v>1023.95</v>
      </c>
      <c r="M47" s="715">
        <v>8647.7000000000007</v>
      </c>
      <c r="N47" s="715">
        <v>939.63</v>
      </c>
      <c r="O47" s="715">
        <v>5016.34</v>
      </c>
      <c r="P47" s="715">
        <v>171.58</v>
      </c>
      <c r="Q47" s="715">
        <v>7496.11</v>
      </c>
      <c r="R47" s="715">
        <v>112.23</v>
      </c>
      <c r="S47" s="715">
        <v>0</v>
      </c>
      <c r="T47" s="715">
        <v>0</v>
      </c>
      <c r="U47" s="715">
        <v>0</v>
      </c>
      <c r="V47" s="715">
        <v>0</v>
      </c>
      <c r="W47" s="715">
        <v>0</v>
      </c>
      <c r="X47" s="715">
        <f t="shared" si="1"/>
        <v>23407.54</v>
      </c>
      <c r="Y47" s="715">
        <v>0</v>
      </c>
      <c r="Z47" s="715">
        <v>0</v>
      </c>
      <c r="AA47" s="715">
        <v>0</v>
      </c>
      <c r="AB47" s="19"/>
      <c r="AC47" s="716">
        <f t="shared" si="3"/>
        <v>23407.54</v>
      </c>
    </row>
    <row r="48" spans="1:29">
      <c r="A48" s="35">
        <v>31</v>
      </c>
      <c r="B48" s="734" t="s">
        <v>1288</v>
      </c>
      <c r="C48" s="734" t="s">
        <v>1265</v>
      </c>
      <c r="D48" s="723" t="s">
        <v>1277</v>
      </c>
      <c r="E48" s="595" t="s">
        <v>1289</v>
      </c>
      <c r="F48" s="99" t="s">
        <v>1267</v>
      </c>
      <c r="G48" s="442" t="s">
        <v>1271</v>
      </c>
      <c r="H48" s="735"/>
      <c r="I48" s="715"/>
      <c r="J48" s="715"/>
      <c r="K48" s="715"/>
      <c r="L48" s="715">
        <v>0</v>
      </c>
      <c r="M48" s="715">
        <v>0</v>
      </c>
      <c r="N48" s="715">
        <v>0</v>
      </c>
      <c r="O48" s="715">
        <v>0</v>
      </c>
      <c r="P48" s="715">
        <v>0</v>
      </c>
      <c r="Q48" s="715">
        <v>2962.67</v>
      </c>
      <c r="R48" s="715">
        <v>9.35</v>
      </c>
      <c r="S48" s="715">
        <v>2525.69</v>
      </c>
      <c r="T48" s="715">
        <v>8728.11</v>
      </c>
      <c r="U48" s="715">
        <v>75935.210000000006</v>
      </c>
      <c r="V48" s="715">
        <v>15718.82</v>
      </c>
      <c r="W48" s="715">
        <v>529749.19999999995</v>
      </c>
      <c r="X48" s="715">
        <f t="shared" si="1"/>
        <v>635629.04999999993</v>
      </c>
      <c r="Y48" s="715">
        <v>381778.59</v>
      </c>
      <c r="Z48" s="715">
        <v>110441.86</v>
      </c>
      <c r="AA48" s="715">
        <v>7167.46</v>
      </c>
      <c r="AB48" s="19"/>
      <c r="AC48" s="716">
        <f t="shared" si="3"/>
        <v>1135016.96</v>
      </c>
    </row>
    <row r="49" spans="1:29">
      <c r="A49" s="35">
        <v>32</v>
      </c>
      <c r="B49" s="734" t="s">
        <v>1290</v>
      </c>
      <c r="C49" s="734" t="s">
        <v>1265</v>
      </c>
      <c r="D49" s="723" t="s">
        <v>1280</v>
      </c>
      <c r="E49" s="595" t="s">
        <v>1291</v>
      </c>
      <c r="F49" s="99" t="s">
        <v>1267</v>
      </c>
      <c r="G49" s="442" t="s">
        <v>1271</v>
      </c>
      <c r="H49" s="735"/>
      <c r="I49" s="715"/>
      <c r="J49" s="715"/>
      <c r="K49" s="715"/>
      <c r="L49" s="715">
        <v>0</v>
      </c>
      <c r="M49" s="715">
        <v>0</v>
      </c>
      <c r="N49" s="715">
        <v>0</v>
      </c>
      <c r="O49" s="715">
        <v>0</v>
      </c>
      <c r="P49" s="715">
        <v>0</v>
      </c>
      <c r="Q49" s="715">
        <v>0</v>
      </c>
      <c r="R49" s="715">
        <v>0</v>
      </c>
      <c r="S49" s="715">
        <v>0</v>
      </c>
      <c r="T49" s="715">
        <v>0</v>
      </c>
      <c r="U49" s="715">
        <v>35.909999999999997</v>
      </c>
      <c r="V49" s="715">
        <v>0.19</v>
      </c>
      <c r="W49" s="715">
        <v>0.28000000000000003</v>
      </c>
      <c r="X49" s="715">
        <f t="shared" si="1"/>
        <v>36.379999999999995</v>
      </c>
      <c r="Y49" s="715">
        <v>256635.69</v>
      </c>
      <c r="Z49" s="715">
        <v>131442.23000000001</v>
      </c>
      <c r="AA49" s="715">
        <v>23357.8</v>
      </c>
      <c r="AB49" s="19"/>
      <c r="AC49" s="716">
        <f t="shared" si="3"/>
        <v>411472.10000000003</v>
      </c>
    </row>
    <row r="50" spans="1:29">
      <c r="A50" s="35">
        <v>33</v>
      </c>
      <c r="B50" s="734" t="s">
        <v>1292</v>
      </c>
      <c r="C50" s="734" t="s">
        <v>1265</v>
      </c>
      <c r="D50" s="723" t="s">
        <v>1283</v>
      </c>
      <c r="E50" s="595" t="s">
        <v>1293</v>
      </c>
      <c r="F50" s="99" t="s">
        <v>1267</v>
      </c>
      <c r="G50" s="442" t="s">
        <v>1271</v>
      </c>
      <c r="H50" s="735"/>
      <c r="I50" s="715"/>
      <c r="J50" s="715"/>
      <c r="K50" s="715"/>
      <c r="L50" s="715">
        <v>0</v>
      </c>
      <c r="M50" s="715">
        <v>0</v>
      </c>
      <c r="N50" s="715">
        <v>0</v>
      </c>
      <c r="O50" s="715">
        <v>0</v>
      </c>
      <c r="P50" s="715">
        <v>0</v>
      </c>
      <c r="Q50" s="715">
        <v>0</v>
      </c>
      <c r="R50" s="715">
        <v>0</v>
      </c>
      <c r="S50" s="715">
        <v>0</v>
      </c>
      <c r="T50" s="715">
        <v>0</v>
      </c>
      <c r="U50" s="715">
        <v>915.2</v>
      </c>
      <c r="V50" s="715">
        <v>4.8</v>
      </c>
      <c r="W50" s="715">
        <v>75831.44</v>
      </c>
      <c r="X50" s="715">
        <f t="shared" si="1"/>
        <v>76751.44</v>
      </c>
      <c r="Y50" s="715">
        <v>528141.15</v>
      </c>
      <c r="Z50" s="715">
        <v>38419.31</v>
      </c>
      <c r="AA50" s="715">
        <v>8714.77</v>
      </c>
      <c r="AB50" s="19"/>
      <c r="AC50" s="716">
        <f t="shared" si="3"/>
        <v>652026.67000000016</v>
      </c>
    </row>
    <row r="51" spans="1:29">
      <c r="A51" s="35">
        <v>34</v>
      </c>
      <c r="B51" s="734" t="s">
        <v>1294</v>
      </c>
      <c r="C51" s="734" t="s">
        <v>1265</v>
      </c>
      <c r="D51" s="723" t="s">
        <v>1286</v>
      </c>
      <c r="E51" s="595" t="s">
        <v>1293</v>
      </c>
      <c r="F51" s="99" t="s">
        <v>1267</v>
      </c>
      <c r="G51" s="442" t="s">
        <v>1271</v>
      </c>
      <c r="H51" s="735"/>
      <c r="I51" s="715"/>
      <c r="J51" s="715"/>
      <c r="K51" s="715"/>
      <c r="L51" s="715">
        <v>0</v>
      </c>
      <c r="M51" s="715">
        <v>0</v>
      </c>
      <c r="N51" s="715">
        <v>0</v>
      </c>
      <c r="O51" s="715">
        <v>0</v>
      </c>
      <c r="P51" s="715">
        <v>0</v>
      </c>
      <c r="Q51" s="715">
        <v>0</v>
      </c>
      <c r="R51" s="715">
        <v>0</v>
      </c>
      <c r="S51" s="715">
        <v>0</v>
      </c>
      <c r="T51" s="715">
        <v>0</v>
      </c>
      <c r="U51" s="715">
        <v>509.38</v>
      </c>
      <c r="V51" s="715">
        <v>969.02</v>
      </c>
      <c r="W51" s="715">
        <v>122182.59</v>
      </c>
      <c r="X51" s="715">
        <f t="shared" si="1"/>
        <v>123660.98999999999</v>
      </c>
      <c r="Y51" s="715">
        <v>170420.55</v>
      </c>
      <c r="Z51" s="715">
        <v>64640.17</v>
      </c>
      <c r="AA51" s="715">
        <v>3653.56</v>
      </c>
      <c r="AB51" s="19"/>
      <c r="AC51" s="716">
        <f t="shared" si="3"/>
        <v>362375.26999999996</v>
      </c>
    </row>
    <row r="52" spans="1:29">
      <c r="A52" s="35">
        <v>35</v>
      </c>
      <c r="B52" s="732" t="s">
        <v>1295</v>
      </c>
      <c r="C52" s="732" t="s">
        <v>1296</v>
      </c>
      <c r="D52" s="710" t="s">
        <v>1297</v>
      </c>
      <c r="E52" s="721" t="s">
        <v>1298</v>
      </c>
      <c r="F52" s="710" t="s">
        <v>1267</v>
      </c>
      <c r="G52" s="707" t="s">
        <v>1240</v>
      </c>
      <c r="H52" s="733">
        <v>1.8200000000000001E-2</v>
      </c>
      <c r="I52" s="712">
        <v>0</v>
      </c>
      <c r="J52" s="712">
        <v>0</v>
      </c>
      <c r="K52" s="712">
        <v>0</v>
      </c>
      <c r="L52" s="712">
        <v>32.72</v>
      </c>
      <c r="M52" s="712">
        <v>0.18</v>
      </c>
      <c r="N52" s="712">
        <v>325875.51</v>
      </c>
      <c r="O52" s="712">
        <v>-172058.38</v>
      </c>
      <c r="P52" s="712">
        <v>19451.61</v>
      </c>
      <c r="Q52" s="712">
        <v>0</v>
      </c>
      <c r="R52" s="712">
        <v>0</v>
      </c>
      <c r="S52" s="712">
        <v>0</v>
      </c>
      <c r="T52" s="712">
        <v>0</v>
      </c>
      <c r="U52" s="712">
        <v>0</v>
      </c>
      <c r="V52" s="712">
        <v>0</v>
      </c>
      <c r="W52" s="712">
        <v>0</v>
      </c>
      <c r="X52" s="715">
        <f t="shared" si="1"/>
        <v>173301.64</v>
      </c>
      <c r="Y52" s="712">
        <v>0</v>
      </c>
      <c r="Z52" s="712">
        <v>0</v>
      </c>
      <c r="AA52" s="712">
        <v>0</v>
      </c>
      <c r="AB52" s="19"/>
      <c r="AC52" s="722">
        <f t="shared" si="3"/>
        <v>173301.64</v>
      </c>
    </row>
    <row r="53" spans="1:29">
      <c r="A53" s="35">
        <v>36</v>
      </c>
      <c r="B53" s="732" t="s">
        <v>1299</v>
      </c>
      <c r="C53" s="732" t="s">
        <v>1300</v>
      </c>
      <c r="D53" s="710" t="s">
        <v>1301</v>
      </c>
      <c r="E53" s="721" t="s">
        <v>1227</v>
      </c>
      <c r="F53" s="710" t="s">
        <v>1267</v>
      </c>
      <c r="G53" s="707" t="s">
        <v>1240</v>
      </c>
      <c r="H53" s="733">
        <v>1.8200000000000001E-2</v>
      </c>
      <c r="I53" s="712">
        <v>539.79</v>
      </c>
      <c r="J53" s="712">
        <v>199.99</v>
      </c>
      <c r="K53" s="712">
        <v>193.6</v>
      </c>
      <c r="L53" s="712">
        <v>223.26</v>
      </c>
      <c r="M53" s="712">
        <v>189.63</v>
      </c>
      <c r="N53" s="712">
        <v>869.97</v>
      </c>
      <c r="O53" s="712">
        <v>185.13</v>
      </c>
      <c r="P53" s="712">
        <v>6302.55</v>
      </c>
      <c r="Q53" s="712">
        <v>11256.46</v>
      </c>
      <c r="R53" s="712">
        <v>4007.87</v>
      </c>
      <c r="S53" s="712">
        <v>406.81</v>
      </c>
      <c r="T53" s="712">
        <v>275.04000000000002</v>
      </c>
      <c r="U53" s="712">
        <v>1235.31</v>
      </c>
      <c r="V53" s="712">
        <v>1200.93</v>
      </c>
      <c r="W53" s="712">
        <v>459.48</v>
      </c>
      <c r="X53" s="715">
        <f t="shared" si="1"/>
        <v>27545.82</v>
      </c>
      <c r="Y53" s="712">
        <v>14974.03</v>
      </c>
      <c r="Z53" s="712">
        <v>818.31</v>
      </c>
      <c r="AA53" s="712">
        <v>3641.05</v>
      </c>
      <c r="AB53" s="19"/>
      <c r="AC53" s="722">
        <f t="shared" si="3"/>
        <v>46979.21</v>
      </c>
    </row>
    <row r="54" spans="1:29">
      <c r="A54" s="35">
        <v>37</v>
      </c>
      <c r="B54" s="732" t="s">
        <v>1302</v>
      </c>
      <c r="C54" s="732" t="s">
        <v>1303</v>
      </c>
      <c r="D54" s="710" t="s">
        <v>1304</v>
      </c>
      <c r="E54" s="721" t="s">
        <v>1305</v>
      </c>
      <c r="F54" s="710" t="s">
        <v>1306</v>
      </c>
      <c r="G54" s="707" t="s">
        <v>1231</v>
      </c>
      <c r="H54" s="733">
        <v>1.2500000000000001E-2</v>
      </c>
      <c r="I54" s="712">
        <v>0</v>
      </c>
      <c r="J54" s="712"/>
      <c r="K54" s="712"/>
      <c r="L54" s="712">
        <v>3398.4</v>
      </c>
      <c r="M54" s="712">
        <v>1108.17</v>
      </c>
      <c r="N54" s="712">
        <v>-242.74</v>
      </c>
      <c r="O54" s="712">
        <v>0</v>
      </c>
      <c r="P54" s="712">
        <v>0</v>
      </c>
      <c r="Q54" s="712">
        <v>0</v>
      </c>
      <c r="R54" s="712">
        <v>0</v>
      </c>
      <c r="S54" s="712">
        <v>0</v>
      </c>
      <c r="T54" s="712">
        <v>0</v>
      </c>
      <c r="U54" s="712">
        <v>0</v>
      </c>
      <c r="V54" s="712">
        <v>0</v>
      </c>
      <c r="W54" s="712">
        <v>0</v>
      </c>
      <c r="X54" s="715">
        <f t="shared" si="1"/>
        <v>4263.83</v>
      </c>
      <c r="Y54" s="712">
        <v>0</v>
      </c>
      <c r="Z54" s="712">
        <v>0</v>
      </c>
      <c r="AA54" s="712">
        <v>0</v>
      </c>
      <c r="AB54" s="19"/>
      <c r="AC54" s="722">
        <f t="shared" si="3"/>
        <v>4263.83</v>
      </c>
    </row>
    <row r="55" spans="1:29">
      <c r="A55" s="35">
        <v>38</v>
      </c>
      <c r="B55" s="732"/>
      <c r="C55" s="732" t="s">
        <v>1307</v>
      </c>
      <c r="D55" s="708" t="s">
        <v>1308</v>
      </c>
      <c r="E55" s="709"/>
      <c r="F55" s="710"/>
      <c r="G55" s="707"/>
      <c r="H55" s="733"/>
      <c r="I55" s="712">
        <v>0</v>
      </c>
      <c r="J55" s="712">
        <v>0</v>
      </c>
      <c r="K55" s="712">
        <v>0</v>
      </c>
      <c r="L55" s="712">
        <v>0</v>
      </c>
      <c r="M55" s="712">
        <v>0</v>
      </c>
      <c r="N55" s="712">
        <v>0</v>
      </c>
      <c r="O55" s="712">
        <v>0</v>
      </c>
      <c r="P55" s="712">
        <v>0</v>
      </c>
      <c r="Q55" s="712">
        <v>0</v>
      </c>
      <c r="R55" s="712">
        <v>0</v>
      </c>
      <c r="S55" s="712">
        <v>0</v>
      </c>
      <c r="T55" s="712">
        <v>0</v>
      </c>
      <c r="U55" s="712">
        <v>0</v>
      </c>
      <c r="V55" s="712">
        <v>0</v>
      </c>
      <c r="W55" s="712">
        <v>0</v>
      </c>
      <c r="X55" s="715">
        <f t="shared" si="1"/>
        <v>0</v>
      </c>
      <c r="Y55" s="712">
        <v>0</v>
      </c>
      <c r="Z55" s="712">
        <v>0</v>
      </c>
      <c r="AA55" s="712">
        <v>0</v>
      </c>
      <c r="AB55" s="19"/>
      <c r="AC55" s="713"/>
    </row>
    <row r="56" spans="1:29">
      <c r="A56" s="35">
        <v>39</v>
      </c>
      <c r="B56" s="734" t="s">
        <v>1309</v>
      </c>
      <c r="C56" s="734" t="s">
        <v>1307</v>
      </c>
      <c r="D56" s="99" t="s">
        <v>1308</v>
      </c>
      <c r="E56" s="595" t="s">
        <v>1310</v>
      </c>
      <c r="F56" s="99" t="s">
        <v>1311</v>
      </c>
      <c r="G56" s="442" t="s">
        <v>1231</v>
      </c>
      <c r="H56" s="735">
        <v>1.2500000000000001E-2</v>
      </c>
      <c r="I56" s="715">
        <v>66.92</v>
      </c>
      <c r="J56" s="715">
        <v>71.430000000000007</v>
      </c>
      <c r="K56" s="715">
        <v>69.11</v>
      </c>
      <c r="L56" s="715">
        <v>68.03</v>
      </c>
      <c r="M56" s="715">
        <v>67.66</v>
      </c>
      <c r="N56" s="715">
        <v>74.25</v>
      </c>
      <c r="O56" s="715">
        <v>64.81</v>
      </c>
      <c r="P56" s="715">
        <v>39341.33</v>
      </c>
      <c r="Q56" s="715">
        <v>129811.98</v>
      </c>
      <c r="R56" s="715">
        <v>17072.509999999998</v>
      </c>
      <c r="S56" s="715">
        <v>41156.53</v>
      </c>
      <c r="T56" s="715">
        <v>1685393.66</v>
      </c>
      <c r="U56" s="715">
        <v>127739.12</v>
      </c>
      <c r="V56" s="715">
        <v>7210.71</v>
      </c>
      <c r="W56" s="715">
        <v>162.74</v>
      </c>
      <c r="X56" s="715">
        <f t="shared" si="1"/>
        <v>2048370.7899999998</v>
      </c>
      <c r="Y56" s="715">
        <v>0</v>
      </c>
      <c r="Z56" s="715">
        <v>0</v>
      </c>
      <c r="AA56" s="715">
        <v>0</v>
      </c>
      <c r="AB56" s="19"/>
      <c r="AC56" s="716">
        <f>SUM(I56:AB56)-X56</f>
        <v>2048370.7899999998</v>
      </c>
    </row>
    <row r="57" spans="1:29">
      <c r="A57" s="35">
        <v>40</v>
      </c>
      <c r="B57" s="734" t="s">
        <v>1312</v>
      </c>
      <c r="C57" s="736" t="s">
        <v>1307</v>
      </c>
      <c r="D57" s="719" t="s">
        <v>1308</v>
      </c>
      <c r="E57" s="595" t="s">
        <v>1227</v>
      </c>
      <c r="F57" s="719" t="s">
        <v>1311</v>
      </c>
      <c r="G57" s="718" t="s">
        <v>1231</v>
      </c>
      <c r="H57" s="737">
        <v>1.2500000000000001E-2</v>
      </c>
      <c r="I57" s="715">
        <v>0</v>
      </c>
      <c r="J57" s="715">
        <v>0</v>
      </c>
      <c r="K57" s="715">
        <v>5863.38</v>
      </c>
      <c r="L57" s="715">
        <v>0</v>
      </c>
      <c r="M57" s="715">
        <v>0</v>
      </c>
      <c r="N57" s="715">
        <v>0</v>
      </c>
      <c r="O57" s="715">
        <v>0</v>
      </c>
      <c r="P57" s="715">
        <v>0</v>
      </c>
      <c r="Q57" s="715">
        <v>0</v>
      </c>
      <c r="R57" s="715">
        <v>0</v>
      </c>
      <c r="S57" s="715">
        <v>0</v>
      </c>
      <c r="T57" s="715">
        <v>0</v>
      </c>
      <c r="U57" s="715">
        <v>0</v>
      </c>
      <c r="V57" s="715">
        <v>0</v>
      </c>
      <c r="W57" s="715">
        <v>0</v>
      </c>
      <c r="X57" s="715">
        <f t="shared" si="1"/>
        <v>5863.38</v>
      </c>
      <c r="Y57" s="715">
        <v>0</v>
      </c>
      <c r="Z57" s="715">
        <v>0</v>
      </c>
      <c r="AA57" s="715">
        <v>0</v>
      </c>
      <c r="AB57" s="19"/>
      <c r="AC57" s="716">
        <f>SUM(I57:AB57)-X57</f>
        <v>5863.38</v>
      </c>
    </row>
    <row r="58" spans="1:29">
      <c r="A58" s="35">
        <v>41</v>
      </c>
      <c r="B58" s="732"/>
      <c r="C58" s="732" t="s">
        <v>1313</v>
      </c>
      <c r="D58" s="708" t="s">
        <v>1314</v>
      </c>
      <c r="E58" s="709"/>
      <c r="F58" s="710"/>
      <c r="G58" s="707"/>
      <c r="H58" s="733"/>
      <c r="I58" s="712">
        <v>0</v>
      </c>
      <c r="J58" s="712">
        <v>0</v>
      </c>
      <c r="K58" s="712">
        <v>0</v>
      </c>
      <c r="L58" s="712">
        <v>0</v>
      </c>
      <c r="M58" s="712">
        <v>0</v>
      </c>
      <c r="N58" s="712">
        <v>0</v>
      </c>
      <c r="O58" s="712">
        <v>0</v>
      </c>
      <c r="P58" s="712">
        <v>0</v>
      </c>
      <c r="Q58" s="712">
        <v>0</v>
      </c>
      <c r="R58" s="712">
        <v>0</v>
      </c>
      <c r="S58" s="712">
        <v>0</v>
      </c>
      <c r="T58" s="712">
        <v>0</v>
      </c>
      <c r="U58" s="712">
        <v>0</v>
      </c>
      <c r="V58" s="712">
        <v>0</v>
      </c>
      <c r="W58" s="712">
        <v>0</v>
      </c>
      <c r="X58" s="715">
        <f t="shared" si="1"/>
        <v>0</v>
      </c>
      <c r="Y58" s="712">
        <v>0</v>
      </c>
      <c r="Z58" s="712">
        <v>0</v>
      </c>
      <c r="AA58" s="712">
        <v>0</v>
      </c>
      <c r="AB58" s="19"/>
      <c r="AC58" s="713"/>
    </row>
    <row r="59" spans="1:29">
      <c r="A59" s="35">
        <v>42</v>
      </c>
      <c r="B59" s="734" t="s">
        <v>1315</v>
      </c>
      <c r="C59" s="734" t="s">
        <v>1313</v>
      </c>
      <c r="D59" s="99" t="s">
        <v>1314</v>
      </c>
      <c r="E59" s="595" t="s">
        <v>1316</v>
      </c>
      <c r="F59" s="99" t="s">
        <v>1311</v>
      </c>
      <c r="G59" s="442" t="s">
        <v>1240</v>
      </c>
      <c r="H59" s="735">
        <v>1.8200000000000001E-2</v>
      </c>
      <c r="I59" s="715"/>
      <c r="J59" s="715"/>
      <c r="K59" s="715"/>
      <c r="L59" s="715">
        <v>468670.37</v>
      </c>
      <c r="M59" s="715">
        <v>187096.71</v>
      </c>
      <c r="N59" s="715">
        <v>12381.81</v>
      </c>
      <c r="O59" s="715">
        <v>0</v>
      </c>
      <c r="P59" s="715">
        <v>269.22000000000003</v>
      </c>
      <c r="Q59" s="715">
        <v>32822.75</v>
      </c>
      <c r="R59" s="715">
        <v>204.53</v>
      </c>
      <c r="S59" s="715">
        <v>2895.95</v>
      </c>
      <c r="T59" s="715">
        <v>0</v>
      </c>
      <c r="U59" s="715">
        <v>0</v>
      </c>
      <c r="V59" s="715">
        <v>0</v>
      </c>
      <c r="W59" s="715">
        <v>0</v>
      </c>
      <c r="X59" s="715">
        <f t="shared" si="1"/>
        <v>704341.34</v>
      </c>
      <c r="Y59" s="715">
        <v>0</v>
      </c>
      <c r="Z59" s="715">
        <v>0</v>
      </c>
      <c r="AA59" s="715">
        <v>0</v>
      </c>
      <c r="AB59" s="19"/>
      <c r="AC59" s="716">
        <f>SUM(I59:AB59)-X59</f>
        <v>704341.34</v>
      </c>
    </row>
    <row r="60" spans="1:29">
      <c r="A60" s="35">
        <v>43</v>
      </c>
      <c r="B60" s="734" t="s">
        <v>1317</v>
      </c>
      <c r="C60" s="736" t="s">
        <v>1313</v>
      </c>
      <c r="D60" s="719" t="s">
        <v>1314</v>
      </c>
      <c r="E60" s="595" t="s">
        <v>1318</v>
      </c>
      <c r="F60" s="719" t="s">
        <v>1311</v>
      </c>
      <c r="G60" s="718" t="s">
        <v>1240</v>
      </c>
      <c r="H60" s="737">
        <v>1.8200000000000001E-2</v>
      </c>
      <c r="I60" s="715">
        <v>0</v>
      </c>
      <c r="J60" s="715">
        <v>0</v>
      </c>
      <c r="K60" s="715">
        <v>0</v>
      </c>
      <c r="L60" s="715">
        <v>0</v>
      </c>
      <c r="M60" s="715">
        <v>0</v>
      </c>
      <c r="N60" s="715">
        <v>8013.21</v>
      </c>
      <c r="O60" s="715">
        <v>127932.66</v>
      </c>
      <c r="P60" s="715">
        <v>12763.48</v>
      </c>
      <c r="Q60" s="715">
        <v>15168.48</v>
      </c>
      <c r="R60" s="715">
        <v>51271.85</v>
      </c>
      <c r="S60" s="715">
        <v>125594.34</v>
      </c>
      <c r="T60" s="715">
        <v>409365.38</v>
      </c>
      <c r="U60" s="715">
        <v>239947.11</v>
      </c>
      <c r="V60" s="715">
        <v>272308.28999999998</v>
      </c>
      <c r="W60" s="715">
        <v>51565.26</v>
      </c>
      <c r="X60" s="715">
        <f t="shared" si="1"/>
        <v>1313930.06</v>
      </c>
      <c r="Y60" s="715">
        <v>0</v>
      </c>
      <c r="Z60" s="715">
        <v>216.65</v>
      </c>
      <c r="AA60" s="715">
        <v>529.94000000000005</v>
      </c>
      <c r="AB60" s="19"/>
      <c r="AC60" s="716">
        <f>SUM(I60:AB60)-X60</f>
        <v>1314676.6499999999</v>
      </c>
    </row>
    <row r="61" spans="1:29">
      <c r="A61" s="35">
        <v>44</v>
      </c>
      <c r="B61" s="726" t="s">
        <v>1319</v>
      </c>
      <c r="C61" s="726" t="s">
        <v>1320</v>
      </c>
      <c r="D61" s="727" t="s">
        <v>1321</v>
      </c>
      <c r="E61" s="721" t="s">
        <v>1322</v>
      </c>
      <c r="F61" s="727" t="s">
        <v>1323</v>
      </c>
      <c r="G61" s="729" t="s">
        <v>1240</v>
      </c>
      <c r="H61" s="730">
        <v>1.8200000000000001E-2</v>
      </c>
      <c r="I61" s="731">
        <v>941</v>
      </c>
      <c r="J61" s="731">
        <v>29.3</v>
      </c>
      <c r="K61" s="731">
        <v>5917.89</v>
      </c>
      <c r="L61" s="731">
        <v>11980.05</v>
      </c>
      <c r="M61" s="731">
        <v>2617.8000000000002</v>
      </c>
      <c r="N61" s="731">
        <v>142.19999999999999</v>
      </c>
      <c r="O61" s="731">
        <v>10712.37</v>
      </c>
      <c r="P61" s="731">
        <v>197.52</v>
      </c>
      <c r="Q61" s="731">
        <v>144039.29</v>
      </c>
      <c r="R61" s="731">
        <v>16280.67</v>
      </c>
      <c r="S61" s="731">
        <v>10247.120000000001</v>
      </c>
      <c r="T61" s="731">
        <v>0</v>
      </c>
      <c r="U61" s="731">
        <v>0</v>
      </c>
      <c r="V61" s="731">
        <v>0</v>
      </c>
      <c r="W61" s="731">
        <v>0</v>
      </c>
      <c r="X61" s="715">
        <f t="shared" si="1"/>
        <v>203105.21000000002</v>
      </c>
      <c r="Y61" s="731">
        <v>0</v>
      </c>
      <c r="Z61" s="731">
        <v>0</v>
      </c>
      <c r="AA61" s="731">
        <v>0</v>
      </c>
      <c r="AB61" s="19"/>
      <c r="AC61" s="722">
        <f>SUM(I61:AB61)-X61</f>
        <v>203105.21000000002</v>
      </c>
    </row>
    <row r="62" spans="1:29">
      <c r="A62" s="35">
        <v>45</v>
      </c>
      <c r="B62" s="726" t="s">
        <v>1324</v>
      </c>
      <c r="C62" s="726" t="s">
        <v>1325</v>
      </c>
      <c r="D62" s="727" t="s">
        <v>1326</v>
      </c>
      <c r="E62" s="721" t="s">
        <v>1327</v>
      </c>
      <c r="F62" s="727" t="s">
        <v>1323</v>
      </c>
      <c r="G62" s="729" t="s">
        <v>1240</v>
      </c>
      <c r="H62" s="730">
        <v>1.8200000000000001E-2</v>
      </c>
      <c r="I62" s="731">
        <v>0</v>
      </c>
      <c r="J62" s="731">
        <v>0</v>
      </c>
      <c r="K62" s="731">
        <v>0</v>
      </c>
      <c r="L62" s="731">
        <v>0</v>
      </c>
      <c r="M62" s="731">
        <v>0</v>
      </c>
      <c r="N62" s="731">
        <v>0</v>
      </c>
      <c r="O62" s="731">
        <v>0</v>
      </c>
      <c r="P62" s="731">
        <v>0</v>
      </c>
      <c r="Q62" s="731">
        <v>40697.07</v>
      </c>
      <c r="R62" s="731">
        <v>101061.64</v>
      </c>
      <c r="S62" s="731">
        <v>10209.25</v>
      </c>
      <c r="T62" s="731">
        <v>56.69</v>
      </c>
      <c r="U62" s="731">
        <v>0</v>
      </c>
      <c r="V62" s="731">
        <v>0</v>
      </c>
      <c r="W62" s="731">
        <v>0</v>
      </c>
      <c r="X62" s="715">
        <f t="shared" si="1"/>
        <v>152024.65</v>
      </c>
      <c r="Y62" s="731">
        <v>0</v>
      </c>
      <c r="Z62" s="731">
        <v>0</v>
      </c>
      <c r="AA62" s="731">
        <v>0</v>
      </c>
      <c r="AB62" s="19"/>
      <c r="AC62" s="722">
        <f>SUM(I62:AB62)-X62</f>
        <v>152024.65</v>
      </c>
    </row>
    <row r="63" spans="1:29">
      <c r="A63" s="35">
        <v>46</v>
      </c>
      <c r="B63" s="732" t="s">
        <v>1328</v>
      </c>
      <c r="C63" s="732" t="s">
        <v>1329</v>
      </c>
      <c r="D63" s="710" t="s">
        <v>1330</v>
      </c>
      <c r="E63" s="721" t="s">
        <v>1227</v>
      </c>
      <c r="F63" s="710" t="s">
        <v>1331</v>
      </c>
      <c r="G63" s="707" t="s">
        <v>1240</v>
      </c>
      <c r="H63" s="733">
        <v>1.8200000000000001E-2</v>
      </c>
      <c r="I63" s="731">
        <v>59.46</v>
      </c>
      <c r="J63" s="731">
        <v>63.47</v>
      </c>
      <c r="K63" s="731">
        <v>61.44</v>
      </c>
      <c r="L63" s="731">
        <v>60.45</v>
      </c>
      <c r="M63" s="731">
        <v>60.13</v>
      </c>
      <c r="N63" s="731">
        <v>65.97</v>
      </c>
      <c r="O63" s="731">
        <v>57.6</v>
      </c>
      <c r="P63" s="731">
        <v>4879.1099999999997</v>
      </c>
      <c r="Q63" s="731">
        <v>82.03</v>
      </c>
      <c r="R63" s="731">
        <v>50.42</v>
      </c>
      <c r="S63" s="731">
        <v>114.43</v>
      </c>
      <c r="T63" s="731">
        <v>77.38</v>
      </c>
      <c r="U63" s="731">
        <v>73.209999999999994</v>
      </c>
      <c r="V63" s="731">
        <v>85.69</v>
      </c>
      <c r="W63" s="731">
        <v>125.23</v>
      </c>
      <c r="X63" s="715">
        <f t="shared" si="1"/>
        <v>5916.0199999999986</v>
      </c>
      <c r="Y63" s="731">
        <v>89.88</v>
      </c>
      <c r="Z63" s="731">
        <v>618.11</v>
      </c>
      <c r="AA63" s="731">
        <v>85074.18</v>
      </c>
      <c r="AB63" s="19"/>
      <c r="AC63" s="722">
        <f>SUM(I63:AB63)-X63</f>
        <v>91698.189999999988</v>
      </c>
    </row>
    <row r="64" spans="1:29">
      <c r="A64" s="35">
        <v>47</v>
      </c>
      <c r="B64" s="732" t="s">
        <v>1332</v>
      </c>
      <c r="C64" s="732" t="s">
        <v>1333</v>
      </c>
      <c r="D64" s="710" t="s">
        <v>1334</v>
      </c>
      <c r="E64" s="721" t="s">
        <v>1335</v>
      </c>
      <c r="F64" s="710" t="s">
        <v>1196</v>
      </c>
      <c r="G64" s="707" t="s">
        <v>1231</v>
      </c>
      <c r="H64" s="733">
        <v>1.2500000000000001E-2</v>
      </c>
      <c r="I64" s="712">
        <v>0</v>
      </c>
      <c r="J64" s="712">
        <v>0</v>
      </c>
      <c r="K64" s="712">
        <v>0</v>
      </c>
      <c r="L64" s="712">
        <v>0</v>
      </c>
      <c r="M64" s="712">
        <v>0</v>
      </c>
      <c r="N64" s="712">
        <v>0</v>
      </c>
      <c r="O64" s="712">
        <v>0</v>
      </c>
      <c r="P64" s="712">
        <v>0</v>
      </c>
      <c r="Q64" s="712">
        <v>0</v>
      </c>
      <c r="R64" s="712">
        <v>0</v>
      </c>
      <c r="S64" s="712">
        <v>0</v>
      </c>
      <c r="T64" s="712">
        <v>0</v>
      </c>
      <c r="U64" s="712">
        <v>0</v>
      </c>
      <c r="V64" s="712">
        <v>0</v>
      </c>
      <c r="W64" s="712">
        <v>0</v>
      </c>
      <c r="X64" s="715">
        <f t="shared" si="1"/>
        <v>0</v>
      </c>
      <c r="Y64" s="712">
        <v>0</v>
      </c>
      <c r="Z64" s="712">
        <v>0</v>
      </c>
      <c r="AA64" s="712">
        <v>0</v>
      </c>
      <c r="AB64" s="19"/>
      <c r="AC64" s="713">
        <f>SUM(I64:AB64)</f>
        <v>0</v>
      </c>
    </row>
    <row r="65" spans="1:29">
      <c r="A65" s="35">
        <v>48</v>
      </c>
      <c r="B65" s="732" t="s">
        <v>1336</v>
      </c>
      <c r="C65" s="732" t="s">
        <v>1337</v>
      </c>
      <c r="D65" s="710" t="s">
        <v>1338</v>
      </c>
      <c r="E65" s="721" t="s">
        <v>1339</v>
      </c>
      <c r="F65" s="710" t="s">
        <v>1236</v>
      </c>
      <c r="G65" s="707" t="s">
        <v>1231</v>
      </c>
      <c r="H65" s="733">
        <v>1.2500000000000001E-2</v>
      </c>
      <c r="I65" s="712">
        <v>0</v>
      </c>
      <c r="J65" s="712">
        <v>0</v>
      </c>
      <c r="K65" s="712">
        <v>0</v>
      </c>
      <c r="L65" s="712">
        <v>0</v>
      </c>
      <c r="M65" s="712">
        <v>0</v>
      </c>
      <c r="N65" s="712">
        <v>0</v>
      </c>
      <c r="O65" s="712">
        <v>0</v>
      </c>
      <c r="P65" s="712">
        <v>0</v>
      </c>
      <c r="Q65" s="712">
        <v>0</v>
      </c>
      <c r="R65" s="712">
        <v>0</v>
      </c>
      <c r="S65" s="712">
        <v>0</v>
      </c>
      <c r="T65" s="712">
        <v>0</v>
      </c>
      <c r="U65" s="712">
        <v>0</v>
      </c>
      <c r="V65" s="712">
        <v>0</v>
      </c>
      <c r="W65" s="712">
        <v>0</v>
      </c>
      <c r="X65" s="715">
        <f t="shared" si="1"/>
        <v>0</v>
      </c>
      <c r="Y65" s="712">
        <v>0</v>
      </c>
      <c r="Z65" s="712">
        <v>0</v>
      </c>
      <c r="AA65" s="712">
        <v>0</v>
      </c>
      <c r="AB65" s="19"/>
      <c r="AC65" s="713">
        <f>SUM(I65:AB65)</f>
        <v>0</v>
      </c>
    </row>
    <row r="66" spans="1:29">
      <c r="A66" s="35">
        <v>49</v>
      </c>
      <c r="B66" s="726" t="s">
        <v>1340</v>
      </c>
      <c r="C66" s="726" t="s">
        <v>1341</v>
      </c>
      <c r="D66" s="727" t="s">
        <v>1342</v>
      </c>
      <c r="E66" s="721" t="s">
        <v>1343</v>
      </c>
      <c r="F66" s="727" t="s">
        <v>1196</v>
      </c>
      <c r="G66" s="729" t="s">
        <v>1231</v>
      </c>
      <c r="H66" s="730">
        <v>1.2500000000000001E-2</v>
      </c>
      <c r="I66" s="731">
        <v>0</v>
      </c>
      <c r="J66" s="731">
        <v>0</v>
      </c>
      <c r="K66" s="731">
        <v>0</v>
      </c>
      <c r="L66" s="731">
        <v>0</v>
      </c>
      <c r="M66" s="731">
        <v>0</v>
      </c>
      <c r="N66" s="731">
        <v>0</v>
      </c>
      <c r="O66" s="731">
        <v>0</v>
      </c>
      <c r="P66" s="731">
        <v>0</v>
      </c>
      <c r="Q66" s="731">
        <v>0</v>
      </c>
      <c r="R66" s="731">
        <v>0</v>
      </c>
      <c r="S66" s="731">
        <v>0</v>
      </c>
      <c r="T66" s="731">
        <v>0</v>
      </c>
      <c r="U66" s="731">
        <v>0</v>
      </c>
      <c r="V66" s="731">
        <v>0</v>
      </c>
      <c r="W66" s="731">
        <v>0</v>
      </c>
      <c r="X66" s="715">
        <f t="shared" si="1"/>
        <v>0</v>
      </c>
      <c r="Y66" s="731">
        <v>0</v>
      </c>
      <c r="Z66" s="731">
        <v>0</v>
      </c>
      <c r="AA66" s="731">
        <v>0</v>
      </c>
      <c r="AB66" s="19"/>
      <c r="AC66" s="713">
        <f>SUM(I66:AB66)</f>
        <v>0</v>
      </c>
    </row>
    <row r="67" spans="1:29">
      <c r="A67" s="35">
        <v>50</v>
      </c>
      <c r="B67" s="726" t="s">
        <v>1344</v>
      </c>
      <c r="C67" s="726" t="s">
        <v>1345</v>
      </c>
      <c r="D67" s="727" t="s">
        <v>1346</v>
      </c>
      <c r="E67" s="721" t="s">
        <v>1347</v>
      </c>
      <c r="F67" s="727" t="s">
        <v>1323</v>
      </c>
      <c r="G67" s="738" t="s">
        <v>1231</v>
      </c>
      <c r="H67" s="739">
        <v>1.2500000000000001E-2</v>
      </c>
      <c r="I67" s="731">
        <v>0</v>
      </c>
      <c r="J67" s="731">
        <v>0</v>
      </c>
      <c r="K67" s="731">
        <v>0</v>
      </c>
      <c r="L67" s="731">
        <v>0</v>
      </c>
      <c r="M67" s="731">
        <v>0</v>
      </c>
      <c r="N67" s="731">
        <v>0</v>
      </c>
      <c r="O67" s="731">
        <v>0</v>
      </c>
      <c r="P67" s="731">
        <v>0</v>
      </c>
      <c r="Q67" s="731">
        <v>0</v>
      </c>
      <c r="R67" s="731">
        <v>0</v>
      </c>
      <c r="S67" s="731">
        <v>0</v>
      </c>
      <c r="T67" s="731">
        <v>0</v>
      </c>
      <c r="U67" s="731">
        <v>0</v>
      </c>
      <c r="V67" s="731">
        <v>0</v>
      </c>
      <c r="W67" s="731">
        <v>9051.64</v>
      </c>
      <c r="X67" s="715">
        <f t="shared" si="1"/>
        <v>9051.64</v>
      </c>
      <c r="Y67" s="731">
        <v>487988.5</v>
      </c>
      <c r="Z67" s="731">
        <v>25679.63</v>
      </c>
      <c r="AA67" s="731">
        <v>2777.13</v>
      </c>
      <c r="AB67" s="19"/>
      <c r="AC67" s="716">
        <f t="shared" ref="AC67:AC72" si="4">SUM(I67:AB67)-X67</f>
        <v>525496.9</v>
      </c>
    </row>
    <row r="68" spans="1:29">
      <c r="A68" s="35">
        <v>51</v>
      </c>
      <c r="B68" s="726" t="s">
        <v>1348</v>
      </c>
      <c r="C68" s="726" t="s">
        <v>1349</v>
      </c>
      <c r="D68" s="727" t="s">
        <v>1350</v>
      </c>
      <c r="E68" s="721" t="s">
        <v>1351</v>
      </c>
      <c r="F68" s="727" t="s">
        <v>1323</v>
      </c>
      <c r="G68" s="738" t="s">
        <v>1231</v>
      </c>
      <c r="H68" s="739">
        <v>1.2500000000000001E-2</v>
      </c>
      <c r="I68" s="731">
        <v>0</v>
      </c>
      <c r="J68" s="731">
        <v>0</v>
      </c>
      <c r="K68" s="731">
        <v>0</v>
      </c>
      <c r="L68" s="731">
        <v>0</v>
      </c>
      <c r="M68" s="731">
        <v>0</v>
      </c>
      <c r="N68" s="731">
        <v>0</v>
      </c>
      <c r="O68" s="731">
        <v>0</v>
      </c>
      <c r="P68" s="731">
        <v>0</v>
      </c>
      <c r="Q68" s="731">
        <v>0</v>
      </c>
      <c r="R68" s="731">
        <v>0</v>
      </c>
      <c r="S68" s="731">
        <v>0</v>
      </c>
      <c r="T68" s="731">
        <v>0</v>
      </c>
      <c r="U68" s="731">
        <v>0</v>
      </c>
      <c r="V68" s="731">
        <v>0</v>
      </c>
      <c r="W68" s="731">
        <v>11892.46</v>
      </c>
      <c r="X68" s="715">
        <f t="shared" si="1"/>
        <v>11892.46</v>
      </c>
      <c r="Y68" s="731">
        <v>525106.31000000006</v>
      </c>
      <c r="Z68" s="731">
        <v>-14338.9</v>
      </c>
      <c r="AA68" s="731">
        <v>244.91</v>
      </c>
      <c r="AB68" s="19"/>
      <c r="AC68" s="716">
        <f t="shared" si="4"/>
        <v>522904.78000000009</v>
      </c>
    </row>
    <row r="69" spans="1:29">
      <c r="A69" s="35">
        <v>52</v>
      </c>
      <c r="B69" s="726" t="s">
        <v>1352</v>
      </c>
      <c r="C69" s="726" t="s">
        <v>1353</v>
      </c>
      <c r="D69" s="727" t="s">
        <v>1354</v>
      </c>
      <c r="E69" s="721" t="s">
        <v>1355</v>
      </c>
      <c r="F69" s="727" t="s">
        <v>1267</v>
      </c>
      <c r="G69" s="738" t="s">
        <v>1231</v>
      </c>
      <c r="H69" s="739">
        <v>1.2500000000000001E-2</v>
      </c>
      <c r="I69" s="731">
        <v>0</v>
      </c>
      <c r="J69" s="731">
        <v>0</v>
      </c>
      <c r="K69" s="731">
        <v>0</v>
      </c>
      <c r="L69" s="731">
        <v>0</v>
      </c>
      <c r="M69" s="731">
        <v>0</v>
      </c>
      <c r="N69" s="731">
        <v>0</v>
      </c>
      <c r="O69" s="731">
        <v>0</v>
      </c>
      <c r="P69" s="731">
        <v>0</v>
      </c>
      <c r="Q69" s="731">
        <v>0</v>
      </c>
      <c r="R69" s="731">
        <v>0</v>
      </c>
      <c r="S69" s="731">
        <v>0</v>
      </c>
      <c r="T69" s="731">
        <v>0</v>
      </c>
      <c r="U69" s="731">
        <v>0</v>
      </c>
      <c r="V69" s="731">
        <v>0</v>
      </c>
      <c r="W69" s="731">
        <v>0</v>
      </c>
      <c r="X69" s="715">
        <f t="shared" si="1"/>
        <v>0</v>
      </c>
      <c r="Y69" s="731">
        <v>0</v>
      </c>
      <c r="Z69" s="731">
        <v>0</v>
      </c>
      <c r="AA69" s="731">
        <v>0</v>
      </c>
      <c r="AB69" s="19"/>
      <c r="AC69" s="716">
        <f t="shared" si="4"/>
        <v>0</v>
      </c>
    </row>
    <row r="70" spans="1:29">
      <c r="A70" s="35">
        <v>53</v>
      </c>
      <c r="B70" s="726" t="s">
        <v>1356</v>
      </c>
      <c r="C70" s="726" t="s">
        <v>1357</v>
      </c>
      <c r="D70" s="727" t="s">
        <v>1358</v>
      </c>
      <c r="E70" s="721" t="s">
        <v>1227</v>
      </c>
      <c r="F70" s="727" t="s">
        <v>1256</v>
      </c>
      <c r="G70" s="738" t="s">
        <v>1240</v>
      </c>
      <c r="H70" s="739">
        <v>1.8200000000000001E-2</v>
      </c>
      <c r="I70" s="740">
        <v>0</v>
      </c>
      <c r="J70" s="740">
        <v>0</v>
      </c>
      <c r="K70" s="740">
        <v>0</v>
      </c>
      <c r="L70" s="740">
        <v>0</v>
      </c>
      <c r="M70" s="740">
        <v>0</v>
      </c>
      <c r="N70" s="740">
        <v>0</v>
      </c>
      <c r="O70" s="740">
        <v>0</v>
      </c>
      <c r="P70" s="740">
        <v>0</v>
      </c>
      <c r="Q70" s="740">
        <v>0</v>
      </c>
      <c r="R70" s="740">
        <v>0</v>
      </c>
      <c r="S70" s="740">
        <v>0</v>
      </c>
      <c r="T70" s="740">
        <v>0</v>
      </c>
      <c r="U70" s="740">
        <v>0</v>
      </c>
      <c r="V70" s="740">
        <v>0</v>
      </c>
      <c r="W70" s="740">
        <v>0</v>
      </c>
      <c r="X70" s="715">
        <f t="shared" si="1"/>
        <v>0</v>
      </c>
      <c r="Y70" s="740">
        <v>0</v>
      </c>
      <c r="Z70" s="740">
        <v>0</v>
      </c>
      <c r="AA70" s="740">
        <v>8554.0400000000009</v>
      </c>
      <c r="AB70" s="19"/>
      <c r="AC70" s="716">
        <f t="shared" si="4"/>
        <v>8554.0400000000009</v>
      </c>
    </row>
    <row r="71" spans="1:29">
      <c r="A71" s="35">
        <v>54</v>
      </c>
      <c r="B71" s="726" t="s">
        <v>1359</v>
      </c>
      <c r="C71" s="726" t="s">
        <v>1360</v>
      </c>
      <c r="D71" s="727" t="s">
        <v>1361</v>
      </c>
      <c r="E71" s="728" t="s">
        <v>1227</v>
      </c>
      <c r="F71" s="727" t="s">
        <v>1331</v>
      </c>
      <c r="G71" s="729" t="s">
        <v>1197</v>
      </c>
      <c r="H71" s="730">
        <v>1.2500000000000001E-2</v>
      </c>
      <c r="I71" s="731">
        <v>0</v>
      </c>
      <c r="J71" s="731">
        <v>0</v>
      </c>
      <c r="K71" s="731">
        <v>0</v>
      </c>
      <c r="L71" s="731">
        <v>0</v>
      </c>
      <c r="M71" s="731">
        <v>0</v>
      </c>
      <c r="N71" s="731">
        <v>0</v>
      </c>
      <c r="O71" s="731">
        <v>0</v>
      </c>
      <c r="P71" s="731">
        <v>0</v>
      </c>
      <c r="Q71" s="731">
        <v>0</v>
      </c>
      <c r="R71" s="731">
        <v>0</v>
      </c>
      <c r="S71" s="731">
        <v>0</v>
      </c>
      <c r="T71" s="731">
        <v>0</v>
      </c>
      <c r="U71" s="731">
        <v>0</v>
      </c>
      <c r="V71" s="731">
        <v>0</v>
      </c>
      <c r="W71" s="731">
        <v>0</v>
      </c>
      <c r="X71" s="715">
        <f t="shared" si="1"/>
        <v>0</v>
      </c>
      <c r="Y71" s="731">
        <v>0</v>
      </c>
      <c r="Z71" s="731">
        <v>26682.07</v>
      </c>
      <c r="AA71" s="731">
        <v>1462.08</v>
      </c>
      <c r="AB71" s="19"/>
      <c r="AC71" s="716">
        <f t="shared" si="4"/>
        <v>28144.15</v>
      </c>
    </row>
    <row r="72" spans="1:29">
      <c r="A72" s="35">
        <v>55</v>
      </c>
      <c r="B72" s="734"/>
      <c r="C72" s="734"/>
      <c r="D72" s="99" t="s">
        <v>1675</v>
      </c>
      <c r="E72" s="595"/>
      <c r="F72" s="99"/>
      <c r="G72" s="442"/>
      <c r="H72" s="735"/>
      <c r="I72" s="715"/>
      <c r="J72" s="715"/>
      <c r="K72" s="715"/>
      <c r="L72" s="715"/>
      <c r="M72" s="715"/>
      <c r="N72" s="715"/>
      <c r="O72" s="715"/>
      <c r="P72" s="715"/>
      <c r="Q72" s="715"/>
      <c r="R72" s="715"/>
      <c r="S72" s="715"/>
      <c r="T72" s="715"/>
      <c r="U72" s="715"/>
      <c r="V72" s="715"/>
      <c r="W72" s="715"/>
      <c r="X72" s="715"/>
      <c r="Y72" s="715"/>
      <c r="Z72" s="715">
        <v>15452.49</v>
      </c>
      <c r="AA72" s="715">
        <v>537465.21</v>
      </c>
      <c r="AB72" s="19"/>
      <c r="AC72" s="716">
        <f t="shared" si="4"/>
        <v>552917.69999999995</v>
      </c>
    </row>
    <row r="73" spans="1:29">
      <c r="A73" s="35">
        <v>56</v>
      </c>
      <c r="B73" s="734"/>
      <c r="C73" s="734"/>
      <c r="D73" s="99" t="s">
        <v>1362</v>
      </c>
      <c r="E73" s="595"/>
      <c r="F73" s="99"/>
      <c r="G73" s="442"/>
      <c r="H73" s="735"/>
      <c r="I73" s="715"/>
      <c r="J73" s="715"/>
      <c r="K73" s="715"/>
      <c r="L73" s="715"/>
      <c r="M73" s="715"/>
      <c r="N73" s="715"/>
      <c r="O73" s="715"/>
      <c r="P73" s="715"/>
      <c r="Q73" s="715"/>
      <c r="R73" s="715"/>
      <c r="S73" s="715"/>
      <c r="T73" s="715"/>
      <c r="U73" s="715"/>
      <c r="V73" s="715"/>
      <c r="W73" s="715"/>
      <c r="X73" s="715"/>
      <c r="Y73" s="715"/>
      <c r="Z73" s="715"/>
      <c r="AA73" s="715"/>
      <c r="AB73" s="19"/>
      <c r="AC73" s="716"/>
    </row>
    <row r="74" spans="1:29">
      <c r="B74" s="734"/>
      <c r="C74" s="734"/>
      <c r="D74" s="19"/>
      <c r="E74" s="18"/>
      <c r="F74" s="19"/>
      <c r="G74" s="444"/>
      <c r="H74" s="741"/>
      <c r="I74" s="742"/>
      <c r="J74" s="742"/>
      <c r="K74" s="742"/>
      <c r="L74" s="742"/>
      <c r="M74" s="742"/>
      <c r="N74" s="742"/>
      <c r="O74" s="742"/>
      <c r="P74" s="742"/>
      <c r="Q74" s="742"/>
      <c r="R74" s="742"/>
      <c r="S74" s="742"/>
      <c r="T74" s="742"/>
      <c r="U74" s="742"/>
      <c r="V74" s="742"/>
      <c r="W74" s="742"/>
      <c r="X74" s="742"/>
      <c r="Y74" s="742"/>
      <c r="Z74" s="742"/>
      <c r="AA74" s="742"/>
      <c r="AB74" s="19"/>
      <c r="AC74" s="743"/>
    </row>
    <row r="75" spans="1:29">
      <c r="A75" s="35">
        <v>57</v>
      </c>
      <c r="B75" s="734"/>
      <c r="C75" s="734"/>
      <c r="D75" s="19"/>
      <c r="E75" s="18"/>
      <c r="F75" s="19"/>
      <c r="G75" s="444"/>
      <c r="H75" s="741"/>
      <c r="I75" s="742">
        <f>SUM(I17:I74)</f>
        <v>2543.4900000000002</v>
      </c>
      <c r="J75" s="742">
        <f t="shared" ref="J75:AA75" si="5">SUM(J17:J74)</f>
        <v>43379.76</v>
      </c>
      <c r="K75" s="742">
        <f t="shared" si="5"/>
        <v>675435.17999999993</v>
      </c>
      <c r="L75" s="742">
        <f t="shared" si="5"/>
        <v>2443075.6799999997</v>
      </c>
      <c r="M75" s="742">
        <f t="shared" si="5"/>
        <v>1938153.3699999996</v>
      </c>
      <c r="N75" s="742">
        <f t="shared" si="5"/>
        <v>1899546.71</v>
      </c>
      <c r="O75" s="742">
        <f t="shared" si="5"/>
        <v>213919.01999999996</v>
      </c>
      <c r="P75" s="742">
        <f t="shared" si="5"/>
        <v>144194.99</v>
      </c>
      <c r="Q75" s="742">
        <f t="shared" si="5"/>
        <v>1124446.07</v>
      </c>
      <c r="R75" s="742">
        <f t="shared" si="5"/>
        <v>263989.18</v>
      </c>
      <c r="S75" s="742">
        <f t="shared" si="5"/>
        <v>737864.83</v>
      </c>
      <c r="T75" s="742">
        <f t="shared" si="5"/>
        <v>2649288.5499999998</v>
      </c>
      <c r="U75" s="742">
        <f t="shared" si="5"/>
        <v>567774.77</v>
      </c>
      <c r="V75" s="742">
        <f t="shared" si="5"/>
        <v>718706.01</v>
      </c>
      <c r="W75" s="742">
        <f t="shared" si="5"/>
        <v>813985.73</v>
      </c>
      <c r="X75" s="742">
        <f t="shared" si="5"/>
        <v>14236303.340000004</v>
      </c>
      <c r="Y75" s="742">
        <f t="shared" si="5"/>
        <v>3001996.63</v>
      </c>
      <c r="Z75" s="742">
        <f t="shared" si="5"/>
        <v>785203.16999999993</v>
      </c>
      <c r="AA75" s="742">
        <f t="shared" si="5"/>
        <v>2086444.94</v>
      </c>
      <c r="AB75" s="19"/>
      <c r="AC75" s="743">
        <f>SUM(AC17:AC74)</f>
        <v>20109948.079999994</v>
      </c>
    </row>
    <row r="76" spans="1:29" ht="27">
      <c r="B76" s="1010" t="s">
        <v>2137</v>
      </c>
      <c r="C76" s="994"/>
      <c r="E76" s="8"/>
      <c r="G76" s="704"/>
      <c r="H76" s="705"/>
      <c r="I76" s="450"/>
      <c r="J76" s="450"/>
      <c r="K76" s="1010" t="s">
        <v>2137</v>
      </c>
      <c r="L76" s="450"/>
      <c r="M76" s="450"/>
      <c r="N76" s="450"/>
      <c r="O76" s="450"/>
      <c r="P76" s="450"/>
      <c r="Q76" s="450"/>
      <c r="R76" s="450"/>
      <c r="S76" s="450"/>
      <c r="T76" s="450"/>
      <c r="U76" s="1010" t="s">
        <v>2137</v>
      </c>
      <c r="V76" s="450"/>
      <c r="W76" s="450"/>
      <c r="X76" s="450"/>
      <c r="Y76" s="450"/>
      <c r="Z76" s="450"/>
      <c r="AA76" s="450"/>
      <c r="AC76" s="450"/>
    </row>
    <row r="77" spans="1:29">
      <c r="A77" s="35">
        <v>58</v>
      </c>
      <c r="B77" s="8"/>
      <c r="C77" s="32"/>
      <c r="E77" s="8"/>
      <c r="G77" s="704"/>
      <c r="H77" s="705"/>
      <c r="I77" s="450"/>
      <c r="J77" s="744">
        <f>+J75+I75</f>
        <v>45923.25</v>
      </c>
      <c r="K77" s="744">
        <f>+J77+K75</f>
        <v>721358.42999999993</v>
      </c>
      <c r="L77" s="744">
        <f t="shared" ref="L77:AA77" si="6">+K77+L75</f>
        <v>3164434.1099999994</v>
      </c>
      <c r="M77" s="744">
        <f t="shared" si="6"/>
        <v>5102587.4799999986</v>
      </c>
      <c r="N77" s="744">
        <f t="shared" si="6"/>
        <v>7002134.1899999985</v>
      </c>
      <c r="O77" s="744">
        <f t="shared" si="6"/>
        <v>7216053.2099999981</v>
      </c>
      <c r="P77" s="744">
        <f t="shared" si="6"/>
        <v>7360248.1999999983</v>
      </c>
      <c r="Q77" s="744">
        <f t="shared" si="6"/>
        <v>8484694.2699999977</v>
      </c>
      <c r="R77" s="744">
        <f t="shared" si="6"/>
        <v>8748683.4499999974</v>
      </c>
      <c r="S77" s="744">
        <f t="shared" si="6"/>
        <v>9486548.2799999975</v>
      </c>
      <c r="T77" s="744">
        <f t="shared" si="6"/>
        <v>12135836.829999998</v>
      </c>
      <c r="U77" s="744">
        <f t="shared" si="6"/>
        <v>12703611.599999998</v>
      </c>
      <c r="V77" s="744">
        <f t="shared" si="6"/>
        <v>13422317.609999998</v>
      </c>
      <c r="W77" s="744">
        <f t="shared" si="6"/>
        <v>14236303.339999998</v>
      </c>
      <c r="X77" s="744"/>
      <c r="Y77" s="744">
        <f>+W77+Y75</f>
        <v>17238299.969999999</v>
      </c>
      <c r="Z77" s="744">
        <f t="shared" si="6"/>
        <v>18023503.140000001</v>
      </c>
      <c r="AA77" s="744">
        <f t="shared" si="6"/>
        <v>20109948.080000002</v>
      </c>
      <c r="AC77" s="450"/>
    </row>
    <row r="78" spans="1:29">
      <c r="B78" s="8"/>
      <c r="C78" s="32"/>
      <c r="E78" s="8"/>
      <c r="G78" s="704"/>
      <c r="H78" s="705"/>
      <c r="I78" s="450"/>
      <c r="J78" s="450"/>
      <c r="K78" s="450"/>
      <c r="L78" s="450"/>
      <c r="M78" s="450"/>
      <c r="N78" s="450"/>
      <c r="O78" s="450"/>
      <c r="P78" s="450"/>
      <c r="Q78" s="450"/>
      <c r="R78" s="450"/>
      <c r="S78" s="450"/>
      <c r="T78" s="450"/>
      <c r="U78" s="450"/>
      <c r="V78" s="450"/>
      <c r="W78" s="450"/>
      <c r="X78" s="450"/>
      <c r="Y78" s="450"/>
      <c r="Z78" s="450"/>
      <c r="AA78" s="450"/>
      <c r="AC78" s="450"/>
    </row>
    <row r="79" spans="1:29">
      <c r="A79" s="35">
        <v>59</v>
      </c>
      <c r="B79" s="8"/>
      <c r="C79" s="32"/>
      <c r="D79" s="6" t="s">
        <v>2017</v>
      </c>
      <c r="E79" s="8"/>
      <c r="G79" s="704"/>
      <c r="H79" s="705"/>
      <c r="I79" s="450"/>
      <c r="J79" s="450"/>
      <c r="K79" s="450"/>
      <c r="L79" s="450"/>
      <c r="M79" s="450"/>
      <c r="N79" s="450"/>
      <c r="O79" s="450"/>
      <c r="P79" s="450"/>
      <c r="Q79" s="450"/>
      <c r="R79" s="450"/>
      <c r="S79" s="450"/>
      <c r="T79" s="450"/>
      <c r="U79" s="450"/>
      <c r="V79" s="450"/>
      <c r="W79" s="450"/>
      <c r="X79" s="450"/>
      <c r="Y79" s="450"/>
      <c r="Z79" s="450"/>
      <c r="AA79" s="745">
        <f>(((+AA77+N77)/2)+SUM(O77:Z77))/12</f>
        <v>11884345.086249998</v>
      </c>
      <c r="AC79" s="450"/>
    </row>
    <row r="80" spans="1:29">
      <c r="B80" s="8"/>
      <c r="C80" s="32"/>
      <c r="E80" s="8"/>
      <c r="G80" s="704"/>
      <c r="H80" s="705"/>
      <c r="I80" s="450"/>
      <c r="J80" s="450"/>
      <c r="K80" s="450"/>
      <c r="L80" s="450"/>
      <c r="M80" s="450"/>
      <c r="N80" s="450"/>
      <c r="O80" s="450"/>
      <c r="P80" s="450"/>
      <c r="Q80" s="450"/>
      <c r="R80" s="450"/>
      <c r="S80" s="450"/>
      <c r="T80" s="450"/>
      <c r="U80" s="450"/>
      <c r="V80" s="450"/>
      <c r="W80" s="450"/>
      <c r="X80" s="450"/>
      <c r="Y80" s="450"/>
      <c r="Z80" s="450"/>
      <c r="AA80" s="450"/>
      <c r="AC80" s="450"/>
    </row>
  </sheetData>
  <mergeCells count="15">
    <mergeCell ref="X1:Z1"/>
    <mergeCell ref="X2:Z2"/>
    <mergeCell ref="X3:Z3"/>
    <mergeCell ref="X4:Z4"/>
    <mergeCell ref="X5:Z5"/>
    <mergeCell ref="N1:Q1"/>
    <mergeCell ref="N2:Q2"/>
    <mergeCell ref="N3:Q3"/>
    <mergeCell ref="N4:Q4"/>
    <mergeCell ref="N5:Q5"/>
    <mergeCell ref="B1:H1"/>
    <mergeCell ref="B2:H2"/>
    <mergeCell ref="B3:H3"/>
    <mergeCell ref="B4:H4"/>
    <mergeCell ref="B5:H5"/>
  </mergeCells>
  <printOptions horizontalCentered="1"/>
  <pageMargins left="0.7" right="0.7" top="0.75" bottom="0.75" header="0.3" footer="0.3"/>
  <pageSetup scale="64" orientation="landscape" r:id="rId1"/>
  <headerFooter scaleWithDoc="0" alignWithMargins="0">
    <oddHeader>&amp;RPage &amp;P of &amp;N</oddHeader>
    <oddFooter>&amp;LElectronic Tab Name:&amp;A</oddFooter>
  </headerFooter>
  <rowBreaks count="1" manualBreakCount="1">
    <brk id="51" max="16383" man="1"/>
  </rowBreaks>
  <colBreaks count="2" manualBreakCount="2">
    <brk id="10" max="78" man="1"/>
    <brk id="20" max="78"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G25"/>
  <sheetViews>
    <sheetView zoomScaleNormal="100" workbookViewId="0">
      <selection activeCell="A3" sqref="A3:H3"/>
    </sheetView>
  </sheetViews>
  <sheetFormatPr defaultRowHeight="15.75"/>
  <cols>
    <col min="1" max="1" width="9.28515625" style="6" bestFit="1" customWidth="1"/>
    <col min="2" max="2" width="10.42578125" style="6" customWidth="1"/>
    <col min="3" max="3" width="50.28515625" style="6" customWidth="1"/>
    <col min="4" max="4" width="6.7109375" style="6" customWidth="1"/>
    <col min="5" max="5" width="12.28515625" style="6" customWidth="1"/>
    <col min="6" max="6" width="4.140625" style="6" customWidth="1"/>
    <col min="7" max="7" width="14.5703125" style="6" bestFit="1" customWidth="1"/>
    <col min="8" max="16384" width="9.140625" style="6"/>
  </cols>
  <sheetData>
    <row r="1" spans="1:7">
      <c r="A1" s="1025" t="s">
        <v>61</v>
      </c>
      <c r="B1" s="1025"/>
      <c r="C1" s="1025"/>
      <c r="D1" s="1025"/>
      <c r="E1" s="1025"/>
      <c r="F1" s="1025"/>
      <c r="G1" s="1025"/>
    </row>
    <row r="2" spans="1:7">
      <c r="A2" s="1025" t="s">
        <v>1690</v>
      </c>
      <c r="B2" s="1025"/>
      <c r="C2" s="1025"/>
      <c r="D2" s="1025"/>
      <c r="E2" s="1025"/>
      <c r="F2" s="1025"/>
      <c r="G2" s="1025"/>
    </row>
    <row r="3" spans="1:7">
      <c r="A3" s="1025" t="s">
        <v>2043</v>
      </c>
      <c r="B3" s="1025"/>
      <c r="C3" s="1025"/>
      <c r="D3" s="1025"/>
      <c r="E3" s="1025"/>
      <c r="F3" s="1025"/>
      <c r="G3" s="1025"/>
    </row>
    <row r="4" spans="1:7">
      <c r="A4" s="1025" t="s">
        <v>983</v>
      </c>
      <c r="B4" s="1025"/>
      <c r="C4" s="1025"/>
      <c r="D4" s="1025"/>
      <c r="E4" s="1025"/>
      <c r="F4" s="1025"/>
      <c r="G4" s="1025"/>
    </row>
    <row r="5" spans="1:7">
      <c r="A5" s="1025" t="s">
        <v>985</v>
      </c>
      <c r="B5" s="1025"/>
      <c r="C5" s="1025"/>
      <c r="D5" s="1025"/>
      <c r="E5" s="1025"/>
      <c r="F5" s="1025"/>
      <c r="G5" s="1025"/>
    </row>
    <row r="8" spans="1:7" s="8" customFormat="1">
      <c r="A8" s="15" t="s">
        <v>891</v>
      </c>
      <c r="B8" s="8" t="s">
        <v>1731</v>
      </c>
      <c r="C8" s="8" t="s">
        <v>1729</v>
      </c>
      <c r="E8" s="8" t="s">
        <v>1730</v>
      </c>
      <c r="G8" s="8" t="s">
        <v>1733</v>
      </c>
    </row>
    <row r="9" spans="1:7">
      <c r="A9" s="6">
        <v>1</v>
      </c>
      <c r="B9" s="424" t="s">
        <v>1676</v>
      </c>
      <c r="C9" s="424"/>
      <c r="D9" s="424"/>
      <c r="E9" s="424"/>
      <c r="F9" s="424"/>
      <c r="G9" s="643"/>
    </row>
    <row r="10" spans="1:7">
      <c r="A10" s="6">
        <v>2</v>
      </c>
      <c r="B10" s="424"/>
      <c r="C10" s="424" t="s">
        <v>2071</v>
      </c>
      <c r="D10" s="424"/>
      <c r="E10" s="424"/>
      <c r="F10" s="424"/>
      <c r="G10" s="643">
        <v>8908259.5399999991</v>
      </c>
    </row>
    <row r="11" spans="1:7">
      <c r="B11" s="424"/>
      <c r="C11" s="424"/>
      <c r="D11" s="424"/>
      <c r="E11" s="424"/>
      <c r="F11" s="424"/>
      <c r="G11" s="643"/>
    </row>
    <row r="12" spans="1:7">
      <c r="A12" s="6">
        <v>3</v>
      </c>
      <c r="B12" s="424" t="s">
        <v>2072</v>
      </c>
      <c r="C12" s="424"/>
      <c r="D12" s="424"/>
      <c r="E12" s="424"/>
      <c r="F12" s="424"/>
      <c r="G12" s="746">
        <f>-'Weather Normalization'!F21+'Weather Normalization'!F37</f>
        <v>-5420395.6576899998</v>
      </c>
    </row>
    <row r="13" spans="1:7">
      <c r="B13" s="424"/>
      <c r="C13" s="424"/>
      <c r="D13" s="424"/>
      <c r="E13" s="424"/>
      <c r="F13" s="424"/>
      <c r="G13" s="746"/>
    </row>
    <row r="14" spans="1:7">
      <c r="A14" s="6">
        <v>4</v>
      </c>
      <c r="B14" s="424" t="s">
        <v>2073</v>
      </c>
      <c r="C14" s="424"/>
      <c r="D14" s="424"/>
      <c r="E14" s="424"/>
      <c r="F14" s="424"/>
      <c r="G14" s="643">
        <v>1996287.22</v>
      </c>
    </row>
    <row r="15" spans="1:7">
      <c r="B15" s="424"/>
      <c r="C15" s="424"/>
      <c r="D15" s="424"/>
      <c r="E15" s="424"/>
      <c r="F15" s="424"/>
      <c r="G15" s="643"/>
    </row>
    <row r="16" spans="1:7">
      <c r="A16" s="6">
        <v>5</v>
      </c>
      <c r="B16" s="424" t="s">
        <v>2074</v>
      </c>
      <c r="C16" s="424"/>
      <c r="D16" s="424"/>
      <c r="E16" s="424"/>
      <c r="F16" s="424"/>
      <c r="G16" s="643">
        <v>-264059.74</v>
      </c>
    </row>
    <row r="17" spans="1:7" ht="16.5" thickBot="1">
      <c r="B17" s="424"/>
      <c r="C17" s="424"/>
      <c r="D17" s="424"/>
      <c r="E17" s="424"/>
      <c r="F17" s="424"/>
      <c r="G17" s="643"/>
    </row>
    <row r="18" spans="1:7" ht="16.5" thickBot="1">
      <c r="A18" s="6">
        <v>6</v>
      </c>
      <c r="B18" s="6" t="s">
        <v>970</v>
      </c>
      <c r="G18" s="747">
        <f>+G10+G12+G14+G16</f>
        <v>5220091.3623099988</v>
      </c>
    </row>
    <row r="19" spans="1:7" ht="16.5" thickTop="1"/>
    <row r="21" spans="1:7">
      <c r="A21" s="6">
        <v>7</v>
      </c>
      <c r="C21" s="903" t="s">
        <v>2083</v>
      </c>
      <c r="E21" s="6" t="s">
        <v>975</v>
      </c>
      <c r="G21" s="748">
        <f>2625126-104804</f>
        <v>2520322</v>
      </c>
    </row>
    <row r="22" spans="1:7">
      <c r="A22" s="6">
        <v>8</v>
      </c>
      <c r="C22" s="903" t="s">
        <v>2084</v>
      </c>
      <c r="E22" s="6" t="s">
        <v>976</v>
      </c>
      <c r="G22" s="748">
        <f>759405+6847</f>
        <v>766252</v>
      </c>
    </row>
    <row r="23" spans="1:7">
      <c r="A23" s="6">
        <v>9</v>
      </c>
      <c r="C23" s="903" t="s">
        <v>2085</v>
      </c>
      <c r="E23" s="6" t="s">
        <v>977</v>
      </c>
      <c r="G23" s="496">
        <v>1933517</v>
      </c>
    </row>
    <row r="24" spans="1:7">
      <c r="G24" s="749" t="s">
        <v>978</v>
      </c>
    </row>
    <row r="25" spans="1:7">
      <c r="A25" s="6">
        <v>10</v>
      </c>
      <c r="E25" s="6" t="s">
        <v>59</v>
      </c>
      <c r="G25" s="496">
        <f>SUM(G21:G23)</f>
        <v>5220091</v>
      </c>
    </row>
  </sheetData>
  <mergeCells count="5">
    <mergeCell ref="A1:G1"/>
    <mergeCell ref="A2:G2"/>
    <mergeCell ref="A3:G3"/>
    <mergeCell ref="A4:G4"/>
    <mergeCell ref="A5:G5"/>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Z352"/>
  <sheetViews>
    <sheetView view="pageBreakPreview" zoomScale="80" zoomScaleNormal="100" zoomScaleSheetLayoutView="80" workbookViewId="0">
      <selection activeCell="A3" sqref="A3:H3"/>
    </sheetView>
  </sheetViews>
  <sheetFormatPr defaultColWidth="9.140625" defaultRowHeight="15.75"/>
  <cols>
    <col min="1" max="1" width="1" style="6" customWidth="1"/>
    <col min="2" max="2" width="1.5703125" style="6" customWidth="1"/>
    <col min="3" max="3" width="8.7109375" style="895" bestFit="1" customWidth="1"/>
    <col min="4" max="4" width="14.42578125" style="6" customWidth="1"/>
    <col min="5" max="5" width="35.42578125" style="6" customWidth="1"/>
    <col min="6" max="19" width="18" style="6" bestFit="1" customWidth="1"/>
    <col min="20" max="20" width="2.42578125" style="6" customWidth="1"/>
    <col min="21" max="21" width="18" style="8" bestFit="1" customWidth="1"/>
    <col min="22" max="22" width="16.42578125" style="8" customWidth="1"/>
    <col min="23" max="23" width="16.28515625" style="8" bestFit="1" customWidth="1"/>
    <col min="24" max="24" width="17" style="8" bestFit="1" customWidth="1"/>
    <col min="25" max="16384" width="9.140625" style="6"/>
  </cols>
  <sheetData>
    <row r="1" spans="1:26">
      <c r="A1" s="750"/>
      <c r="B1" s="750"/>
      <c r="C1" s="751"/>
      <c r="D1" s="752"/>
      <c r="E1" s="753"/>
      <c r="F1" s="1025" t="s">
        <v>61</v>
      </c>
      <c r="G1" s="1025"/>
      <c r="H1" s="1025"/>
      <c r="I1" s="1025"/>
      <c r="J1" s="5"/>
      <c r="K1" s="5"/>
      <c r="L1" s="5"/>
      <c r="M1" s="753"/>
      <c r="N1" s="753"/>
      <c r="O1" s="753"/>
      <c r="P1" s="1025" t="s">
        <v>61</v>
      </c>
      <c r="Q1" s="1025"/>
      <c r="R1" s="1025"/>
      <c r="S1" s="1025"/>
      <c r="T1" s="1025"/>
      <c r="U1" s="5"/>
      <c r="V1" s="5"/>
      <c r="W1" s="754"/>
      <c r="X1" s="754"/>
      <c r="Y1" s="754"/>
      <c r="Z1" s="755"/>
    </row>
    <row r="2" spans="1:26">
      <c r="A2" s="750"/>
      <c r="B2" s="750"/>
      <c r="C2" s="751"/>
      <c r="D2" s="752"/>
      <c r="E2" s="753"/>
      <c r="F2" s="1025" t="s">
        <v>1690</v>
      </c>
      <c r="G2" s="1025"/>
      <c r="H2" s="1025"/>
      <c r="I2" s="1025"/>
      <c r="J2" s="5"/>
      <c r="K2" s="5"/>
      <c r="L2" s="5"/>
      <c r="M2" s="753"/>
      <c r="N2" s="753"/>
      <c r="O2" s="753"/>
      <c r="P2" s="1025" t="s">
        <v>1690</v>
      </c>
      <c r="Q2" s="1025"/>
      <c r="R2" s="1025"/>
      <c r="S2" s="1025"/>
      <c r="T2" s="1025"/>
      <c r="U2" s="5"/>
      <c r="V2" s="5"/>
      <c r="W2" s="754"/>
      <c r="X2" s="754"/>
      <c r="Y2" s="754"/>
      <c r="Z2" s="755"/>
    </row>
    <row r="3" spans="1:26">
      <c r="A3" s="750"/>
      <c r="B3" s="750"/>
      <c r="C3" s="751"/>
      <c r="D3" s="752"/>
      <c r="E3" s="753"/>
      <c r="F3" s="1025" t="s">
        <v>2161</v>
      </c>
      <c r="G3" s="1025"/>
      <c r="H3" s="1025"/>
      <c r="I3" s="1025"/>
      <c r="J3" s="5"/>
      <c r="K3" s="5"/>
      <c r="L3" s="5"/>
      <c r="M3" s="753"/>
      <c r="N3" s="753"/>
      <c r="O3" s="753"/>
      <c r="P3" s="1025" t="s">
        <v>2161</v>
      </c>
      <c r="Q3" s="1025"/>
      <c r="R3" s="1025"/>
      <c r="S3" s="1025"/>
      <c r="T3" s="1025"/>
      <c r="U3" s="5"/>
      <c r="V3" s="5"/>
      <c r="W3" s="754"/>
      <c r="X3" s="754"/>
      <c r="Y3" s="754"/>
      <c r="Z3" s="755"/>
    </row>
    <row r="4" spans="1:26">
      <c r="A4" s="750"/>
      <c r="B4" s="750"/>
      <c r="C4" s="751"/>
      <c r="D4" s="752"/>
      <c r="E4" s="753"/>
      <c r="F4" s="1025" t="s">
        <v>1986</v>
      </c>
      <c r="G4" s="1025"/>
      <c r="H4" s="1025"/>
      <c r="I4" s="1025"/>
      <c r="J4" s="5"/>
      <c r="K4" s="5"/>
      <c r="L4" s="5"/>
      <c r="M4" s="753"/>
      <c r="N4" s="753"/>
      <c r="O4" s="753"/>
      <c r="P4" s="1025" t="s">
        <v>1986</v>
      </c>
      <c r="Q4" s="1025"/>
      <c r="R4" s="1025"/>
      <c r="S4" s="1025"/>
      <c r="T4" s="1025"/>
      <c r="U4" s="5"/>
      <c r="V4" s="5"/>
      <c r="W4" s="754"/>
      <c r="X4" s="754"/>
      <c r="Y4" s="754"/>
      <c r="Z4" s="755"/>
    </row>
    <row r="5" spans="1:26">
      <c r="A5" s="750"/>
      <c r="B5" s="750"/>
      <c r="C5" s="751"/>
      <c r="D5" s="752"/>
      <c r="E5" s="753"/>
      <c r="F5" s="1025" t="s">
        <v>985</v>
      </c>
      <c r="G5" s="1025"/>
      <c r="H5" s="1025"/>
      <c r="I5" s="1025"/>
      <c r="J5" s="5"/>
      <c r="K5" s="5"/>
      <c r="L5" s="5"/>
      <c r="M5" s="753"/>
      <c r="N5" s="753"/>
      <c r="O5" s="753"/>
      <c r="P5" s="1025" t="s">
        <v>985</v>
      </c>
      <c r="Q5" s="1025"/>
      <c r="R5" s="1025"/>
      <c r="S5" s="1025"/>
      <c r="T5" s="1025"/>
      <c r="U5" s="5"/>
      <c r="V5" s="5"/>
      <c r="W5" s="754"/>
      <c r="X5" s="754"/>
      <c r="Y5" s="754"/>
      <c r="Z5" s="755"/>
    </row>
    <row r="6" spans="1:26">
      <c r="A6" s="750"/>
      <c r="B6" s="750"/>
      <c r="C6" s="751"/>
      <c r="D6" s="752"/>
      <c r="E6" s="756"/>
      <c r="F6" s="1079" t="s">
        <v>2138</v>
      </c>
      <c r="G6" s="1079"/>
      <c r="H6" s="1079"/>
      <c r="I6" s="1079"/>
      <c r="J6" s="756"/>
      <c r="K6" s="756"/>
      <c r="L6" s="756"/>
      <c r="M6" s="756"/>
      <c r="N6" s="756"/>
      <c r="O6" s="756"/>
      <c r="P6" s="1079" t="s">
        <v>2138</v>
      </c>
      <c r="Q6" s="1079"/>
      <c r="R6" s="1079"/>
      <c r="S6" s="1079"/>
      <c r="T6" s="754"/>
      <c r="U6" s="754"/>
      <c r="V6" s="758"/>
      <c r="W6" s="754"/>
      <c r="X6" s="754"/>
      <c r="Y6" s="754"/>
      <c r="Z6" s="755"/>
    </row>
    <row r="7" spans="1:26" s="35" customFormat="1">
      <c r="A7" s="759"/>
      <c r="B7" s="759"/>
      <c r="C7" s="759"/>
      <c r="D7" s="760" t="s">
        <v>1731</v>
      </c>
      <c r="E7" s="759" t="s">
        <v>1729</v>
      </c>
      <c r="F7" s="759" t="s">
        <v>1730</v>
      </c>
      <c r="G7" s="759" t="s">
        <v>1733</v>
      </c>
      <c r="H7" s="759" t="s">
        <v>1734</v>
      </c>
      <c r="I7" s="759" t="s">
        <v>1743</v>
      </c>
      <c r="J7" s="759" t="s">
        <v>1744</v>
      </c>
      <c r="K7" s="759" t="s">
        <v>1745</v>
      </c>
      <c r="L7" s="759" t="s">
        <v>1746</v>
      </c>
      <c r="M7" s="759" t="s">
        <v>1747</v>
      </c>
      <c r="N7" s="759" t="s">
        <v>1748</v>
      </c>
      <c r="O7" s="759" t="s">
        <v>1749</v>
      </c>
      <c r="P7" s="759" t="s">
        <v>1750</v>
      </c>
      <c r="Q7" s="761" t="s">
        <v>1751</v>
      </c>
      <c r="R7" s="759" t="s">
        <v>1752</v>
      </c>
      <c r="S7" s="762" t="s">
        <v>2026</v>
      </c>
      <c r="T7" s="763"/>
      <c r="U7" s="763" t="s">
        <v>2027</v>
      </c>
      <c r="V7" s="763" t="s">
        <v>2028</v>
      </c>
      <c r="W7" s="763" t="s">
        <v>2029</v>
      </c>
      <c r="X7" s="763" t="s">
        <v>2030</v>
      </c>
      <c r="Y7" s="763"/>
      <c r="Z7" s="764"/>
    </row>
    <row r="8" spans="1:26">
      <c r="A8" s="757"/>
      <c r="B8" s="757"/>
      <c r="C8" s="765"/>
      <c r="T8" s="754"/>
      <c r="U8" s="766" t="s">
        <v>400</v>
      </c>
      <c r="V8" s="766" t="s">
        <v>401</v>
      </c>
      <c r="W8" s="766" t="s">
        <v>402</v>
      </c>
      <c r="X8" s="766" t="s">
        <v>403</v>
      </c>
      <c r="Y8" s="754"/>
      <c r="Z8" s="767"/>
    </row>
    <row r="9" spans="1:26">
      <c r="A9" s="751" t="s">
        <v>404</v>
      </c>
      <c r="B9" s="751" t="s">
        <v>405</v>
      </c>
      <c r="C9" s="751" t="s">
        <v>891</v>
      </c>
      <c r="D9" s="768" t="s">
        <v>406</v>
      </c>
      <c r="E9" s="769" t="s">
        <v>382</v>
      </c>
      <c r="F9" s="770" t="s">
        <v>993</v>
      </c>
      <c r="G9" s="770" t="s">
        <v>994</v>
      </c>
      <c r="H9" s="770" t="s">
        <v>995</v>
      </c>
      <c r="I9" s="770" t="s">
        <v>996</v>
      </c>
      <c r="J9" s="770" t="s">
        <v>997</v>
      </c>
      <c r="K9" s="770" t="s">
        <v>998</v>
      </c>
      <c r="L9" s="770" t="s">
        <v>999</v>
      </c>
      <c r="M9" s="770" t="s">
        <v>1000</v>
      </c>
      <c r="N9" s="770" t="s">
        <v>1001</v>
      </c>
      <c r="O9" s="770" t="s">
        <v>1002</v>
      </c>
      <c r="P9" s="770" t="s">
        <v>1003</v>
      </c>
      <c r="Q9" s="770" t="s">
        <v>1004</v>
      </c>
      <c r="R9" s="770" t="s">
        <v>1005</v>
      </c>
      <c r="S9" s="770" t="s">
        <v>1761</v>
      </c>
      <c r="T9" s="754"/>
      <c r="U9" s="771" t="s">
        <v>407</v>
      </c>
      <c r="V9" s="771" t="s">
        <v>408</v>
      </c>
      <c r="W9" s="771" t="s">
        <v>408</v>
      </c>
      <c r="X9" s="771" t="s">
        <v>407</v>
      </c>
      <c r="Y9" s="754"/>
      <c r="Z9" s="767"/>
    </row>
    <row r="10" spans="1:26">
      <c r="A10" s="772"/>
      <c r="B10" s="772"/>
      <c r="C10" s="773">
        <v>1</v>
      </c>
      <c r="D10" s="772"/>
      <c r="E10" s="772"/>
      <c r="F10" s="772"/>
      <c r="G10" s="772"/>
      <c r="H10" s="772"/>
      <c r="I10" s="772"/>
      <c r="J10" s="772"/>
      <c r="K10" s="772"/>
      <c r="L10" s="772"/>
      <c r="M10" s="772"/>
      <c r="N10" s="772"/>
      <c r="O10" s="772"/>
      <c r="P10" s="772"/>
      <c r="Q10" s="772"/>
      <c r="R10" s="772"/>
      <c r="S10" s="772"/>
      <c r="T10" s="772"/>
      <c r="U10" s="772"/>
      <c r="V10" s="772"/>
      <c r="W10" s="772"/>
      <c r="X10" s="772"/>
      <c r="Y10" s="754"/>
      <c r="Z10" s="767"/>
    </row>
    <row r="11" spans="1:26">
      <c r="A11" s="774" t="s">
        <v>409</v>
      </c>
      <c r="B11" s="774" t="s">
        <v>410</v>
      </c>
      <c r="C11" s="775">
        <v>2</v>
      </c>
      <c r="D11" s="776" t="str">
        <f>+A11</f>
        <v>1012</v>
      </c>
      <c r="E11" s="777" t="s">
        <v>411</v>
      </c>
      <c r="F11" s="778">
        <v>841287581.38</v>
      </c>
      <c r="G11" s="779">
        <v>844250997.01999998</v>
      </c>
      <c r="H11" s="780">
        <v>845780274.45000005</v>
      </c>
      <c r="I11" s="780">
        <v>850849571.23000002</v>
      </c>
      <c r="J11" s="781">
        <v>852735883.73000002</v>
      </c>
      <c r="K11" s="782">
        <v>855868544.54999995</v>
      </c>
      <c r="L11" s="783">
        <v>864307499.25999999</v>
      </c>
      <c r="M11" s="784">
        <v>868541029.21000004</v>
      </c>
      <c r="N11" s="785">
        <v>869411162.35000002</v>
      </c>
      <c r="O11" s="786">
        <v>875369750.46000004</v>
      </c>
      <c r="P11" s="787">
        <v>879842689.62</v>
      </c>
      <c r="Q11" s="788">
        <v>881539577.07000005</v>
      </c>
      <c r="R11" s="778">
        <v>889631646.78999996</v>
      </c>
      <c r="S11" s="780">
        <f>((F11+R11)+((G11+H11+I11+J11+K11+L11+M11+N11+O11+P11+Q11)*2))/24</f>
        <v>862829716.08624995</v>
      </c>
      <c r="T11" s="754"/>
      <c r="U11" s="754"/>
      <c r="V11" s="758">
        <f>S11</f>
        <v>862829716.08624995</v>
      </c>
      <c r="W11" s="754"/>
      <c r="X11" s="754"/>
      <c r="Y11" s="767"/>
      <c r="Z11" s="767"/>
    </row>
    <row r="12" spans="1:26">
      <c r="A12" s="774" t="s">
        <v>412</v>
      </c>
      <c r="B12" s="774" t="s">
        <v>410</v>
      </c>
      <c r="C12" s="775">
        <v>3</v>
      </c>
      <c r="D12" s="776" t="str">
        <f>+A12</f>
        <v>1062</v>
      </c>
      <c r="E12" s="777" t="s">
        <v>413</v>
      </c>
      <c r="F12" s="778">
        <v>28896553.829999998</v>
      </c>
      <c r="G12" s="779">
        <v>27565439.219999999</v>
      </c>
      <c r="H12" s="780">
        <v>27308385.52</v>
      </c>
      <c r="I12" s="780">
        <v>25405445.93</v>
      </c>
      <c r="J12" s="781">
        <v>26448610.5</v>
      </c>
      <c r="K12" s="782">
        <v>26356690.800000001</v>
      </c>
      <c r="L12" s="783">
        <v>20673671.899999999</v>
      </c>
      <c r="M12" s="784">
        <v>20158872.41</v>
      </c>
      <c r="N12" s="785">
        <v>31410364.16</v>
      </c>
      <c r="O12" s="786">
        <v>29294995.760000002</v>
      </c>
      <c r="P12" s="787">
        <v>31135493.359999999</v>
      </c>
      <c r="Q12" s="788">
        <v>31619119.32</v>
      </c>
      <c r="R12" s="778">
        <v>33062917.120000001</v>
      </c>
      <c r="S12" s="780">
        <f t="shared" ref="S12:S75" si="0">((F12+R12)+((G12+H12+I12+J12+K12+L12+M12+N12+O12+P12+Q12)*2))/24</f>
        <v>27363068.696249995</v>
      </c>
      <c r="T12" s="754"/>
      <c r="U12" s="754"/>
      <c r="V12" s="758">
        <f>S12</f>
        <v>27363068.696249995</v>
      </c>
      <c r="W12" s="754"/>
      <c r="X12" s="754"/>
      <c r="Y12" s="767"/>
      <c r="Z12" s="767"/>
    </row>
    <row r="13" spans="1:26">
      <c r="A13" s="774" t="s">
        <v>414</v>
      </c>
      <c r="B13" s="774" t="s">
        <v>410</v>
      </c>
      <c r="C13" s="775">
        <v>4</v>
      </c>
      <c r="D13" s="776" t="str">
        <f>A13&amp;"."&amp;B13</f>
        <v>@2:107.*</v>
      </c>
      <c r="E13" s="777" t="s">
        <v>415</v>
      </c>
      <c r="F13" s="778">
        <v>10555875.93</v>
      </c>
      <c r="G13" s="779">
        <v>9501126.4000000004</v>
      </c>
      <c r="H13" s="780">
        <v>10899019.84</v>
      </c>
      <c r="I13" s="780">
        <v>10951252.41</v>
      </c>
      <c r="J13" s="781">
        <v>11303827.66</v>
      </c>
      <c r="K13" s="782">
        <v>13181573.25</v>
      </c>
      <c r="L13" s="783">
        <v>17648079.600000001</v>
      </c>
      <c r="M13" s="784">
        <v>18641573.690000001</v>
      </c>
      <c r="N13" s="785">
        <v>9965389.1699999999</v>
      </c>
      <c r="O13" s="786">
        <v>10944845.09</v>
      </c>
      <c r="P13" s="787">
        <v>11645573.119999999</v>
      </c>
      <c r="Q13" s="788">
        <v>13934906.949999999</v>
      </c>
      <c r="R13" s="778">
        <v>12898869.82</v>
      </c>
      <c r="S13" s="780">
        <f t="shared" si="0"/>
        <v>12528711.671250001</v>
      </c>
      <c r="T13" s="754"/>
      <c r="U13" s="789"/>
      <c r="V13" s="789"/>
      <c r="W13" s="790">
        <f>S13</f>
        <v>12528711.671250001</v>
      </c>
      <c r="X13" s="789"/>
      <c r="Y13" s="767"/>
      <c r="Z13" s="767"/>
    </row>
    <row r="14" spans="1:26">
      <c r="A14" s="774"/>
      <c r="B14" s="774"/>
      <c r="C14" s="775">
        <v>5</v>
      </c>
      <c r="D14" s="776"/>
      <c r="E14" s="777"/>
      <c r="F14" s="791"/>
      <c r="G14" s="792"/>
      <c r="H14" s="793"/>
      <c r="I14" s="793"/>
      <c r="J14" s="794"/>
      <c r="K14" s="795"/>
      <c r="L14" s="796"/>
      <c r="M14" s="797"/>
      <c r="N14" s="798"/>
      <c r="O14" s="799"/>
      <c r="P14" s="800"/>
      <c r="Q14" s="801"/>
      <c r="R14" s="791"/>
      <c r="S14" s="780">
        <f t="shared" si="0"/>
        <v>0</v>
      </c>
      <c r="T14" s="754"/>
      <c r="U14" s="789"/>
      <c r="V14" s="789"/>
      <c r="W14" s="789"/>
      <c r="X14" s="789"/>
      <c r="Y14" s="767"/>
      <c r="Z14" s="767"/>
    </row>
    <row r="15" spans="1:26">
      <c r="A15" s="774"/>
      <c r="B15" s="774"/>
      <c r="C15" s="775">
        <v>6</v>
      </c>
      <c r="D15" s="776"/>
      <c r="E15" s="777" t="s">
        <v>416</v>
      </c>
      <c r="F15" s="802">
        <f>SUM(F11:F14)</f>
        <v>880740011.13999999</v>
      </c>
      <c r="G15" s="802">
        <f t="shared" ref="G15:S15" si="1">SUM(G11:G14)</f>
        <v>881317562.63999999</v>
      </c>
      <c r="H15" s="802">
        <f t="shared" si="1"/>
        <v>883987679.81000006</v>
      </c>
      <c r="I15" s="802">
        <f t="shared" si="1"/>
        <v>887206269.56999993</v>
      </c>
      <c r="J15" s="802">
        <f t="shared" si="1"/>
        <v>890488321.88999999</v>
      </c>
      <c r="K15" s="802">
        <f t="shared" si="1"/>
        <v>895406808.5999999</v>
      </c>
      <c r="L15" s="802">
        <f t="shared" si="1"/>
        <v>902629250.75999999</v>
      </c>
      <c r="M15" s="802">
        <f t="shared" si="1"/>
        <v>907341475.31000006</v>
      </c>
      <c r="N15" s="802">
        <f t="shared" si="1"/>
        <v>910786915.67999995</v>
      </c>
      <c r="O15" s="802">
        <f t="shared" si="1"/>
        <v>915609591.31000006</v>
      </c>
      <c r="P15" s="802">
        <f t="shared" si="1"/>
        <v>922623756.10000002</v>
      </c>
      <c r="Q15" s="802">
        <f t="shared" si="1"/>
        <v>927093603.34000015</v>
      </c>
      <c r="R15" s="802">
        <f t="shared" si="1"/>
        <v>935593433.73000002</v>
      </c>
      <c r="S15" s="802">
        <f t="shared" si="1"/>
        <v>902721496.4537499</v>
      </c>
      <c r="T15" s="754"/>
      <c r="U15" s="789"/>
      <c r="V15" s="789"/>
      <c r="W15" s="789"/>
      <c r="X15" s="789"/>
      <c r="Y15" s="767"/>
      <c r="Z15" s="767"/>
    </row>
    <row r="16" spans="1:26">
      <c r="A16" s="774"/>
      <c r="B16" s="774"/>
      <c r="C16" s="775">
        <v>7</v>
      </c>
      <c r="D16" s="776"/>
      <c r="E16" s="777"/>
      <c r="F16" s="791"/>
      <c r="G16" s="792"/>
      <c r="H16" s="793"/>
      <c r="I16" s="793"/>
      <c r="J16" s="794"/>
      <c r="K16" s="795"/>
      <c r="L16" s="796"/>
      <c r="M16" s="797"/>
      <c r="N16" s="798"/>
      <c r="O16" s="799"/>
      <c r="P16" s="800"/>
      <c r="Q16" s="801"/>
      <c r="R16" s="791"/>
      <c r="S16" s="780">
        <f t="shared" si="0"/>
        <v>0</v>
      </c>
      <c r="T16" s="754"/>
      <c r="U16" s="789"/>
      <c r="V16" s="789"/>
      <c r="W16" s="789"/>
      <c r="X16" s="789"/>
      <c r="Y16" s="767"/>
      <c r="Z16" s="767"/>
    </row>
    <row r="17" spans="1:26">
      <c r="A17" s="774" t="s">
        <v>417</v>
      </c>
      <c r="B17" s="774" t="s">
        <v>418</v>
      </c>
      <c r="C17" s="775">
        <v>8</v>
      </c>
      <c r="D17" s="776" t="str">
        <f>A17&amp;"."&amp;B17</f>
        <v>1082.8</v>
      </c>
      <c r="E17" s="803" t="s">
        <v>419</v>
      </c>
      <c r="F17" s="804">
        <v>686205.96</v>
      </c>
      <c r="G17" s="805">
        <v>829635.6</v>
      </c>
      <c r="H17" s="780">
        <v>771254.68</v>
      </c>
      <c r="I17" s="780">
        <v>524465.69999999995</v>
      </c>
      <c r="J17" s="804">
        <v>698101.21</v>
      </c>
      <c r="K17" s="804">
        <v>830365.63</v>
      </c>
      <c r="L17" s="804">
        <v>887437.96</v>
      </c>
      <c r="M17" s="804">
        <v>780282.77</v>
      </c>
      <c r="N17" s="804">
        <v>1016342.45</v>
      </c>
      <c r="O17" s="806">
        <v>906028.11</v>
      </c>
      <c r="P17" s="804">
        <v>908236.76</v>
      </c>
      <c r="Q17" s="804">
        <v>933863.07</v>
      </c>
      <c r="R17" s="804">
        <v>991503.47</v>
      </c>
      <c r="S17" s="780">
        <f t="shared" si="0"/>
        <v>827072.38791666657</v>
      </c>
      <c r="T17" s="754"/>
      <c r="U17" s="789"/>
      <c r="V17" s="789"/>
      <c r="W17" s="789"/>
      <c r="X17" s="789"/>
      <c r="Y17" s="767"/>
      <c r="Z17" s="767"/>
    </row>
    <row r="18" spans="1:26">
      <c r="A18" s="774" t="s">
        <v>417</v>
      </c>
      <c r="B18" s="774" t="s">
        <v>420</v>
      </c>
      <c r="C18" s="775">
        <v>9</v>
      </c>
      <c r="D18" s="776" t="str">
        <f>+A18</f>
        <v>1082</v>
      </c>
      <c r="E18" s="777" t="s">
        <v>421</v>
      </c>
      <c r="F18" s="778">
        <v>-297303622.94999999</v>
      </c>
      <c r="G18" s="779">
        <v>-298329288.63</v>
      </c>
      <c r="H18" s="780">
        <v>-299555161.89999998</v>
      </c>
      <c r="I18" s="780">
        <v>-300533506.98000002</v>
      </c>
      <c r="J18" s="781">
        <v>-301818176.24000001</v>
      </c>
      <c r="K18" s="782">
        <v>-303247549.05000001</v>
      </c>
      <c r="L18" s="783">
        <v>-304208502.81</v>
      </c>
      <c r="M18" s="784">
        <v>-305547368.5</v>
      </c>
      <c r="N18" s="785">
        <v>-306922056.56</v>
      </c>
      <c r="O18" s="786">
        <v>-308090549.82999998</v>
      </c>
      <c r="P18" s="787">
        <v>-309380893.37</v>
      </c>
      <c r="Q18" s="788">
        <v>-310725873.72000003</v>
      </c>
      <c r="R18" s="778">
        <v>-310640427.29000002</v>
      </c>
      <c r="S18" s="780">
        <f t="shared" si="0"/>
        <v>-304360912.72583336</v>
      </c>
      <c r="T18" s="754"/>
      <c r="U18" s="789"/>
      <c r="V18" s="789"/>
      <c r="W18" s="789"/>
      <c r="X18" s="789"/>
      <c r="Y18" s="767"/>
      <c r="Z18" s="767"/>
    </row>
    <row r="19" spans="1:26">
      <c r="A19" s="774" t="s">
        <v>422</v>
      </c>
      <c r="B19" s="774" t="s">
        <v>410</v>
      </c>
      <c r="C19" s="775">
        <v>10</v>
      </c>
      <c r="D19" s="776" t="str">
        <f>+A19</f>
        <v>1112</v>
      </c>
      <c r="E19" s="777" t="s">
        <v>423</v>
      </c>
      <c r="F19" s="807">
        <v>-8070827.1500000004</v>
      </c>
      <c r="G19" s="808">
        <v>-8314228.7599999998</v>
      </c>
      <c r="H19" s="809">
        <v>-8560523.9900000002</v>
      </c>
      <c r="I19" s="809">
        <v>-8770158.4000000004</v>
      </c>
      <c r="J19" s="810">
        <v>-9007056.4499999993</v>
      </c>
      <c r="K19" s="811">
        <v>-9243688.6899999995</v>
      </c>
      <c r="L19" s="812">
        <v>-9480361.2899999991</v>
      </c>
      <c r="M19" s="813">
        <v>-9701458.4700000007</v>
      </c>
      <c r="N19" s="814">
        <v>-9922555.6500000004</v>
      </c>
      <c r="O19" s="815">
        <v>-10143652.83</v>
      </c>
      <c r="P19" s="816">
        <v>-10365313.029999999</v>
      </c>
      <c r="Q19" s="817">
        <v>-10586166.609999999</v>
      </c>
      <c r="R19" s="807">
        <v>-10807311.550000001</v>
      </c>
      <c r="S19" s="780">
        <f t="shared" si="0"/>
        <v>-9461186.1266666651</v>
      </c>
      <c r="T19" s="754"/>
      <c r="U19" s="789"/>
      <c r="V19" s="789"/>
      <c r="W19" s="789"/>
      <c r="X19" s="789"/>
      <c r="Y19" s="767"/>
      <c r="Z19" s="767"/>
    </row>
    <row r="20" spans="1:26">
      <c r="A20" s="774" t="s">
        <v>424</v>
      </c>
      <c r="B20" s="774" t="s">
        <v>410</v>
      </c>
      <c r="C20" s="775">
        <v>11</v>
      </c>
      <c r="D20" s="774" t="str">
        <f>+A20</f>
        <v>1152</v>
      </c>
      <c r="E20" s="777" t="s">
        <v>425</v>
      </c>
      <c r="F20" s="818">
        <v>0</v>
      </c>
      <c r="G20" s="819">
        <v>0</v>
      </c>
      <c r="H20" s="820">
        <v>0</v>
      </c>
      <c r="I20" s="820">
        <v>0</v>
      </c>
      <c r="J20" s="821">
        <v>0</v>
      </c>
      <c r="K20" s="822">
        <v>0</v>
      </c>
      <c r="L20" s="823">
        <v>0</v>
      </c>
      <c r="M20" s="824">
        <v>0</v>
      </c>
      <c r="N20" s="825">
        <v>0</v>
      </c>
      <c r="O20" s="826">
        <v>0</v>
      </c>
      <c r="P20" s="827">
        <v>0</v>
      </c>
      <c r="Q20" s="828">
        <v>0</v>
      </c>
      <c r="R20" s="818">
        <v>0</v>
      </c>
      <c r="S20" s="780">
        <f t="shared" si="0"/>
        <v>0</v>
      </c>
      <c r="T20" s="754"/>
      <c r="U20" s="789"/>
      <c r="V20" s="789"/>
      <c r="W20" s="789"/>
      <c r="X20" s="789"/>
      <c r="Y20" s="767"/>
      <c r="Z20" s="767"/>
    </row>
    <row r="21" spans="1:26">
      <c r="A21" s="774"/>
      <c r="B21" s="774"/>
      <c r="C21" s="775">
        <v>12</v>
      </c>
      <c r="D21" s="776"/>
      <c r="E21" s="777" t="s">
        <v>426</v>
      </c>
      <c r="F21" s="829">
        <f>SUM(F17:F20)</f>
        <v>-304688244.13999999</v>
      </c>
      <c r="G21" s="829">
        <f t="shared" ref="G21:S21" si="2">SUM(G17:G20)</f>
        <v>-305813881.78999996</v>
      </c>
      <c r="H21" s="829">
        <f t="shared" si="2"/>
        <v>-307344431.20999998</v>
      </c>
      <c r="I21" s="829">
        <f t="shared" si="2"/>
        <v>-308779199.68000001</v>
      </c>
      <c r="J21" s="829">
        <f t="shared" si="2"/>
        <v>-310127131.48000002</v>
      </c>
      <c r="K21" s="829">
        <f t="shared" si="2"/>
        <v>-311660872.11000001</v>
      </c>
      <c r="L21" s="829">
        <f t="shared" si="2"/>
        <v>-312801426.14000005</v>
      </c>
      <c r="M21" s="829">
        <f t="shared" si="2"/>
        <v>-314468544.20000005</v>
      </c>
      <c r="N21" s="829">
        <f t="shared" si="2"/>
        <v>-315828269.75999999</v>
      </c>
      <c r="O21" s="829">
        <f t="shared" si="2"/>
        <v>-317328174.54999995</v>
      </c>
      <c r="P21" s="829">
        <f t="shared" si="2"/>
        <v>-318837969.63999999</v>
      </c>
      <c r="Q21" s="829">
        <f t="shared" si="2"/>
        <v>-320378177.26000005</v>
      </c>
      <c r="R21" s="829">
        <f t="shared" si="2"/>
        <v>-320456235.37</v>
      </c>
      <c r="S21" s="829">
        <f t="shared" si="2"/>
        <v>-312995026.46458334</v>
      </c>
      <c r="T21" s="754"/>
      <c r="U21" s="789"/>
      <c r="V21" s="790"/>
      <c r="W21" s="789"/>
      <c r="X21" s="789"/>
      <c r="Y21" s="767"/>
      <c r="Z21" s="767"/>
    </row>
    <row r="22" spans="1:26">
      <c r="A22" s="774"/>
      <c r="B22" s="774"/>
      <c r="C22" s="775">
        <v>13</v>
      </c>
      <c r="D22" s="776"/>
      <c r="E22" s="777"/>
      <c r="F22" s="791"/>
      <c r="G22" s="792"/>
      <c r="H22" s="793"/>
      <c r="I22" s="793"/>
      <c r="J22" s="794"/>
      <c r="K22" s="795"/>
      <c r="L22" s="796"/>
      <c r="M22" s="797"/>
      <c r="N22" s="798"/>
      <c r="O22" s="799"/>
      <c r="P22" s="800"/>
      <c r="Q22" s="801"/>
      <c r="R22" s="791"/>
      <c r="S22" s="780">
        <f t="shared" si="0"/>
        <v>0</v>
      </c>
      <c r="T22" s="754"/>
      <c r="U22" s="789"/>
      <c r="V22" s="789"/>
      <c r="W22" s="789"/>
      <c r="X22" s="789"/>
      <c r="Y22" s="767"/>
      <c r="Z22" s="767"/>
    </row>
    <row r="23" spans="1:26">
      <c r="A23" s="774" t="s">
        <v>427</v>
      </c>
      <c r="B23" s="774" t="s">
        <v>410</v>
      </c>
      <c r="C23" s="775">
        <v>14</v>
      </c>
      <c r="D23" s="776" t="str">
        <f>+A23</f>
        <v>1087</v>
      </c>
      <c r="E23" s="777" t="s">
        <v>428</v>
      </c>
      <c r="F23" s="778">
        <v>-3106488.9199999701</v>
      </c>
      <c r="G23" s="779">
        <v>-3114831.04</v>
      </c>
      <c r="H23" s="780">
        <v>-3129854.48</v>
      </c>
      <c r="I23" s="780">
        <v>-3101719.66</v>
      </c>
      <c r="J23" s="781">
        <v>-3114986.65</v>
      </c>
      <c r="K23" s="782">
        <v>-3126477.53</v>
      </c>
      <c r="L23" s="783">
        <v>-3141437.98</v>
      </c>
      <c r="M23" s="784">
        <v>-3157143.28</v>
      </c>
      <c r="N23" s="785">
        <v>-3164800.94</v>
      </c>
      <c r="O23" s="786">
        <v>-3176368.87</v>
      </c>
      <c r="P23" s="787">
        <v>-3178448.47</v>
      </c>
      <c r="Q23" s="788">
        <v>-3184113.82</v>
      </c>
      <c r="R23" s="778">
        <v>-3251382.2</v>
      </c>
      <c r="S23" s="780">
        <f t="shared" si="0"/>
        <v>-3147426.523333332</v>
      </c>
      <c r="T23" s="754"/>
      <c r="U23" s="789"/>
      <c r="V23" s="789"/>
      <c r="W23" s="789"/>
      <c r="X23" s="789"/>
      <c r="Y23" s="767"/>
      <c r="Z23" s="767"/>
    </row>
    <row r="24" spans="1:26">
      <c r="A24" s="774" t="s">
        <v>1006</v>
      </c>
      <c r="B24" s="774" t="s">
        <v>410</v>
      </c>
      <c r="C24" s="775">
        <v>15</v>
      </c>
      <c r="D24" s="776" t="str">
        <f>+A24</f>
        <v>1088</v>
      </c>
      <c r="E24" s="778" t="s">
        <v>1007</v>
      </c>
      <c r="F24" s="778">
        <v>-124586801</v>
      </c>
      <c r="G24" s="779">
        <v>-124938981.86</v>
      </c>
      <c r="H24" s="780">
        <v>-125253035.84999999</v>
      </c>
      <c r="I24" s="780">
        <v>-125305836.09999999</v>
      </c>
      <c r="J24" s="781">
        <v>-125700569.34</v>
      </c>
      <c r="K24" s="782">
        <v>-126092534.17</v>
      </c>
      <c r="L24" s="783">
        <v>-126397292.31</v>
      </c>
      <c r="M24" s="784">
        <v>-126779418.34</v>
      </c>
      <c r="N24" s="785">
        <v>-127152785.67</v>
      </c>
      <c r="O24" s="786">
        <v>-127377044.70999999</v>
      </c>
      <c r="P24" s="787">
        <v>-127747360.28</v>
      </c>
      <c r="Q24" s="788">
        <v>-128065696.11</v>
      </c>
      <c r="R24" s="778">
        <v>-129636963.91</v>
      </c>
      <c r="S24" s="780">
        <f t="shared" si="0"/>
        <v>-126493536.43291664</v>
      </c>
      <c r="T24" s="754"/>
      <c r="U24" s="789"/>
      <c r="V24" s="789"/>
      <c r="W24" s="789"/>
      <c r="X24" s="789"/>
      <c r="Y24" s="767"/>
      <c r="Z24" s="767"/>
    </row>
    <row r="25" spans="1:26">
      <c r="A25" s="774"/>
      <c r="B25" s="774"/>
      <c r="C25" s="775">
        <v>16</v>
      </c>
      <c r="D25" s="776"/>
      <c r="E25" s="777" t="s">
        <v>429</v>
      </c>
      <c r="F25" s="830">
        <f>+F23+F24</f>
        <v>-127693289.91999997</v>
      </c>
      <c r="G25" s="830">
        <f t="shared" ref="G25:S25" si="3">+G23+G24</f>
        <v>-128053812.90000001</v>
      </c>
      <c r="H25" s="830">
        <f t="shared" si="3"/>
        <v>-128382890.33</v>
      </c>
      <c r="I25" s="830">
        <f t="shared" si="3"/>
        <v>-128407555.75999999</v>
      </c>
      <c r="J25" s="830">
        <f t="shared" si="3"/>
        <v>-128815555.99000001</v>
      </c>
      <c r="K25" s="830">
        <f t="shared" si="3"/>
        <v>-129219011.7</v>
      </c>
      <c r="L25" s="830">
        <f t="shared" si="3"/>
        <v>-129538730.29000001</v>
      </c>
      <c r="M25" s="830">
        <f t="shared" si="3"/>
        <v>-129936561.62</v>
      </c>
      <c r="N25" s="830">
        <f t="shared" si="3"/>
        <v>-130317586.61</v>
      </c>
      <c r="O25" s="830">
        <f t="shared" si="3"/>
        <v>-130553413.58</v>
      </c>
      <c r="P25" s="830">
        <f t="shared" si="3"/>
        <v>-130925808.75</v>
      </c>
      <c r="Q25" s="830">
        <f t="shared" si="3"/>
        <v>-131249809.92999999</v>
      </c>
      <c r="R25" s="830">
        <f t="shared" si="3"/>
        <v>-132888346.11</v>
      </c>
      <c r="S25" s="830">
        <f t="shared" si="3"/>
        <v>-129640962.95624997</v>
      </c>
      <c r="T25" s="754"/>
      <c r="U25" s="789"/>
      <c r="V25" s="789"/>
      <c r="W25" s="789"/>
      <c r="X25" s="789"/>
      <c r="Y25" s="767"/>
      <c r="Z25" s="767"/>
    </row>
    <row r="26" spans="1:26">
      <c r="A26" s="774"/>
      <c r="B26" s="774"/>
      <c r="C26" s="775">
        <v>17</v>
      </c>
      <c r="D26" s="776"/>
      <c r="E26" s="777"/>
      <c r="F26" s="791"/>
      <c r="G26" s="792"/>
      <c r="H26" s="793"/>
      <c r="I26" s="793"/>
      <c r="J26" s="794"/>
      <c r="K26" s="795"/>
      <c r="L26" s="796"/>
      <c r="M26" s="797"/>
      <c r="N26" s="798"/>
      <c r="O26" s="799"/>
      <c r="P26" s="800"/>
      <c r="Q26" s="801"/>
      <c r="R26" s="791"/>
      <c r="S26" s="780">
        <f t="shared" si="0"/>
        <v>0</v>
      </c>
      <c r="T26" s="754"/>
      <c r="U26" s="789"/>
      <c r="V26" s="789"/>
      <c r="W26" s="789"/>
      <c r="X26" s="789"/>
      <c r="Y26" s="767"/>
      <c r="Z26" s="767"/>
    </row>
    <row r="27" spans="1:26">
      <c r="A27" s="774"/>
      <c r="B27" s="774"/>
      <c r="C27" s="775">
        <v>18</v>
      </c>
      <c r="D27" s="776"/>
      <c r="E27" s="777" t="s">
        <v>430</v>
      </c>
      <c r="F27" s="831">
        <f>+F25+F21</f>
        <v>-432381534.05999994</v>
      </c>
      <c r="G27" s="831">
        <f t="shared" ref="G27:S27" si="4">+G25+G21</f>
        <v>-433867694.68999994</v>
      </c>
      <c r="H27" s="831">
        <f t="shared" si="4"/>
        <v>-435727321.53999996</v>
      </c>
      <c r="I27" s="831">
        <f t="shared" si="4"/>
        <v>-437186755.44</v>
      </c>
      <c r="J27" s="831">
        <f t="shared" si="4"/>
        <v>-438942687.47000003</v>
      </c>
      <c r="K27" s="831">
        <f t="shared" si="4"/>
        <v>-440879883.81</v>
      </c>
      <c r="L27" s="831">
        <f t="shared" si="4"/>
        <v>-442340156.43000007</v>
      </c>
      <c r="M27" s="831">
        <f t="shared" si="4"/>
        <v>-444405105.82000005</v>
      </c>
      <c r="N27" s="831">
        <f t="shared" si="4"/>
        <v>-446145856.37</v>
      </c>
      <c r="O27" s="831">
        <f t="shared" si="4"/>
        <v>-447881588.12999994</v>
      </c>
      <c r="P27" s="831">
        <f t="shared" si="4"/>
        <v>-449763778.38999999</v>
      </c>
      <c r="Q27" s="831">
        <f t="shared" si="4"/>
        <v>-451627987.19000006</v>
      </c>
      <c r="R27" s="831">
        <f t="shared" si="4"/>
        <v>-453344581.48000002</v>
      </c>
      <c r="S27" s="831">
        <f t="shared" si="4"/>
        <v>-442635989.42083329</v>
      </c>
      <c r="T27" s="754"/>
      <c r="U27" s="789"/>
      <c r="V27" s="790">
        <f>S27</f>
        <v>-442635989.42083329</v>
      </c>
      <c r="W27" s="789"/>
      <c r="X27" s="789"/>
      <c r="Y27" s="767"/>
      <c r="Z27" s="767"/>
    </row>
    <row r="28" spans="1:26">
      <c r="A28" s="774"/>
      <c r="B28" s="774"/>
      <c r="C28" s="775">
        <v>19</v>
      </c>
      <c r="D28" s="776"/>
      <c r="E28" s="832"/>
      <c r="F28" s="833"/>
      <c r="G28" s="834"/>
      <c r="H28" s="835"/>
      <c r="I28" s="835"/>
      <c r="J28" s="836"/>
      <c r="K28" s="837"/>
      <c r="L28" s="838"/>
      <c r="M28" s="839"/>
      <c r="N28" s="840"/>
      <c r="O28" s="841"/>
      <c r="P28" s="842"/>
      <c r="Q28" s="843"/>
      <c r="R28" s="833"/>
      <c r="S28" s="780">
        <f t="shared" si="0"/>
        <v>0</v>
      </c>
      <c r="T28" s="754"/>
      <c r="U28" s="789"/>
      <c r="V28" s="789"/>
      <c r="W28" s="789"/>
      <c r="X28" s="789"/>
      <c r="Y28" s="767"/>
      <c r="Z28" s="767"/>
    </row>
    <row r="29" spans="1:26">
      <c r="A29" s="774"/>
      <c r="B29" s="774"/>
      <c r="C29" s="775">
        <v>20</v>
      </c>
      <c r="D29" s="776"/>
      <c r="E29" s="832" t="s">
        <v>431</v>
      </c>
      <c r="F29" s="844">
        <f>+F15+F27</f>
        <v>448358477.08000004</v>
      </c>
      <c r="G29" s="844">
        <f t="shared" ref="G29:S29" si="5">+G15+G27</f>
        <v>447449867.95000005</v>
      </c>
      <c r="H29" s="844">
        <f t="shared" si="5"/>
        <v>448260358.2700001</v>
      </c>
      <c r="I29" s="844">
        <f t="shared" si="5"/>
        <v>450019514.12999994</v>
      </c>
      <c r="J29" s="844">
        <f t="shared" si="5"/>
        <v>451545634.41999996</v>
      </c>
      <c r="K29" s="844">
        <f t="shared" si="5"/>
        <v>454526924.7899999</v>
      </c>
      <c r="L29" s="844">
        <f t="shared" si="5"/>
        <v>460289094.32999992</v>
      </c>
      <c r="M29" s="844">
        <f t="shared" si="5"/>
        <v>462936369.49000001</v>
      </c>
      <c r="N29" s="844">
        <f t="shared" si="5"/>
        <v>464641059.30999994</v>
      </c>
      <c r="O29" s="844">
        <f t="shared" si="5"/>
        <v>467728003.18000013</v>
      </c>
      <c r="P29" s="844">
        <f t="shared" si="5"/>
        <v>472859977.71000004</v>
      </c>
      <c r="Q29" s="844">
        <f t="shared" si="5"/>
        <v>475465616.1500001</v>
      </c>
      <c r="R29" s="844">
        <f t="shared" si="5"/>
        <v>482248852.25</v>
      </c>
      <c r="S29" s="844">
        <f t="shared" si="5"/>
        <v>460085507.03291661</v>
      </c>
      <c r="T29" s="754"/>
      <c r="U29" s="789"/>
      <c r="V29" s="789"/>
      <c r="W29" s="789"/>
      <c r="X29" s="789"/>
      <c r="Y29" s="767"/>
      <c r="Z29" s="767"/>
    </row>
    <row r="30" spans="1:26">
      <c r="A30" s="774"/>
      <c r="B30" s="774"/>
      <c r="C30" s="775">
        <v>21</v>
      </c>
      <c r="D30" s="776"/>
      <c r="E30" s="832"/>
      <c r="F30" s="791"/>
      <c r="G30" s="792"/>
      <c r="H30" s="793"/>
      <c r="I30" s="793"/>
      <c r="J30" s="794"/>
      <c r="K30" s="795"/>
      <c r="L30" s="796"/>
      <c r="M30" s="797"/>
      <c r="N30" s="798"/>
      <c r="O30" s="799"/>
      <c r="P30" s="800"/>
      <c r="Q30" s="801"/>
      <c r="R30" s="791"/>
      <c r="S30" s="780">
        <f t="shared" si="0"/>
        <v>0</v>
      </c>
      <c r="T30" s="754"/>
      <c r="U30" s="789"/>
      <c r="V30" s="789"/>
      <c r="W30" s="789"/>
      <c r="X30" s="789"/>
      <c r="Y30" s="767"/>
      <c r="Z30" s="767"/>
    </row>
    <row r="31" spans="1:26">
      <c r="A31" s="774" t="s">
        <v>432</v>
      </c>
      <c r="B31" s="774" t="s">
        <v>410</v>
      </c>
      <c r="C31" s="775">
        <v>22</v>
      </c>
      <c r="D31" s="776" t="str">
        <f>+A31</f>
        <v>1231</v>
      </c>
      <c r="E31" s="777" t="s">
        <v>433</v>
      </c>
      <c r="F31" s="778">
        <v>0</v>
      </c>
      <c r="G31" s="779">
        <v>0</v>
      </c>
      <c r="H31" s="780">
        <v>0</v>
      </c>
      <c r="I31" s="780">
        <v>0</v>
      </c>
      <c r="J31" s="781">
        <v>0</v>
      </c>
      <c r="K31" s="782">
        <v>0</v>
      </c>
      <c r="L31" s="783">
        <v>0</v>
      </c>
      <c r="M31" s="784">
        <v>0</v>
      </c>
      <c r="N31" s="785">
        <v>0</v>
      </c>
      <c r="O31" s="786">
        <v>0</v>
      </c>
      <c r="P31" s="787">
        <v>0</v>
      </c>
      <c r="Q31" s="788">
        <v>0</v>
      </c>
      <c r="R31" s="778">
        <v>0</v>
      </c>
      <c r="S31" s="780">
        <f t="shared" si="0"/>
        <v>0</v>
      </c>
      <c r="T31" s="754"/>
      <c r="U31" s="789"/>
      <c r="V31" s="789"/>
      <c r="W31" s="789"/>
      <c r="X31" s="789"/>
      <c r="Y31" s="767"/>
      <c r="Z31" s="767"/>
    </row>
    <row r="32" spans="1:26">
      <c r="A32" s="774"/>
      <c r="B32" s="774"/>
      <c r="C32" s="775">
        <v>23</v>
      </c>
      <c r="D32" s="776"/>
      <c r="E32" s="832"/>
      <c r="F32" s="791"/>
      <c r="G32" s="792"/>
      <c r="H32" s="793"/>
      <c r="I32" s="793"/>
      <c r="J32" s="794"/>
      <c r="K32" s="795"/>
      <c r="L32" s="796"/>
      <c r="M32" s="797"/>
      <c r="N32" s="798"/>
      <c r="O32" s="799"/>
      <c r="P32" s="800"/>
      <c r="Q32" s="801"/>
      <c r="R32" s="791"/>
      <c r="S32" s="780">
        <f t="shared" si="0"/>
        <v>0</v>
      </c>
      <c r="T32" s="754"/>
      <c r="U32" s="789"/>
      <c r="V32" s="789"/>
      <c r="W32" s="789"/>
      <c r="X32" s="789"/>
      <c r="Y32" s="767"/>
      <c r="Z32" s="767"/>
    </row>
    <row r="33" spans="1:26">
      <c r="A33" s="774"/>
      <c r="B33" s="774"/>
      <c r="C33" s="775">
        <v>24</v>
      </c>
      <c r="D33" s="776"/>
      <c r="E33" s="832" t="s">
        <v>434</v>
      </c>
      <c r="F33" s="802">
        <f>+F31</f>
        <v>0</v>
      </c>
      <c r="G33" s="845">
        <v>0</v>
      </c>
      <c r="H33" s="846">
        <v>0</v>
      </c>
      <c r="I33" s="846">
        <v>0</v>
      </c>
      <c r="J33" s="847">
        <v>0</v>
      </c>
      <c r="K33" s="848">
        <v>0</v>
      </c>
      <c r="L33" s="849">
        <v>0</v>
      </c>
      <c r="M33" s="850">
        <v>0</v>
      </c>
      <c r="N33" s="851">
        <v>0</v>
      </c>
      <c r="O33" s="852">
        <v>0</v>
      </c>
      <c r="P33" s="853">
        <v>0</v>
      </c>
      <c r="Q33" s="854">
        <v>0</v>
      </c>
      <c r="R33" s="802">
        <v>0</v>
      </c>
      <c r="S33" s="780">
        <f t="shared" si="0"/>
        <v>0</v>
      </c>
      <c r="T33" s="754"/>
      <c r="U33" s="789"/>
      <c r="V33" s="789"/>
      <c r="W33" s="789"/>
      <c r="X33" s="789"/>
      <c r="Y33" s="767"/>
      <c r="Z33" s="767"/>
    </row>
    <row r="34" spans="1:26">
      <c r="A34" s="774"/>
      <c r="B34" s="774"/>
      <c r="C34" s="775">
        <v>25</v>
      </c>
      <c r="D34" s="776"/>
      <c r="E34" s="832"/>
      <c r="F34" s="778"/>
      <c r="G34" s="779"/>
      <c r="H34" s="780"/>
      <c r="I34" s="780"/>
      <c r="J34" s="781"/>
      <c r="K34" s="782"/>
      <c r="L34" s="783"/>
      <c r="M34" s="784"/>
      <c r="N34" s="785"/>
      <c r="O34" s="786"/>
      <c r="P34" s="787"/>
      <c r="Q34" s="788"/>
      <c r="R34" s="778"/>
      <c r="S34" s="780">
        <f t="shared" si="0"/>
        <v>0</v>
      </c>
      <c r="T34" s="754"/>
      <c r="U34" s="789"/>
      <c r="V34" s="789"/>
      <c r="W34" s="789"/>
      <c r="X34" s="789"/>
      <c r="Y34" s="767"/>
      <c r="Z34" s="767"/>
    </row>
    <row r="35" spans="1:26">
      <c r="A35" s="774" t="s">
        <v>435</v>
      </c>
      <c r="B35" s="774" t="s">
        <v>410</v>
      </c>
      <c r="C35" s="775">
        <v>26</v>
      </c>
      <c r="D35" s="776" t="s">
        <v>436</v>
      </c>
      <c r="E35" s="777" t="s">
        <v>437</v>
      </c>
      <c r="F35" s="778">
        <v>10440344.33</v>
      </c>
      <c r="G35" s="779">
        <v>10405591.74</v>
      </c>
      <c r="H35" s="780">
        <v>10429989.75</v>
      </c>
      <c r="I35" s="780">
        <v>10572999.300000001</v>
      </c>
      <c r="J35" s="781">
        <v>10589120.779999999</v>
      </c>
      <c r="K35" s="782">
        <v>10617181.02</v>
      </c>
      <c r="L35" s="783">
        <v>10713771.609999999</v>
      </c>
      <c r="M35" s="784">
        <v>10797331.810000001</v>
      </c>
      <c r="N35" s="785">
        <v>10792682.289999999</v>
      </c>
      <c r="O35" s="786">
        <v>10946112.279999999</v>
      </c>
      <c r="P35" s="787">
        <v>10858631.279999999</v>
      </c>
      <c r="Q35" s="788">
        <v>10843104.140000001</v>
      </c>
      <c r="R35" s="778">
        <v>10932832.17</v>
      </c>
      <c r="S35" s="780">
        <f t="shared" si="0"/>
        <v>10687758.687500002</v>
      </c>
      <c r="T35" s="754"/>
      <c r="U35" s="789"/>
      <c r="V35" s="789"/>
      <c r="W35" s="790">
        <f>S35</f>
        <v>10687758.687500002</v>
      </c>
      <c r="X35" s="790"/>
      <c r="Y35" s="767"/>
      <c r="Z35" s="767"/>
    </row>
    <row r="36" spans="1:26">
      <c r="A36" s="774" t="s">
        <v>438</v>
      </c>
      <c r="B36" s="774" t="s">
        <v>410</v>
      </c>
      <c r="C36" s="775">
        <v>27</v>
      </c>
      <c r="D36" s="776" t="str">
        <f>+A36</f>
        <v>1210</v>
      </c>
      <c r="E36" s="777" t="s">
        <v>439</v>
      </c>
      <c r="F36" s="778">
        <v>202030.18</v>
      </c>
      <c r="G36" s="779">
        <v>202030.18</v>
      </c>
      <c r="H36" s="780">
        <v>202030.18</v>
      </c>
      <c r="I36" s="780">
        <v>202030.18</v>
      </c>
      <c r="J36" s="781">
        <v>202030.18</v>
      </c>
      <c r="K36" s="782">
        <v>202030.18</v>
      </c>
      <c r="L36" s="783">
        <v>202030.18</v>
      </c>
      <c r="M36" s="784">
        <v>202030.18</v>
      </c>
      <c r="N36" s="785">
        <v>202030.18</v>
      </c>
      <c r="O36" s="786">
        <v>202030.18</v>
      </c>
      <c r="P36" s="787">
        <v>202030.18</v>
      </c>
      <c r="Q36" s="788">
        <v>202030.18</v>
      </c>
      <c r="R36" s="778">
        <v>202030.18</v>
      </c>
      <c r="S36" s="780">
        <f t="shared" si="0"/>
        <v>202030.17999999996</v>
      </c>
      <c r="T36" s="754"/>
      <c r="U36" s="789"/>
      <c r="V36" s="789"/>
      <c r="W36" s="790">
        <f>S36</f>
        <v>202030.17999999996</v>
      </c>
      <c r="X36" s="789"/>
      <c r="Y36" s="767"/>
      <c r="Z36" s="767"/>
    </row>
    <row r="37" spans="1:26">
      <c r="A37" s="774" t="s">
        <v>440</v>
      </c>
      <c r="B37" s="774" t="s">
        <v>410</v>
      </c>
      <c r="C37" s="775">
        <v>28</v>
      </c>
      <c r="D37" s="776" t="str">
        <f>+A37</f>
        <v>1220</v>
      </c>
      <c r="E37" s="777" t="s">
        <v>441</v>
      </c>
      <c r="F37" s="778">
        <v>0</v>
      </c>
      <c r="G37" s="779">
        <v>0</v>
      </c>
      <c r="H37" s="780">
        <v>0</v>
      </c>
      <c r="I37" s="780">
        <v>0</v>
      </c>
      <c r="J37" s="781">
        <v>0</v>
      </c>
      <c r="K37" s="782">
        <v>0</v>
      </c>
      <c r="L37" s="783">
        <v>0</v>
      </c>
      <c r="M37" s="784">
        <v>0</v>
      </c>
      <c r="N37" s="785">
        <v>0</v>
      </c>
      <c r="O37" s="786">
        <v>0</v>
      </c>
      <c r="P37" s="787">
        <v>0</v>
      </c>
      <c r="Q37" s="788">
        <v>0</v>
      </c>
      <c r="R37" s="778">
        <v>0</v>
      </c>
      <c r="S37" s="780">
        <f t="shared" si="0"/>
        <v>0</v>
      </c>
      <c r="T37" s="754"/>
      <c r="U37" s="789"/>
      <c r="V37" s="789"/>
      <c r="W37" s="789"/>
      <c r="X37" s="789"/>
      <c r="Y37" s="767"/>
      <c r="Z37" s="767"/>
    </row>
    <row r="38" spans="1:26">
      <c r="A38" s="774"/>
      <c r="B38" s="774"/>
      <c r="C38" s="775">
        <v>29</v>
      </c>
      <c r="D38" s="776"/>
      <c r="E38" s="832"/>
      <c r="F38" s="791"/>
      <c r="G38" s="792"/>
      <c r="H38" s="793"/>
      <c r="I38" s="793"/>
      <c r="J38" s="794"/>
      <c r="K38" s="795"/>
      <c r="L38" s="796"/>
      <c r="M38" s="797"/>
      <c r="N38" s="798"/>
      <c r="O38" s="799"/>
      <c r="P38" s="800"/>
      <c r="Q38" s="801"/>
      <c r="R38" s="791"/>
      <c r="S38" s="780">
        <f t="shared" si="0"/>
        <v>0</v>
      </c>
      <c r="T38" s="754"/>
      <c r="U38" s="789"/>
      <c r="V38" s="789"/>
      <c r="W38" s="789"/>
      <c r="X38" s="789"/>
      <c r="Y38" s="767"/>
      <c r="Z38" s="767"/>
    </row>
    <row r="39" spans="1:26">
      <c r="A39" s="774"/>
      <c r="B39" s="774"/>
      <c r="C39" s="775">
        <v>30</v>
      </c>
      <c r="D39" s="776"/>
      <c r="E39" s="832" t="s">
        <v>442</v>
      </c>
      <c r="F39" s="802">
        <f>SUM(F35:F37)</f>
        <v>10642374.51</v>
      </c>
      <c r="G39" s="802">
        <f t="shared" ref="G39:S39" si="6">SUM(G35:G37)</f>
        <v>10607621.92</v>
      </c>
      <c r="H39" s="802">
        <f t="shared" si="6"/>
        <v>10632019.93</v>
      </c>
      <c r="I39" s="802">
        <f t="shared" si="6"/>
        <v>10775029.48</v>
      </c>
      <c r="J39" s="802">
        <f t="shared" si="6"/>
        <v>10791150.959999999</v>
      </c>
      <c r="K39" s="802">
        <f t="shared" si="6"/>
        <v>10819211.199999999</v>
      </c>
      <c r="L39" s="802">
        <f t="shared" si="6"/>
        <v>10915801.789999999</v>
      </c>
      <c r="M39" s="802">
        <f t="shared" si="6"/>
        <v>10999361.99</v>
      </c>
      <c r="N39" s="802">
        <f t="shared" si="6"/>
        <v>10994712.469999999</v>
      </c>
      <c r="O39" s="802">
        <f t="shared" si="6"/>
        <v>11148142.459999999</v>
      </c>
      <c r="P39" s="802">
        <f t="shared" si="6"/>
        <v>11060661.459999999</v>
      </c>
      <c r="Q39" s="802">
        <f t="shared" si="6"/>
        <v>11045134.32</v>
      </c>
      <c r="R39" s="802">
        <f t="shared" si="6"/>
        <v>11134862.35</v>
      </c>
      <c r="S39" s="802">
        <f t="shared" si="6"/>
        <v>10889788.867500002</v>
      </c>
      <c r="T39" s="754"/>
      <c r="U39" s="789"/>
      <c r="V39" s="789"/>
      <c r="W39" s="790"/>
      <c r="X39" s="789"/>
      <c r="Y39" s="767"/>
      <c r="Z39" s="767"/>
    </row>
    <row r="40" spans="1:26">
      <c r="A40" s="774"/>
      <c r="B40" s="774"/>
      <c r="C40" s="775">
        <v>31</v>
      </c>
      <c r="D40" s="776"/>
      <c r="E40" s="832"/>
      <c r="F40" s="778"/>
      <c r="G40" s="779"/>
      <c r="H40" s="780"/>
      <c r="I40" s="780"/>
      <c r="J40" s="781"/>
      <c r="K40" s="782"/>
      <c r="L40" s="783"/>
      <c r="M40" s="784"/>
      <c r="N40" s="785"/>
      <c r="O40" s="786"/>
      <c r="P40" s="787"/>
      <c r="Q40" s="788"/>
      <c r="R40" s="778"/>
      <c r="S40" s="780">
        <f t="shared" si="0"/>
        <v>0</v>
      </c>
      <c r="T40" s="754"/>
      <c r="U40" s="789"/>
      <c r="V40" s="789"/>
      <c r="W40" s="789"/>
      <c r="X40" s="789"/>
      <c r="Y40" s="767"/>
      <c r="Z40" s="767"/>
    </row>
    <row r="41" spans="1:26">
      <c r="A41" s="774" t="s">
        <v>443</v>
      </c>
      <c r="B41" s="774" t="s">
        <v>410</v>
      </c>
      <c r="C41" s="775">
        <v>32</v>
      </c>
      <c r="D41" s="776">
        <v>0</v>
      </c>
      <c r="E41" s="777" t="s">
        <v>444</v>
      </c>
      <c r="F41" s="778">
        <v>31796378.109999999</v>
      </c>
      <c r="G41" s="779">
        <v>33637701.130000003</v>
      </c>
      <c r="H41" s="780">
        <v>44807487.329999998</v>
      </c>
      <c r="I41" s="780">
        <v>52398976.439999998</v>
      </c>
      <c r="J41" s="781">
        <v>49576190.109999999</v>
      </c>
      <c r="K41" s="782">
        <v>48951604.280000001</v>
      </c>
      <c r="L41" s="783">
        <v>45625476.759999998</v>
      </c>
      <c r="M41" s="784">
        <v>37997660.950000003</v>
      </c>
      <c r="N41" s="785">
        <v>29727244.120000001</v>
      </c>
      <c r="O41" s="786">
        <v>20012518.899999999</v>
      </c>
      <c r="P41" s="787">
        <v>15883490.439999999</v>
      </c>
      <c r="Q41" s="788">
        <v>8440571.4900000002</v>
      </c>
      <c r="R41" s="778">
        <v>3539112.52</v>
      </c>
      <c r="S41" s="780">
        <f t="shared" si="0"/>
        <v>33727222.272083335</v>
      </c>
      <c r="T41" s="754"/>
      <c r="U41" s="789"/>
      <c r="V41" s="789"/>
      <c r="W41" s="789"/>
      <c r="X41" s="789"/>
      <c r="Y41" s="767"/>
      <c r="Z41" s="767"/>
    </row>
    <row r="42" spans="1:26">
      <c r="A42" s="774" t="s">
        <v>445</v>
      </c>
      <c r="B42" s="774" t="s">
        <v>446</v>
      </c>
      <c r="C42" s="775">
        <v>33</v>
      </c>
      <c r="D42" s="776" t="str">
        <f>A42&amp;"."&amp;B42</f>
        <v>1340.1*</v>
      </c>
      <c r="E42" s="777" t="s">
        <v>447</v>
      </c>
      <c r="F42" s="778">
        <v>0</v>
      </c>
      <c r="G42" s="779">
        <v>0</v>
      </c>
      <c r="H42" s="780">
        <v>0</v>
      </c>
      <c r="I42" s="780">
        <v>0</v>
      </c>
      <c r="J42" s="781">
        <v>0</v>
      </c>
      <c r="K42" s="782">
        <v>0</v>
      </c>
      <c r="L42" s="783">
        <v>0</v>
      </c>
      <c r="M42" s="784">
        <v>0</v>
      </c>
      <c r="N42" s="785">
        <v>0</v>
      </c>
      <c r="O42" s="786">
        <v>0</v>
      </c>
      <c r="P42" s="787">
        <v>0</v>
      </c>
      <c r="Q42" s="788">
        <v>0</v>
      </c>
      <c r="R42" s="778">
        <v>0</v>
      </c>
      <c r="S42" s="780">
        <f t="shared" si="0"/>
        <v>0</v>
      </c>
      <c r="T42" s="754"/>
      <c r="U42" s="789"/>
      <c r="V42" s="789"/>
      <c r="W42" s="789"/>
      <c r="X42" s="789"/>
      <c r="Y42" s="767"/>
      <c r="Z42" s="767"/>
    </row>
    <row r="43" spans="1:26">
      <c r="A43" s="774" t="s">
        <v>448</v>
      </c>
      <c r="B43" s="774" t="s">
        <v>410</v>
      </c>
      <c r="C43" s="775">
        <v>34</v>
      </c>
      <c r="D43" s="776" t="str">
        <f>+A43</f>
        <v>1350</v>
      </c>
      <c r="E43" s="777" t="s">
        <v>449</v>
      </c>
      <c r="F43" s="807">
        <v>2700</v>
      </c>
      <c r="G43" s="779">
        <v>2700</v>
      </c>
      <c r="H43" s="809">
        <v>2700</v>
      </c>
      <c r="I43" s="809">
        <v>2700</v>
      </c>
      <c r="J43" s="810">
        <v>2700</v>
      </c>
      <c r="K43" s="811">
        <v>2700</v>
      </c>
      <c r="L43" s="812">
        <v>2700</v>
      </c>
      <c r="M43" s="813">
        <v>2700</v>
      </c>
      <c r="N43" s="814">
        <v>2700</v>
      </c>
      <c r="O43" s="815">
        <v>2700</v>
      </c>
      <c r="P43" s="816">
        <v>2700</v>
      </c>
      <c r="Q43" s="788">
        <v>2700</v>
      </c>
      <c r="R43" s="807">
        <v>2750</v>
      </c>
      <c r="S43" s="780">
        <f t="shared" si="0"/>
        <v>2702.0833333333335</v>
      </c>
      <c r="T43" s="754"/>
      <c r="U43" s="789"/>
      <c r="V43" s="789"/>
      <c r="W43" s="789"/>
      <c r="X43" s="789"/>
      <c r="Y43" s="767"/>
      <c r="Z43" s="767"/>
    </row>
    <row r="44" spans="1:26">
      <c r="A44" s="774"/>
      <c r="B44" s="774"/>
      <c r="C44" s="775">
        <v>35</v>
      </c>
      <c r="D44" s="776"/>
      <c r="E44" s="832"/>
      <c r="F44" s="791"/>
      <c r="G44" s="792"/>
      <c r="H44" s="793"/>
      <c r="I44" s="793"/>
      <c r="J44" s="794"/>
      <c r="K44" s="795"/>
      <c r="L44" s="796"/>
      <c r="M44" s="797"/>
      <c r="N44" s="798"/>
      <c r="O44" s="799"/>
      <c r="P44" s="800"/>
      <c r="Q44" s="801"/>
      <c r="R44" s="791"/>
      <c r="S44" s="780">
        <f t="shared" si="0"/>
        <v>0</v>
      </c>
      <c r="T44" s="754"/>
      <c r="U44" s="789"/>
      <c r="V44" s="789"/>
      <c r="W44" s="789"/>
      <c r="X44" s="789"/>
      <c r="Y44" s="767"/>
      <c r="Z44" s="767"/>
    </row>
    <row r="45" spans="1:26">
      <c r="A45" s="774"/>
      <c r="B45" s="774"/>
      <c r="C45" s="775">
        <v>36</v>
      </c>
      <c r="D45" s="776"/>
      <c r="E45" s="832" t="s">
        <v>450</v>
      </c>
      <c r="F45" s="802">
        <f>SUM(F41:F43)</f>
        <v>31799078.109999999</v>
      </c>
      <c r="G45" s="802">
        <f t="shared" ref="G45:S45" si="7">SUM(G41:G43)</f>
        <v>33640401.130000003</v>
      </c>
      <c r="H45" s="802">
        <f t="shared" si="7"/>
        <v>44810187.329999998</v>
      </c>
      <c r="I45" s="802">
        <f t="shared" si="7"/>
        <v>52401676.439999998</v>
      </c>
      <c r="J45" s="802">
        <f t="shared" si="7"/>
        <v>49578890.109999999</v>
      </c>
      <c r="K45" s="802">
        <f t="shared" si="7"/>
        <v>48954304.280000001</v>
      </c>
      <c r="L45" s="802">
        <f t="shared" si="7"/>
        <v>45628176.759999998</v>
      </c>
      <c r="M45" s="802">
        <f t="shared" si="7"/>
        <v>38000360.950000003</v>
      </c>
      <c r="N45" s="802">
        <f t="shared" si="7"/>
        <v>29729944.120000001</v>
      </c>
      <c r="O45" s="802">
        <f t="shared" si="7"/>
        <v>20015218.899999999</v>
      </c>
      <c r="P45" s="802">
        <f t="shared" si="7"/>
        <v>15886190.439999999</v>
      </c>
      <c r="Q45" s="802">
        <f t="shared" si="7"/>
        <v>8443271.4900000002</v>
      </c>
      <c r="R45" s="802">
        <f t="shared" si="7"/>
        <v>3541862.52</v>
      </c>
      <c r="S45" s="802">
        <f t="shared" si="7"/>
        <v>33729924.35541667</v>
      </c>
      <c r="T45" s="754"/>
      <c r="U45" s="789"/>
      <c r="V45" s="789"/>
      <c r="W45" s="789"/>
      <c r="X45" s="790">
        <f>S45</f>
        <v>33729924.35541667</v>
      </c>
      <c r="Y45" s="767"/>
      <c r="Z45" s="767"/>
    </row>
    <row r="46" spans="1:26">
      <c r="A46" s="774"/>
      <c r="B46" s="774"/>
      <c r="C46" s="775">
        <v>37</v>
      </c>
      <c r="D46" s="776"/>
      <c r="E46" s="832"/>
      <c r="F46" s="778"/>
      <c r="G46" s="779"/>
      <c r="H46" s="780"/>
      <c r="I46" s="780"/>
      <c r="J46" s="781"/>
      <c r="K46" s="782"/>
      <c r="L46" s="783"/>
      <c r="M46" s="784"/>
      <c r="N46" s="785"/>
      <c r="O46" s="786"/>
      <c r="P46" s="787"/>
      <c r="Q46" s="788"/>
      <c r="R46" s="778"/>
      <c r="S46" s="780">
        <f t="shared" si="0"/>
        <v>0</v>
      </c>
      <c r="T46" s="754"/>
      <c r="U46" s="789"/>
      <c r="V46" s="789"/>
      <c r="W46" s="789"/>
      <c r="X46" s="789"/>
      <c r="Y46" s="767"/>
      <c r="Z46" s="767"/>
    </row>
    <row r="47" spans="1:26">
      <c r="A47" s="774" t="s">
        <v>451</v>
      </c>
      <c r="B47" s="774" t="s">
        <v>410</v>
      </c>
      <c r="C47" s="775">
        <v>38</v>
      </c>
      <c r="D47" s="776" t="str">
        <f>+A47</f>
        <v>1360</v>
      </c>
      <c r="E47" s="777" t="s">
        <v>452</v>
      </c>
      <c r="F47" s="778">
        <v>0</v>
      </c>
      <c r="G47" s="779">
        <v>0</v>
      </c>
      <c r="H47" s="780">
        <v>0</v>
      </c>
      <c r="I47" s="780">
        <v>0</v>
      </c>
      <c r="J47" s="781">
        <v>0</v>
      </c>
      <c r="K47" s="782">
        <v>0</v>
      </c>
      <c r="L47" s="783">
        <v>0</v>
      </c>
      <c r="M47" s="784">
        <v>0</v>
      </c>
      <c r="N47" s="785">
        <v>0</v>
      </c>
      <c r="O47" s="786">
        <v>0</v>
      </c>
      <c r="P47" s="787">
        <v>0</v>
      </c>
      <c r="Q47" s="788">
        <v>0</v>
      </c>
      <c r="R47" s="778">
        <v>0</v>
      </c>
      <c r="S47" s="780">
        <f t="shared" si="0"/>
        <v>0</v>
      </c>
      <c r="T47" s="754"/>
      <c r="U47" s="789"/>
      <c r="V47" s="789"/>
      <c r="W47" s="789"/>
      <c r="X47" s="789"/>
      <c r="Y47" s="767"/>
      <c r="Z47" s="767"/>
    </row>
    <row r="48" spans="1:26">
      <c r="A48" s="774"/>
      <c r="B48" s="774"/>
      <c r="C48" s="775">
        <v>39</v>
      </c>
      <c r="D48" s="776"/>
      <c r="E48" s="832"/>
      <c r="F48" s="791"/>
      <c r="G48" s="792"/>
      <c r="H48" s="793"/>
      <c r="I48" s="793"/>
      <c r="J48" s="794"/>
      <c r="K48" s="795"/>
      <c r="L48" s="796"/>
      <c r="M48" s="797"/>
      <c r="N48" s="798"/>
      <c r="O48" s="799"/>
      <c r="P48" s="800"/>
      <c r="Q48" s="801"/>
      <c r="R48" s="791"/>
      <c r="S48" s="780">
        <f t="shared" si="0"/>
        <v>0</v>
      </c>
      <c r="T48" s="754"/>
      <c r="U48" s="789"/>
      <c r="V48" s="789"/>
      <c r="W48" s="789"/>
      <c r="X48" s="789"/>
      <c r="Y48" s="767"/>
      <c r="Z48" s="767"/>
    </row>
    <row r="49" spans="1:26">
      <c r="A49" s="774"/>
      <c r="B49" s="774"/>
      <c r="C49" s="775">
        <v>40</v>
      </c>
      <c r="D49" s="776"/>
      <c r="E49" s="832" t="s">
        <v>453</v>
      </c>
      <c r="F49" s="802">
        <f>+F47</f>
        <v>0</v>
      </c>
      <c r="G49" s="802">
        <f t="shared" ref="G49:S49" si="8">+G47</f>
        <v>0</v>
      </c>
      <c r="H49" s="802">
        <f t="shared" si="8"/>
        <v>0</v>
      </c>
      <c r="I49" s="802">
        <f t="shared" si="8"/>
        <v>0</v>
      </c>
      <c r="J49" s="802">
        <f t="shared" si="8"/>
        <v>0</v>
      </c>
      <c r="K49" s="802">
        <f t="shared" si="8"/>
        <v>0</v>
      </c>
      <c r="L49" s="802">
        <f t="shared" si="8"/>
        <v>0</v>
      </c>
      <c r="M49" s="802">
        <f t="shared" si="8"/>
        <v>0</v>
      </c>
      <c r="N49" s="802">
        <f t="shared" si="8"/>
        <v>0</v>
      </c>
      <c r="O49" s="802">
        <f t="shared" si="8"/>
        <v>0</v>
      </c>
      <c r="P49" s="802">
        <f t="shared" si="8"/>
        <v>0</v>
      </c>
      <c r="Q49" s="802">
        <f t="shared" si="8"/>
        <v>0</v>
      </c>
      <c r="R49" s="802">
        <f t="shared" si="8"/>
        <v>0</v>
      </c>
      <c r="S49" s="802">
        <f t="shared" si="8"/>
        <v>0</v>
      </c>
      <c r="T49" s="754"/>
      <c r="U49" s="789"/>
      <c r="V49" s="789"/>
      <c r="W49" s="789"/>
      <c r="X49" s="789"/>
      <c r="Y49" s="767"/>
      <c r="Z49" s="767"/>
    </row>
    <row r="50" spans="1:26">
      <c r="A50" s="774"/>
      <c r="B50" s="774"/>
      <c r="C50" s="775">
        <v>41</v>
      </c>
      <c r="D50" s="776"/>
      <c r="E50" s="832"/>
      <c r="F50" s="778"/>
      <c r="G50" s="779"/>
      <c r="H50" s="780"/>
      <c r="I50" s="780"/>
      <c r="J50" s="781"/>
      <c r="K50" s="782"/>
      <c r="L50" s="783"/>
      <c r="M50" s="784"/>
      <c r="N50" s="785"/>
      <c r="O50" s="786"/>
      <c r="P50" s="787"/>
      <c r="Q50" s="788"/>
      <c r="R50" s="778"/>
      <c r="S50" s="780">
        <f t="shared" si="0"/>
        <v>0</v>
      </c>
      <c r="T50" s="754"/>
      <c r="U50" s="789"/>
      <c r="V50" s="789"/>
      <c r="W50" s="789"/>
      <c r="X50" s="789"/>
      <c r="Y50" s="767"/>
      <c r="Z50" s="767"/>
    </row>
    <row r="51" spans="1:26">
      <c r="A51" s="774" t="s">
        <v>454</v>
      </c>
      <c r="B51" s="774" t="s">
        <v>410</v>
      </c>
      <c r="C51" s="775">
        <v>42</v>
      </c>
      <c r="D51" s="776" t="str">
        <f>+A51</f>
        <v>1420</v>
      </c>
      <c r="E51" s="777" t="s">
        <v>455</v>
      </c>
      <c r="F51" s="778">
        <v>17163639.989999998</v>
      </c>
      <c r="G51" s="779">
        <v>26322767.609999999</v>
      </c>
      <c r="H51" s="780">
        <v>20047055.809999999</v>
      </c>
      <c r="I51" s="780">
        <v>18417152.960000001</v>
      </c>
      <c r="J51" s="781">
        <v>14049277.699999999</v>
      </c>
      <c r="K51" s="782">
        <v>10183208.6</v>
      </c>
      <c r="L51" s="783">
        <v>8622829.0099999998</v>
      </c>
      <c r="M51" s="784">
        <v>7531448.8600000003</v>
      </c>
      <c r="N51" s="785">
        <v>6298975.6600000001</v>
      </c>
      <c r="O51" s="786">
        <v>6778198.8799999999</v>
      </c>
      <c r="P51" s="787">
        <v>7689242.75</v>
      </c>
      <c r="Q51" s="788">
        <v>8533149.9199999999</v>
      </c>
      <c r="R51" s="778">
        <v>18361542.969999999</v>
      </c>
      <c r="S51" s="780">
        <f t="shared" si="0"/>
        <v>12686324.936666666</v>
      </c>
      <c r="T51" s="754"/>
      <c r="U51" s="789"/>
      <c r="V51" s="789"/>
      <c r="W51" s="789"/>
      <c r="X51" s="789"/>
      <c r="Y51" s="767"/>
      <c r="Z51" s="767"/>
    </row>
    <row r="52" spans="1:26">
      <c r="A52" s="774" t="s">
        <v>456</v>
      </c>
      <c r="B52" s="774" t="s">
        <v>410</v>
      </c>
      <c r="C52" s="775">
        <v>43</v>
      </c>
      <c r="D52" s="776" t="str">
        <f>+A52</f>
        <v>1432</v>
      </c>
      <c r="E52" s="777" t="s">
        <v>457</v>
      </c>
      <c r="F52" s="778">
        <v>1964217.09</v>
      </c>
      <c r="G52" s="779">
        <v>1879399.49</v>
      </c>
      <c r="H52" s="780">
        <v>2171369.25</v>
      </c>
      <c r="I52" s="780">
        <v>3186245.43</v>
      </c>
      <c r="J52" s="781">
        <v>3513224.13</v>
      </c>
      <c r="K52" s="782">
        <v>3880038.02</v>
      </c>
      <c r="L52" s="783">
        <v>2019869.43</v>
      </c>
      <c r="M52" s="784">
        <v>1652166.99</v>
      </c>
      <c r="N52" s="785">
        <v>1606524.04</v>
      </c>
      <c r="O52" s="786">
        <v>1559833.95</v>
      </c>
      <c r="P52" s="787">
        <v>1578182.34</v>
      </c>
      <c r="Q52" s="788">
        <v>1540722.05</v>
      </c>
      <c r="R52" s="778">
        <v>1813282.23</v>
      </c>
      <c r="S52" s="780">
        <f t="shared" si="0"/>
        <v>2206360.398333333</v>
      </c>
      <c r="T52" s="754"/>
      <c r="U52" s="789"/>
      <c r="V52" s="789"/>
      <c r="W52" s="789"/>
      <c r="X52" s="789"/>
      <c r="Y52" s="767"/>
      <c r="Z52" s="767"/>
    </row>
    <row r="53" spans="1:26">
      <c r="A53" s="774" t="s">
        <v>458</v>
      </c>
      <c r="B53" s="774" t="s">
        <v>410</v>
      </c>
      <c r="C53" s="775">
        <v>44</v>
      </c>
      <c r="D53" s="776" t="str">
        <f>+A53</f>
        <v>1710</v>
      </c>
      <c r="E53" s="777" t="s">
        <v>459</v>
      </c>
      <c r="F53" s="818">
        <v>0</v>
      </c>
      <c r="G53" s="819">
        <v>0</v>
      </c>
      <c r="H53" s="820">
        <v>0</v>
      </c>
      <c r="I53" s="820">
        <v>0</v>
      </c>
      <c r="J53" s="821">
        <v>0</v>
      </c>
      <c r="K53" s="822">
        <v>0</v>
      </c>
      <c r="L53" s="823">
        <v>0</v>
      </c>
      <c r="M53" s="824">
        <v>0</v>
      </c>
      <c r="N53" s="825">
        <v>0</v>
      </c>
      <c r="O53" s="826">
        <v>0</v>
      </c>
      <c r="P53" s="827">
        <v>0</v>
      </c>
      <c r="Q53" s="828">
        <v>0</v>
      </c>
      <c r="R53" s="818">
        <v>0</v>
      </c>
      <c r="S53" s="780">
        <f t="shared" si="0"/>
        <v>0</v>
      </c>
      <c r="T53" s="754"/>
      <c r="U53" s="789"/>
      <c r="V53" s="789"/>
      <c r="W53" s="789"/>
      <c r="X53" s="789"/>
      <c r="Y53" s="767"/>
      <c r="Z53" s="767"/>
    </row>
    <row r="54" spans="1:26">
      <c r="A54" s="774"/>
      <c r="B54" s="774"/>
      <c r="C54" s="775">
        <v>45</v>
      </c>
      <c r="D54" s="776"/>
      <c r="E54" s="832" t="s">
        <v>460</v>
      </c>
      <c r="F54" s="778">
        <f>SUM(F51:F53)</f>
        <v>19127857.079999998</v>
      </c>
      <c r="G54" s="778">
        <f t="shared" ref="G54:S54" si="9">SUM(G51:G53)</f>
        <v>28202167.099999998</v>
      </c>
      <c r="H54" s="778">
        <f t="shared" si="9"/>
        <v>22218425.059999999</v>
      </c>
      <c r="I54" s="778">
        <f t="shared" si="9"/>
        <v>21603398.390000001</v>
      </c>
      <c r="J54" s="778">
        <f t="shared" si="9"/>
        <v>17562501.829999998</v>
      </c>
      <c r="K54" s="778">
        <f t="shared" si="9"/>
        <v>14063246.619999999</v>
      </c>
      <c r="L54" s="778">
        <f t="shared" si="9"/>
        <v>10642698.439999999</v>
      </c>
      <c r="M54" s="778">
        <f t="shared" si="9"/>
        <v>9183615.8499999996</v>
      </c>
      <c r="N54" s="778">
        <f t="shared" si="9"/>
        <v>7905499.7000000002</v>
      </c>
      <c r="O54" s="778">
        <f t="shared" si="9"/>
        <v>8338032.8300000001</v>
      </c>
      <c r="P54" s="778">
        <f t="shared" si="9"/>
        <v>9267425.0899999999</v>
      </c>
      <c r="Q54" s="778">
        <f t="shared" si="9"/>
        <v>10073871.970000001</v>
      </c>
      <c r="R54" s="778">
        <f t="shared" si="9"/>
        <v>20174825.199999999</v>
      </c>
      <c r="S54" s="778">
        <f t="shared" si="9"/>
        <v>14892685.334999999</v>
      </c>
      <c r="T54" s="754"/>
      <c r="U54" s="789"/>
      <c r="V54" s="789"/>
      <c r="W54" s="789"/>
      <c r="X54" s="790">
        <f>S54</f>
        <v>14892685.334999999</v>
      </c>
      <c r="Y54" s="767"/>
      <c r="Z54" s="767"/>
    </row>
    <row r="55" spans="1:26">
      <c r="A55" s="774"/>
      <c r="B55" s="774"/>
      <c r="C55" s="775">
        <v>46</v>
      </c>
      <c r="D55" s="776"/>
      <c r="E55" s="832" t="s">
        <v>110</v>
      </c>
      <c r="F55" s="778"/>
      <c r="G55" s="779"/>
      <c r="H55" s="780"/>
      <c r="I55" s="780"/>
      <c r="J55" s="781"/>
      <c r="K55" s="782"/>
      <c r="L55" s="783"/>
      <c r="M55" s="784"/>
      <c r="N55" s="785"/>
      <c r="O55" s="786"/>
      <c r="P55" s="787"/>
      <c r="Q55" s="788"/>
      <c r="R55" s="778"/>
      <c r="S55" s="780">
        <f t="shared" si="0"/>
        <v>0</v>
      </c>
      <c r="T55" s="754"/>
      <c r="U55" s="789"/>
      <c r="V55" s="789"/>
      <c r="W55" s="789"/>
      <c r="X55" s="789"/>
      <c r="Y55" s="767"/>
      <c r="Z55" s="767"/>
    </row>
    <row r="56" spans="1:26">
      <c r="A56" s="774" t="s">
        <v>461</v>
      </c>
      <c r="B56" s="774" t="s">
        <v>446</v>
      </c>
      <c r="C56" s="775">
        <v>47</v>
      </c>
      <c r="D56" s="776" t="str">
        <f>A56&amp;"."&amp;B56</f>
        <v>1410.1*</v>
      </c>
      <c r="E56" s="832" t="s">
        <v>462</v>
      </c>
      <c r="F56" s="778">
        <v>0</v>
      </c>
      <c r="G56" s="779">
        <v>0</v>
      </c>
      <c r="H56" s="780">
        <v>0</v>
      </c>
      <c r="I56" s="780">
        <v>0</v>
      </c>
      <c r="J56" s="781">
        <v>0</v>
      </c>
      <c r="K56" s="782">
        <v>0</v>
      </c>
      <c r="L56" s="783">
        <v>0</v>
      </c>
      <c r="M56" s="784">
        <v>0</v>
      </c>
      <c r="N56" s="785">
        <v>0</v>
      </c>
      <c r="O56" s="786">
        <v>0</v>
      </c>
      <c r="P56" s="787">
        <v>0</v>
      </c>
      <c r="Q56" s="788">
        <v>0</v>
      </c>
      <c r="R56" s="778">
        <v>0</v>
      </c>
      <c r="S56" s="780">
        <f t="shared" si="0"/>
        <v>0</v>
      </c>
      <c r="T56" s="754"/>
      <c r="U56" s="789"/>
      <c r="V56" s="789"/>
      <c r="W56" s="789"/>
      <c r="X56" s="790">
        <f>S56</f>
        <v>0</v>
      </c>
      <c r="Y56" s="767"/>
      <c r="Z56" s="767"/>
    </row>
    <row r="57" spans="1:26">
      <c r="A57" s="774" t="s">
        <v>461</v>
      </c>
      <c r="B57" s="774" t="s">
        <v>463</v>
      </c>
      <c r="C57" s="775">
        <v>48</v>
      </c>
      <c r="D57" s="776" t="str">
        <f>A57&amp;"."&amp;B57</f>
        <v>1410.2*</v>
      </c>
      <c r="E57" s="832" t="s">
        <v>464</v>
      </c>
      <c r="F57" s="778">
        <v>0</v>
      </c>
      <c r="G57" s="779">
        <v>0</v>
      </c>
      <c r="H57" s="780">
        <v>0</v>
      </c>
      <c r="I57" s="780">
        <v>0</v>
      </c>
      <c r="J57" s="781">
        <v>0</v>
      </c>
      <c r="K57" s="782">
        <v>0</v>
      </c>
      <c r="L57" s="783">
        <v>0</v>
      </c>
      <c r="M57" s="784">
        <v>0</v>
      </c>
      <c r="N57" s="785">
        <v>0</v>
      </c>
      <c r="O57" s="786">
        <v>0</v>
      </c>
      <c r="P57" s="787">
        <v>0</v>
      </c>
      <c r="Q57" s="788">
        <v>0</v>
      </c>
      <c r="R57" s="778">
        <v>0</v>
      </c>
      <c r="S57" s="780">
        <f t="shared" si="0"/>
        <v>0</v>
      </c>
      <c r="T57" s="754"/>
      <c r="U57" s="789"/>
      <c r="V57" s="789"/>
      <c r="W57" s="789"/>
      <c r="X57" s="757"/>
      <c r="Y57" s="767"/>
      <c r="Z57" s="767"/>
    </row>
    <row r="58" spans="1:26">
      <c r="A58" s="774"/>
      <c r="B58" s="774"/>
      <c r="C58" s="775">
        <v>49</v>
      </c>
      <c r="D58" s="776"/>
      <c r="E58" s="832"/>
      <c r="F58" s="778"/>
      <c r="G58" s="779"/>
      <c r="H58" s="780"/>
      <c r="I58" s="780"/>
      <c r="J58" s="781"/>
      <c r="K58" s="782"/>
      <c r="L58" s="783"/>
      <c r="M58" s="784"/>
      <c r="N58" s="785"/>
      <c r="O58" s="786"/>
      <c r="P58" s="787"/>
      <c r="Q58" s="788"/>
      <c r="R58" s="778"/>
      <c r="S58" s="780">
        <f t="shared" si="0"/>
        <v>0</v>
      </c>
      <c r="T58" s="754"/>
      <c r="U58" s="789"/>
      <c r="V58" s="789"/>
      <c r="W58" s="789"/>
      <c r="X58" s="757"/>
      <c r="Y58" s="767"/>
      <c r="Z58" s="767"/>
    </row>
    <row r="59" spans="1:26">
      <c r="A59" s="774" t="s">
        <v>465</v>
      </c>
      <c r="B59" s="774" t="s">
        <v>466</v>
      </c>
      <c r="C59" s="775">
        <v>50</v>
      </c>
      <c r="D59" s="776" t="str">
        <f t="shared" ref="D59:D68" si="10">A59&amp;"."&amp;B59</f>
        <v>1460.000*</v>
      </c>
      <c r="E59" s="832" t="s">
        <v>467</v>
      </c>
      <c r="F59" s="778">
        <v>0</v>
      </c>
      <c r="G59" s="779">
        <v>0</v>
      </c>
      <c r="H59" s="780">
        <v>0</v>
      </c>
      <c r="I59" s="780">
        <v>0</v>
      </c>
      <c r="J59" s="781">
        <v>0</v>
      </c>
      <c r="K59" s="782">
        <v>0</v>
      </c>
      <c r="L59" s="783">
        <v>0</v>
      </c>
      <c r="M59" s="784">
        <v>0</v>
      </c>
      <c r="N59" s="785">
        <v>0</v>
      </c>
      <c r="O59" s="786">
        <v>0</v>
      </c>
      <c r="P59" s="787">
        <v>0</v>
      </c>
      <c r="Q59" s="788">
        <v>0</v>
      </c>
      <c r="R59" s="778">
        <v>0</v>
      </c>
      <c r="S59" s="780">
        <f t="shared" si="0"/>
        <v>0</v>
      </c>
      <c r="T59" s="754"/>
      <c r="U59" s="789"/>
      <c r="V59" s="789"/>
      <c r="W59" s="789"/>
      <c r="X59" s="757"/>
      <c r="Y59" s="767"/>
      <c r="Z59" s="767"/>
    </row>
    <row r="60" spans="1:26">
      <c r="A60" s="774" t="s">
        <v>465</v>
      </c>
      <c r="B60" s="774" t="s">
        <v>468</v>
      </c>
      <c r="C60" s="775">
        <v>51</v>
      </c>
      <c r="D60" s="776" t="str">
        <f t="shared" si="10"/>
        <v>1460.001*</v>
      </c>
      <c r="E60" s="832" t="s">
        <v>467</v>
      </c>
      <c r="F60" s="778">
        <v>48558.859999999899</v>
      </c>
      <c r="G60" s="779">
        <v>26116.28</v>
      </c>
      <c r="H60" s="780">
        <v>12988.44</v>
      </c>
      <c r="I60" s="780">
        <v>26792.01</v>
      </c>
      <c r="J60" s="781">
        <v>10961.37</v>
      </c>
      <c r="K60" s="782">
        <v>10764.13</v>
      </c>
      <c r="L60" s="783">
        <v>16249.32</v>
      </c>
      <c r="M60" s="784">
        <v>9995.92</v>
      </c>
      <c r="N60" s="785">
        <v>11586.68</v>
      </c>
      <c r="O60" s="786">
        <v>15190.69</v>
      </c>
      <c r="P60" s="787">
        <v>14691.3</v>
      </c>
      <c r="Q60" s="788">
        <v>25150.6</v>
      </c>
      <c r="R60" s="778">
        <v>10479.629999999999</v>
      </c>
      <c r="S60" s="780">
        <f t="shared" si="0"/>
        <v>17500.498749999995</v>
      </c>
      <c r="T60" s="754"/>
      <c r="U60" s="789"/>
      <c r="V60" s="789"/>
      <c r="W60" s="789"/>
      <c r="X60" s="757"/>
      <c r="Y60" s="767"/>
      <c r="Z60" s="767"/>
    </row>
    <row r="61" spans="1:26">
      <c r="A61" s="774" t="s">
        <v>465</v>
      </c>
      <c r="B61" s="774" t="s">
        <v>469</v>
      </c>
      <c r="C61" s="775">
        <v>52</v>
      </c>
      <c r="D61" s="776" t="str">
        <f t="shared" si="10"/>
        <v>1460.041*</v>
      </c>
      <c r="E61" s="832" t="s">
        <v>470</v>
      </c>
      <c r="F61" s="778">
        <v>0</v>
      </c>
      <c r="G61" s="779">
        <v>0</v>
      </c>
      <c r="H61" s="780">
        <v>0</v>
      </c>
      <c r="I61" s="780">
        <v>0</v>
      </c>
      <c r="J61" s="781">
        <v>0</v>
      </c>
      <c r="K61" s="782">
        <v>0</v>
      </c>
      <c r="L61" s="783">
        <v>0</v>
      </c>
      <c r="M61" s="784">
        <v>0</v>
      </c>
      <c r="N61" s="785">
        <v>0</v>
      </c>
      <c r="O61" s="855">
        <v>0</v>
      </c>
      <c r="P61" s="787">
        <v>0</v>
      </c>
      <c r="Q61" s="788">
        <v>0</v>
      </c>
      <c r="R61" s="778">
        <v>0</v>
      </c>
      <c r="S61" s="780">
        <f t="shared" si="0"/>
        <v>0</v>
      </c>
      <c r="T61" s="754"/>
      <c r="U61" s="789"/>
      <c r="V61" s="789"/>
      <c r="W61" s="789"/>
      <c r="X61" s="757"/>
      <c r="Y61" s="767"/>
      <c r="Z61" s="767"/>
    </row>
    <row r="62" spans="1:26">
      <c r="A62" s="774" t="s">
        <v>465</v>
      </c>
      <c r="B62" s="774" t="s">
        <v>471</v>
      </c>
      <c r="C62" s="775">
        <v>53</v>
      </c>
      <c r="D62" s="776" t="str">
        <f t="shared" si="10"/>
        <v>1460.067*</v>
      </c>
      <c r="E62" s="832" t="s">
        <v>472</v>
      </c>
      <c r="F62" s="778">
        <v>0</v>
      </c>
      <c r="G62" s="779">
        <v>0</v>
      </c>
      <c r="H62" s="780">
        <v>0</v>
      </c>
      <c r="I62" s="780">
        <v>0</v>
      </c>
      <c r="J62" s="781">
        <v>0</v>
      </c>
      <c r="K62" s="782">
        <v>0</v>
      </c>
      <c r="L62" s="783">
        <v>0</v>
      </c>
      <c r="M62" s="784">
        <v>0</v>
      </c>
      <c r="N62" s="785">
        <v>0</v>
      </c>
      <c r="O62" s="785">
        <v>600</v>
      </c>
      <c r="P62" s="785">
        <v>600</v>
      </c>
      <c r="Q62" s="785">
        <v>600</v>
      </c>
      <c r="R62" s="778">
        <v>0</v>
      </c>
      <c r="S62" s="780">
        <f t="shared" si="0"/>
        <v>150</v>
      </c>
      <c r="T62" s="754"/>
      <c r="U62" s="789"/>
      <c r="V62" s="789"/>
      <c r="W62" s="789"/>
      <c r="X62" s="757"/>
      <c r="Y62" s="767"/>
      <c r="Z62" s="767"/>
    </row>
    <row r="63" spans="1:26">
      <c r="A63" s="774" t="s">
        <v>465</v>
      </c>
      <c r="B63" s="774" t="s">
        <v>473</v>
      </c>
      <c r="C63" s="775">
        <v>54</v>
      </c>
      <c r="D63" s="776" t="str">
        <f t="shared" si="10"/>
        <v>1460.044*</v>
      </c>
      <c r="E63" s="832" t="s">
        <v>474</v>
      </c>
      <c r="F63" s="778">
        <v>0</v>
      </c>
      <c r="G63" s="779">
        <v>0</v>
      </c>
      <c r="H63" s="780">
        <v>0</v>
      </c>
      <c r="I63" s="780">
        <v>0</v>
      </c>
      <c r="J63" s="781">
        <v>0</v>
      </c>
      <c r="K63" s="782">
        <v>0</v>
      </c>
      <c r="L63" s="783">
        <v>0</v>
      </c>
      <c r="M63" s="784">
        <v>0</v>
      </c>
      <c r="N63" s="785">
        <v>0</v>
      </c>
      <c r="O63" s="855">
        <v>0</v>
      </c>
      <c r="P63" s="787">
        <v>0</v>
      </c>
      <c r="Q63" s="788">
        <v>0</v>
      </c>
      <c r="R63" s="778">
        <v>0</v>
      </c>
      <c r="S63" s="780">
        <f t="shared" si="0"/>
        <v>0</v>
      </c>
      <c r="T63" s="754"/>
      <c r="U63" s="789"/>
      <c r="V63" s="789"/>
      <c r="W63" s="789"/>
      <c r="X63" s="757"/>
      <c r="Y63" s="767"/>
      <c r="Z63" s="767"/>
    </row>
    <row r="64" spans="1:26">
      <c r="A64" s="774" t="s">
        <v>465</v>
      </c>
      <c r="B64" s="774" t="s">
        <v>475</v>
      </c>
      <c r="C64" s="775">
        <v>55</v>
      </c>
      <c r="D64" s="776" t="str">
        <f t="shared" si="10"/>
        <v>1460.046*</v>
      </c>
      <c r="E64" s="832" t="s">
        <v>476</v>
      </c>
      <c r="F64" s="778">
        <v>0</v>
      </c>
      <c r="G64" s="779">
        <v>0</v>
      </c>
      <c r="H64" s="780">
        <v>0</v>
      </c>
      <c r="I64" s="780">
        <v>0</v>
      </c>
      <c r="J64" s="781">
        <v>0</v>
      </c>
      <c r="K64" s="782">
        <v>0</v>
      </c>
      <c r="L64" s="783">
        <v>0</v>
      </c>
      <c r="M64" s="784">
        <v>0</v>
      </c>
      <c r="N64" s="785">
        <v>0</v>
      </c>
      <c r="O64" s="855">
        <v>0</v>
      </c>
      <c r="P64" s="787">
        <v>0</v>
      </c>
      <c r="Q64" s="788">
        <v>0</v>
      </c>
      <c r="R64" s="778">
        <v>0</v>
      </c>
      <c r="S64" s="780">
        <f t="shared" si="0"/>
        <v>0</v>
      </c>
      <c r="T64" s="754"/>
      <c r="U64" s="789"/>
      <c r="V64" s="789"/>
      <c r="W64" s="789"/>
      <c r="X64" s="757"/>
      <c r="Y64" s="767"/>
      <c r="Z64" s="767"/>
    </row>
    <row r="65" spans="1:26">
      <c r="A65" s="750" t="s">
        <v>465</v>
      </c>
      <c r="B65" s="750" t="s">
        <v>477</v>
      </c>
      <c r="C65" s="775">
        <v>56</v>
      </c>
      <c r="D65" s="752" t="str">
        <f t="shared" si="10"/>
        <v>1460.047*</v>
      </c>
      <c r="E65" s="832" t="s">
        <v>478</v>
      </c>
      <c r="F65" s="778">
        <v>0</v>
      </c>
      <c r="G65" s="779">
        <v>0</v>
      </c>
      <c r="H65" s="780">
        <v>0</v>
      </c>
      <c r="I65" s="780">
        <v>0</v>
      </c>
      <c r="J65" s="781">
        <v>0</v>
      </c>
      <c r="K65" s="782">
        <v>0</v>
      </c>
      <c r="L65" s="783">
        <v>0</v>
      </c>
      <c r="M65" s="784">
        <v>0</v>
      </c>
      <c r="N65" s="785">
        <v>0</v>
      </c>
      <c r="O65" s="855">
        <v>0</v>
      </c>
      <c r="P65" s="787">
        <v>0</v>
      </c>
      <c r="Q65" s="788">
        <v>0</v>
      </c>
      <c r="R65" s="778">
        <v>0</v>
      </c>
      <c r="S65" s="780">
        <f t="shared" si="0"/>
        <v>0</v>
      </c>
      <c r="T65" s="754"/>
      <c r="U65" s="789"/>
      <c r="V65" s="789"/>
      <c r="W65" s="789"/>
      <c r="X65" s="757"/>
      <c r="Y65" s="767"/>
      <c r="Z65" s="767"/>
    </row>
    <row r="66" spans="1:26">
      <c r="A66" s="774" t="s">
        <v>465</v>
      </c>
      <c r="B66" s="774" t="s">
        <v>479</v>
      </c>
      <c r="C66" s="775">
        <v>57</v>
      </c>
      <c r="D66" s="776" t="str">
        <f t="shared" si="10"/>
        <v>1460.048*</v>
      </c>
      <c r="E66" s="832" t="s">
        <v>480</v>
      </c>
      <c r="F66" s="778">
        <v>69846.27</v>
      </c>
      <c r="G66" s="779">
        <v>58503.92</v>
      </c>
      <c r="H66" s="780">
        <v>34092.58</v>
      </c>
      <c r="I66" s="780">
        <v>47951.48</v>
      </c>
      <c r="J66" s="781">
        <v>31934.7</v>
      </c>
      <c r="K66" s="782">
        <v>39550.07</v>
      </c>
      <c r="L66" s="783">
        <v>35566.370000000003</v>
      </c>
      <c r="M66" s="784">
        <v>64992.26</v>
      </c>
      <c r="N66" s="785">
        <v>38492.42</v>
      </c>
      <c r="O66" s="855">
        <v>34139.53</v>
      </c>
      <c r="P66" s="787">
        <v>64402.559999999998</v>
      </c>
      <c r="Q66" s="788">
        <v>39382.44</v>
      </c>
      <c r="R66" s="778">
        <v>34047.85</v>
      </c>
      <c r="S66" s="780">
        <f t="shared" si="0"/>
        <v>45079.615833333322</v>
      </c>
      <c r="T66" s="754"/>
      <c r="U66" s="789"/>
      <c r="V66" s="789"/>
      <c r="W66" s="789"/>
      <c r="X66" s="757"/>
      <c r="Y66" s="767"/>
      <c r="Z66" s="767"/>
    </row>
    <row r="67" spans="1:26">
      <c r="A67" s="750" t="s">
        <v>465</v>
      </c>
      <c r="B67" s="750" t="s">
        <v>481</v>
      </c>
      <c r="C67" s="775">
        <v>58</v>
      </c>
      <c r="D67" s="752" t="str">
        <f t="shared" si="10"/>
        <v>1460.060*</v>
      </c>
      <c r="E67" s="832" t="s">
        <v>482</v>
      </c>
      <c r="F67" s="778">
        <v>0</v>
      </c>
      <c r="G67" s="779">
        <v>0</v>
      </c>
      <c r="H67" s="780">
        <v>0</v>
      </c>
      <c r="I67" s="780">
        <v>0</v>
      </c>
      <c r="J67" s="781">
        <v>0</v>
      </c>
      <c r="K67" s="782">
        <v>0</v>
      </c>
      <c r="L67" s="783">
        <v>0</v>
      </c>
      <c r="M67" s="784">
        <v>0</v>
      </c>
      <c r="N67" s="785">
        <v>0</v>
      </c>
      <c r="O67" s="855">
        <v>0</v>
      </c>
      <c r="P67" s="787">
        <v>0</v>
      </c>
      <c r="Q67" s="788">
        <v>0</v>
      </c>
      <c r="R67" s="778">
        <v>0</v>
      </c>
      <c r="S67" s="780">
        <f t="shared" si="0"/>
        <v>0</v>
      </c>
      <c r="T67" s="754"/>
      <c r="U67" s="789"/>
      <c r="V67" s="789"/>
      <c r="W67" s="789"/>
      <c r="X67" s="757"/>
      <c r="Y67" s="767"/>
      <c r="Z67" s="767"/>
    </row>
    <row r="68" spans="1:26">
      <c r="A68" s="750" t="s">
        <v>465</v>
      </c>
      <c r="B68" s="750" t="s">
        <v>483</v>
      </c>
      <c r="C68" s="775">
        <v>59</v>
      </c>
      <c r="D68" s="752" t="str">
        <f t="shared" si="10"/>
        <v>1460.062*</v>
      </c>
      <c r="E68" s="832" t="s">
        <v>484</v>
      </c>
      <c r="F68" s="778">
        <v>0</v>
      </c>
      <c r="G68" s="779">
        <v>0</v>
      </c>
      <c r="H68" s="780">
        <v>0</v>
      </c>
      <c r="I68" s="780">
        <v>0</v>
      </c>
      <c r="J68" s="781">
        <v>0</v>
      </c>
      <c r="K68" s="782">
        <v>0</v>
      </c>
      <c r="L68" s="783">
        <v>0</v>
      </c>
      <c r="M68" s="784">
        <v>0</v>
      </c>
      <c r="N68" s="785">
        <v>0</v>
      </c>
      <c r="O68" s="855">
        <v>0</v>
      </c>
      <c r="P68" s="787">
        <v>0</v>
      </c>
      <c r="Q68" s="788">
        <v>15532.52</v>
      </c>
      <c r="R68" s="778">
        <v>15532.52</v>
      </c>
      <c r="S68" s="780">
        <f t="shared" si="0"/>
        <v>1941.5649999999998</v>
      </c>
      <c r="T68" s="754"/>
      <c r="U68" s="789"/>
      <c r="V68" s="789"/>
      <c r="W68" s="789"/>
      <c r="X68" s="757"/>
      <c r="Y68" s="767"/>
      <c r="Z68" s="767"/>
    </row>
    <row r="69" spans="1:26">
      <c r="A69" s="774"/>
      <c r="B69" s="856"/>
      <c r="C69" s="775">
        <v>60</v>
      </c>
      <c r="D69" s="776"/>
      <c r="E69" s="832" t="s">
        <v>485</v>
      </c>
      <c r="F69" s="802">
        <f>SUM(F56:F68)</f>
        <v>118405.1299999999</v>
      </c>
      <c r="G69" s="802">
        <f t="shared" ref="G69:S69" si="11">SUM(G56:G68)</f>
        <v>84620.2</v>
      </c>
      <c r="H69" s="802">
        <f t="shared" si="11"/>
        <v>47081.020000000004</v>
      </c>
      <c r="I69" s="802">
        <f t="shared" si="11"/>
        <v>74743.490000000005</v>
      </c>
      <c r="J69" s="802">
        <f t="shared" si="11"/>
        <v>42896.07</v>
      </c>
      <c r="K69" s="802">
        <f t="shared" si="11"/>
        <v>50314.2</v>
      </c>
      <c r="L69" s="802">
        <f t="shared" si="11"/>
        <v>51815.69</v>
      </c>
      <c r="M69" s="802">
        <f t="shared" si="11"/>
        <v>74988.180000000008</v>
      </c>
      <c r="N69" s="802">
        <f t="shared" si="11"/>
        <v>50079.1</v>
      </c>
      <c r="O69" s="802">
        <f t="shared" si="11"/>
        <v>49930.22</v>
      </c>
      <c r="P69" s="802">
        <f t="shared" si="11"/>
        <v>79693.86</v>
      </c>
      <c r="Q69" s="802">
        <f t="shared" si="11"/>
        <v>80665.56</v>
      </c>
      <c r="R69" s="802">
        <f t="shared" si="11"/>
        <v>60060</v>
      </c>
      <c r="S69" s="802">
        <f t="shared" si="11"/>
        <v>64671.679583333316</v>
      </c>
      <c r="T69" s="754"/>
      <c r="U69" s="789"/>
      <c r="V69" s="789"/>
      <c r="W69" s="790">
        <f>S69</f>
        <v>64671.679583333316</v>
      </c>
      <c r="X69" s="757"/>
      <c r="Y69" s="767"/>
      <c r="Z69" s="767"/>
    </row>
    <row r="70" spans="1:26">
      <c r="A70" s="774"/>
      <c r="B70" s="856"/>
      <c r="C70" s="775">
        <v>61</v>
      </c>
      <c r="D70" s="776"/>
      <c r="E70" s="832"/>
      <c r="F70" s="778"/>
      <c r="G70" s="779"/>
      <c r="H70" s="780"/>
      <c r="I70" s="780"/>
      <c r="J70" s="781"/>
      <c r="K70" s="782"/>
      <c r="L70" s="783"/>
      <c r="M70" s="784"/>
      <c r="N70" s="785"/>
      <c r="O70" s="815"/>
      <c r="P70" s="787"/>
      <c r="Q70" s="788"/>
      <c r="R70" s="778"/>
      <c r="S70" s="780">
        <f t="shared" si="0"/>
        <v>0</v>
      </c>
      <c r="T70" s="754"/>
      <c r="U70" s="789"/>
      <c r="V70" s="789"/>
      <c r="W70" s="789"/>
      <c r="X70" s="757"/>
      <c r="Y70" s="767"/>
      <c r="Z70" s="767"/>
    </row>
    <row r="71" spans="1:26">
      <c r="A71" s="774" t="s">
        <v>486</v>
      </c>
      <c r="B71" s="856" t="s">
        <v>410</v>
      </c>
      <c r="C71" s="775">
        <v>62</v>
      </c>
      <c r="D71" s="776">
        <v>1466</v>
      </c>
      <c r="E71" s="832" t="s">
        <v>487</v>
      </c>
      <c r="F71" s="778">
        <v>0</v>
      </c>
      <c r="G71" s="779">
        <v>0</v>
      </c>
      <c r="H71" s="780">
        <v>0</v>
      </c>
      <c r="I71" s="780">
        <v>0</v>
      </c>
      <c r="J71" s="781">
        <v>0</v>
      </c>
      <c r="K71" s="782">
        <v>0</v>
      </c>
      <c r="L71" s="783">
        <v>0</v>
      </c>
      <c r="M71" s="784">
        <v>0</v>
      </c>
      <c r="N71" s="785">
        <v>0</v>
      </c>
      <c r="O71" s="855">
        <v>0</v>
      </c>
      <c r="P71" s="787">
        <v>0</v>
      </c>
      <c r="Q71" s="788">
        <v>0</v>
      </c>
      <c r="R71" s="778">
        <v>0</v>
      </c>
      <c r="S71" s="780">
        <f t="shared" si="0"/>
        <v>0</v>
      </c>
      <c r="T71" s="754"/>
      <c r="U71" s="789"/>
      <c r="V71" s="789"/>
      <c r="W71" s="790">
        <f>S71</f>
        <v>0</v>
      </c>
      <c r="X71" s="757"/>
      <c r="Y71" s="767"/>
      <c r="Z71" s="767"/>
    </row>
    <row r="72" spans="1:26">
      <c r="A72" s="774"/>
      <c r="B72" s="774"/>
      <c r="C72" s="775">
        <v>63</v>
      </c>
      <c r="D72" s="776"/>
      <c r="E72" s="832"/>
      <c r="F72" s="778"/>
      <c r="G72" s="779"/>
      <c r="H72" s="780"/>
      <c r="I72" s="780"/>
      <c r="J72" s="781"/>
      <c r="K72" s="782"/>
      <c r="L72" s="783"/>
      <c r="M72" s="784"/>
      <c r="N72" s="785"/>
      <c r="O72" s="786"/>
      <c r="P72" s="787"/>
      <c r="Q72" s="788"/>
      <c r="R72" s="778"/>
      <c r="S72" s="780">
        <f t="shared" si="0"/>
        <v>0</v>
      </c>
      <c r="T72" s="754"/>
      <c r="U72" s="789"/>
      <c r="V72" s="789"/>
      <c r="W72" s="789"/>
      <c r="X72" s="757"/>
      <c r="Y72" s="767"/>
      <c r="Z72" s="767"/>
    </row>
    <row r="73" spans="1:26">
      <c r="A73" s="774"/>
      <c r="B73" s="774"/>
      <c r="C73" s="775">
        <v>64</v>
      </c>
      <c r="D73" s="776"/>
      <c r="E73" s="832" t="s">
        <v>488</v>
      </c>
      <c r="F73" s="778">
        <f>+F71+F69+F54</f>
        <v>19246262.209999997</v>
      </c>
      <c r="G73" s="778">
        <f t="shared" ref="G73:S73" si="12">+G71+G69+G54</f>
        <v>28286787.299999997</v>
      </c>
      <c r="H73" s="778">
        <f t="shared" si="12"/>
        <v>22265506.079999998</v>
      </c>
      <c r="I73" s="778">
        <f t="shared" si="12"/>
        <v>21678141.879999999</v>
      </c>
      <c r="J73" s="778">
        <f t="shared" si="12"/>
        <v>17605397.899999999</v>
      </c>
      <c r="K73" s="778">
        <f t="shared" si="12"/>
        <v>14113560.819999998</v>
      </c>
      <c r="L73" s="778">
        <f t="shared" si="12"/>
        <v>10694514.129999999</v>
      </c>
      <c r="M73" s="778">
        <f t="shared" si="12"/>
        <v>9258604.0299999993</v>
      </c>
      <c r="N73" s="778">
        <f t="shared" si="12"/>
        <v>7955578.7999999998</v>
      </c>
      <c r="O73" s="778">
        <f t="shared" si="12"/>
        <v>8387963.0499999998</v>
      </c>
      <c r="P73" s="778">
        <f t="shared" si="12"/>
        <v>9347118.9499999993</v>
      </c>
      <c r="Q73" s="778">
        <f t="shared" si="12"/>
        <v>10154537.530000001</v>
      </c>
      <c r="R73" s="778">
        <f t="shared" si="12"/>
        <v>20234885.199999999</v>
      </c>
      <c r="S73" s="778">
        <f t="shared" si="12"/>
        <v>14957357.014583332</v>
      </c>
      <c r="T73" s="754"/>
      <c r="U73" s="789"/>
      <c r="V73" s="789"/>
      <c r="W73" s="789"/>
      <c r="X73" s="789"/>
      <c r="Y73" s="767"/>
      <c r="Z73" s="767"/>
    </row>
    <row r="74" spans="1:26">
      <c r="A74" s="774"/>
      <c r="B74" s="774"/>
      <c r="C74" s="775">
        <v>65</v>
      </c>
      <c r="D74" s="752"/>
      <c r="E74" s="832"/>
      <c r="F74" s="778"/>
      <c r="G74" s="779"/>
      <c r="H74" s="780"/>
      <c r="I74" s="780"/>
      <c r="J74" s="781"/>
      <c r="K74" s="782"/>
      <c r="L74" s="783"/>
      <c r="M74" s="784"/>
      <c r="N74" s="785"/>
      <c r="O74" s="786"/>
      <c r="P74" s="787"/>
      <c r="Q74" s="788"/>
      <c r="R74" s="778"/>
      <c r="S74" s="780">
        <f t="shared" si="0"/>
        <v>0</v>
      </c>
      <c r="T74" s="754"/>
      <c r="U74" s="789"/>
      <c r="V74" s="789"/>
      <c r="W74" s="789"/>
      <c r="X74" s="789"/>
      <c r="Y74" s="767"/>
      <c r="Z74" s="767"/>
    </row>
    <row r="75" spans="1:26">
      <c r="A75" s="774" t="s">
        <v>489</v>
      </c>
      <c r="B75" s="774" t="s">
        <v>410</v>
      </c>
      <c r="C75" s="775">
        <v>66</v>
      </c>
      <c r="D75" s="752" t="str">
        <f>+A75</f>
        <v>1442</v>
      </c>
      <c r="E75" s="777" t="s">
        <v>490</v>
      </c>
      <c r="F75" s="778">
        <v>-401439.13</v>
      </c>
      <c r="G75" s="779">
        <v>-624811.17000000004</v>
      </c>
      <c r="H75" s="780">
        <v>-665111.98</v>
      </c>
      <c r="I75" s="780">
        <v>-612366.89</v>
      </c>
      <c r="J75" s="781">
        <v>-559025.18999999994</v>
      </c>
      <c r="K75" s="782">
        <v>-531431.04</v>
      </c>
      <c r="L75" s="783">
        <v>-430587.85</v>
      </c>
      <c r="M75" s="784">
        <v>-362696.57</v>
      </c>
      <c r="N75" s="785">
        <v>-292228.65000000002</v>
      </c>
      <c r="O75" s="786">
        <v>-248556.61</v>
      </c>
      <c r="P75" s="787">
        <v>-242332.38</v>
      </c>
      <c r="Q75" s="788">
        <v>-265166.53999999998</v>
      </c>
      <c r="R75" s="778">
        <v>-412137.48</v>
      </c>
      <c r="S75" s="780">
        <f t="shared" si="0"/>
        <v>-436758.59791666665</v>
      </c>
      <c r="T75" s="754"/>
      <c r="U75" s="789"/>
      <c r="V75" s="789"/>
      <c r="W75" s="789"/>
      <c r="X75" s="789"/>
      <c r="Y75" s="767"/>
      <c r="Z75" s="767"/>
    </row>
    <row r="76" spans="1:26">
      <c r="A76" s="774" t="s">
        <v>491</v>
      </c>
      <c r="B76" s="774" t="s">
        <v>410</v>
      </c>
      <c r="C76" s="775">
        <v>67</v>
      </c>
      <c r="D76" s="752" t="str">
        <f>+A76</f>
        <v>1443</v>
      </c>
      <c r="E76" s="777" t="s">
        <v>492</v>
      </c>
      <c r="F76" s="778">
        <v>-40000</v>
      </c>
      <c r="G76" s="779">
        <v>-40000</v>
      </c>
      <c r="H76" s="780">
        <v>-38782.51</v>
      </c>
      <c r="I76" s="780">
        <v>-38782.51</v>
      </c>
      <c r="J76" s="781">
        <v>-38782.51</v>
      </c>
      <c r="K76" s="782">
        <v>-34733.08</v>
      </c>
      <c r="L76" s="783">
        <v>-33535.199999999997</v>
      </c>
      <c r="M76" s="784">
        <v>-28404.51</v>
      </c>
      <c r="N76" s="785">
        <v>-28404.51</v>
      </c>
      <c r="O76" s="786">
        <v>-28404.51</v>
      </c>
      <c r="P76" s="787">
        <v>-28404.51</v>
      </c>
      <c r="Q76" s="788">
        <v>-28404.51</v>
      </c>
      <c r="R76" s="778">
        <v>-40000</v>
      </c>
      <c r="S76" s="780">
        <f t="shared" ref="S76:S139" si="13">((F76+R76)+((G76+H76+I76+J76+K76+L76+M76+N76+O76+P76+Q76)*2))/24</f>
        <v>-33886.530000000006</v>
      </c>
      <c r="T76" s="754"/>
      <c r="U76" s="789"/>
      <c r="V76" s="789"/>
      <c r="W76" s="789"/>
      <c r="X76" s="789"/>
      <c r="Y76" s="767"/>
      <c r="Z76" s="767"/>
    </row>
    <row r="77" spans="1:26">
      <c r="A77" s="774" t="s">
        <v>493</v>
      </c>
      <c r="B77" s="774" t="s">
        <v>410</v>
      </c>
      <c r="C77" s="775">
        <v>68</v>
      </c>
      <c r="D77" s="752" t="str">
        <f>+A77</f>
        <v>1449</v>
      </c>
      <c r="E77" s="777" t="s">
        <v>494</v>
      </c>
      <c r="F77" s="818">
        <v>-20000</v>
      </c>
      <c r="G77" s="819">
        <v>-15659.52</v>
      </c>
      <c r="H77" s="820">
        <v>-17302.900000000001</v>
      </c>
      <c r="I77" s="820">
        <v>-15893.85</v>
      </c>
      <c r="J77" s="821">
        <v>-13338.68</v>
      </c>
      <c r="K77" s="822">
        <v>-6655.48</v>
      </c>
      <c r="L77" s="823">
        <v>-5641.47</v>
      </c>
      <c r="M77" s="824">
        <v>-5614.19</v>
      </c>
      <c r="N77" s="825">
        <v>-2540.77</v>
      </c>
      <c r="O77" s="826">
        <v>-1339.49</v>
      </c>
      <c r="P77" s="827">
        <v>-1339.49</v>
      </c>
      <c r="Q77" s="828">
        <v>-788.430000000002</v>
      </c>
      <c r="R77" s="818">
        <v>-19013.580000000002</v>
      </c>
      <c r="S77" s="780">
        <f t="shared" si="13"/>
        <v>-8801.7550000000028</v>
      </c>
      <c r="T77" s="754"/>
      <c r="U77" s="789"/>
      <c r="V77" s="789"/>
      <c r="W77" s="789"/>
      <c r="X77" s="789"/>
      <c r="Y77" s="767"/>
      <c r="Z77" s="767"/>
    </row>
    <row r="78" spans="1:26">
      <c r="A78" s="774"/>
      <c r="B78" s="774"/>
      <c r="C78" s="775">
        <v>69</v>
      </c>
      <c r="D78" s="752"/>
      <c r="E78" s="777"/>
      <c r="F78" s="807"/>
      <c r="G78" s="808"/>
      <c r="H78" s="809"/>
      <c r="I78" s="809"/>
      <c r="J78" s="810"/>
      <c r="K78" s="811"/>
      <c r="L78" s="812"/>
      <c r="M78" s="813"/>
      <c r="N78" s="814"/>
      <c r="O78" s="815"/>
      <c r="P78" s="816"/>
      <c r="Q78" s="817"/>
      <c r="R78" s="807"/>
      <c r="S78" s="780">
        <f t="shared" si="13"/>
        <v>0</v>
      </c>
      <c r="T78" s="754"/>
      <c r="U78" s="789"/>
      <c r="V78" s="789"/>
      <c r="W78" s="789"/>
      <c r="X78" s="789"/>
      <c r="Y78" s="767"/>
      <c r="Z78" s="767"/>
    </row>
    <row r="79" spans="1:26">
      <c r="A79" s="774"/>
      <c r="B79" s="774"/>
      <c r="C79" s="775">
        <v>70</v>
      </c>
      <c r="D79" s="776"/>
      <c r="E79" s="832" t="s">
        <v>495</v>
      </c>
      <c r="F79" s="807">
        <f>SUM(F75:F77)</f>
        <v>-461439.13</v>
      </c>
      <c r="G79" s="807">
        <f t="shared" ref="G79:S79" si="14">SUM(G75:G77)</f>
        <v>-680470.69000000006</v>
      </c>
      <c r="H79" s="807">
        <f t="shared" si="14"/>
        <v>-721197.39</v>
      </c>
      <c r="I79" s="807">
        <f t="shared" si="14"/>
        <v>-667043.25</v>
      </c>
      <c r="J79" s="807">
        <f t="shared" si="14"/>
        <v>-611146.38</v>
      </c>
      <c r="K79" s="807">
        <f t="shared" si="14"/>
        <v>-572819.6</v>
      </c>
      <c r="L79" s="807">
        <f t="shared" si="14"/>
        <v>-469764.51999999996</v>
      </c>
      <c r="M79" s="807">
        <f t="shared" si="14"/>
        <v>-396715.27</v>
      </c>
      <c r="N79" s="807">
        <f t="shared" si="14"/>
        <v>-323173.93000000005</v>
      </c>
      <c r="O79" s="807">
        <f t="shared" si="14"/>
        <v>-278300.61</v>
      </c>
      <c r="P79" s="807">
        <f t="shared" si="14"/>
        <v>-272076.38</v>
      </c>
      <c r="Q79" s="807">
        <f t="shared" si="14"/>
        <v>-294359.48</v>
      </c>
      <c r="R79" s="807">
        <f t="shared" si="14"/>
        <v>-471151.06</v>
      </c>
      <c r="S79" s="807">
        <f t="shared" si="14"/>
        <v>-479446.88291666668</v>
      </c>
      <c r="T79" s="754"/>
      <c r="U79" s="789"/>
      <c r="V79" s="789"/>
      <c r="W79" s="789"/>
      <c r="X79" s="790">
        <f>S79</f>
        <v>-479446.88291666668</v>
      </c>
      <c r="Y79" s="767"/>
      <c r="Z79" s="767"/>
    </row>
    <row r="80" spans="1:26">
      <c r="A80" s="774"/>
      <c r="B80" s="774"/>
      <c r="C80" s="775">
        <v>71</v>
      </c>
      <c r="D80" s="776"/>
      <c r="E80" s="832"/>
      <c r="F80" s="791"/>
      <c r="G80" s="791"/>
      <c r="H80" s="791"/>
      <c r="I80" s="791"/>
      <c r="J80" s="791"/>
      <c r="K80" s="791"/>
      <c r="L80" s="791"/>
      <c r="M80" s="791"/>
      <c r="N80" s="791"/>
      <c r="O80" s="791"/>
      <c r="P80" s="791"/>
      <c r="Q80" s="791"/>
      <c r="R80" s="791"/>
      <c r="S80" s="791"/>
      <c r="T80" s="754"/>
      <c r="U80" s="789"/>
      <c r="V80" s="789"/>
      <c r="W80" s="789"/>
      <c r="X80" s="789"/>
      <c r="Y80" s="767"/>
      <c r="Z80" s="767"/>
    </row>
    <row r="81" spans="1:26">
      <c r="A81" s="774"/>
      <c r="B81" s="774"/>
      <c r="C81" s="775">
        <v>72</v>
      </c>
      <c r="D81" s="776"/>
      <c r="E81" s="832" t="s">
        <v>496</v>
      </c>
      <c r="F81" s="802">
        <f>+F73+F79</f>
        <v>18784823.079999998</v>
      </c>
      <c r="G81" s="802">
        <f t="shared" ref="G81:S81" si="15">+G73+G79</f>
        <v>27606316.609999996</v>
      </c>
      <c r="H81" s="802">
        <f t="shared" si="15"/>
        <v>21544308.689999998</v>
      </c>
      <c r="I81" s="802">
        <f t="shared" si="15"/>
        <v>21011098.629999999</v>
      </c>
      <c r="J81" s="802">
        <f t="shared" si="15"/>
        <v>16994251.52</v>
      </c>
      <c r="K81" s="802">
        <f t="shared" si="15"/>
        <v>13540741.219999999</v>
      </c>
      <c r="L81" s="802">
        <f t="shared" si="15"/>
        <v>10224749.609999999</v>
      </c>
      <c r="M81" s="802">
        <f t="shared" si="15"/>
        <v>8861888.7599999998</v>
      </c>
      <c r="N81" s="802">
        <f t="shared" si="15"/>
        <v>7632404.8700000001</v>
      </c>
      <c r="O81" s="802">
        <f t="shared" si="15"/>
        <v>8109662.4399999995</v>
      </c>
      <c r="P81" s="802">
        <f t="shared" si="15"/>
        <v>9075042.5699999984</v>
      </c>
      <c r="Q81" s="802">
        <f t="shared" si="15"/>
        <v>9860178.0500000007</v>
      </c>
      <c r="R81" s="802">
        <f t="shared" si="15"/>
        <v>19763734.140000001</v>
      </c>
      <c r="S81" s="802">
        <f t="shared" si="15"/>
        <v>14477910.131666666</v>
      </c>
      <c r="T81" s="754"/>
      <c r="U81" s="789"/>
      <c r="V81" s="789"/>
      <c r="W81" s="789"/>
      <c r="X81" s="789"/>
      <c r="Y81" s="767"/>
      <c r="Z81" s="767"/>
    </row>
    <row r="82" spans="1:26">
      <c r="A82" s="774"/>
      <c r="B82" s="774"/>
      <c r="C82" s="775">
        <v>73</v>
      </c>
      <c r="D82" s="776"/>
      <c r="E82" s="832"/>
      <c r="F82" s="778"/>
      <c r="G82" s="779"/>
      <c r="H82" s="780"/>
      <c r="I82" s="780"/>
      <c r="J82" s="781"/>
      <c r="K82" s="782"/>
      <c r="L82" s="783"/>
      <c r="M82" s="784"/>
      <c r="N82" s="785"/>
      <c r="O82" s="786"/>
      <c r="P82" s="787"/>
      <c r="Q82" s="788"/>
      <c r="R82" s="778"/>
      <c r="S82" s="780">
        <f t="shared" si="13"/>
        <v>0</v>
      </c>
      <c r="T82" s="754"/>
      <c r="U82" s="789"/>
      <c r="V82" s="789"/>
      <c r="W82" s="789"/>
      <c r="X82" s="789"/>
      <c r="Y82" s="767"/>
      <c r="Z82" s="767"/>
    </row>
    <row r="83" spans="1:26">
      <c r="A83" s="774" t="s">
        <v>497</v>
      </c>
      <c r="B83" s="774" t="s">
        <v>410</v>
      </c>
      <c r="C83" s="775">
        <v>74</v>
      </c>
      <c r="D83" s="776" t="str">
        <f>+A83</f>
        <v>1540</v>
      </c>
      <c r="E83" s="777" t="s">
        <v>498</v>
      </c>
      <c r="F83" s="778">
        <v>7019221.7300000004</v>
      </c>
      <c r="G83" s="779">
        <v>6875168.5999999996</v>
      </c>
      <c r="H83" s="780">
        <v>6777067.6399999997</v>
      </c>
      <c r="I83" s="780">
        <v>6833615.6799999997</v>
      </c>
      <c r="J83" s="781">
        <v>7007981.5999999996</v>
      </c>
      <c r="K83" s="782">
        <v>7051778.0599999996</v>
      </c>
      <c r="L83" s="783">
        <v>7233831.7300000004</v>
      </c>
      <c r="M83" s="784">
        <v>7196644.9400000004</v>
      </c>
      <c r="N83" s="785">
        <v>7223266.5300000003</v>
      </c>
      <c r="O83" s="786">
        <v>7796442.8799999999</v>
      </c>
      <c r="P83" s="787">
        <v>7542268.9100000001</v>
      </c>
      <c r="Q83" s="788">
        <v>7494539.7300000004</v>
      </c>
      <c r="R83" s="778">
        <v>7223893.4299999997</v>
      </c>
      <c r="S83" s="780">
        <f t="shared" si="13"/>
        <v>7179513.6566666672</v>
      </c>
      <c r="T83" s="754"/>
      <c r="U83" s="789"/>
      <c r="V83" s="789"/>
      <c r="W83" s="789"/>
      <c r="X83" s="789"/>
      <c r="Y83" s="767"/>
      <c r="Z83" s="767"/>
    </row>
    <row r="84" spans="1:26">
      <c r="A84" s="774" t="s">
        <v>499</v>
      </c>
      <c r="B84" s="774" t="s">
        <v>410</v>
      </c>
      <c r="C84" s="775">
        <v>75</v>
      </c>
      <c r="D84" s="776" t="str">
        <f>+A84</f>
        <v>1630</v>
      </c>
      <c r="E84" s="777" t="s">
        <v>500</v>
      </c>
      <c r="F84" s="778">
        <v>2.91038304567337E-11</v>
      </c>
      <c r="G84" s="779">
        <v>6295.25</v>
      </c>
      <c r="H84" s="780">
        <v>4651.54</v>
      </c>
      <c r="I84" s="780">
        <v>23106.77</v>
      </c>
      <c r="J84" s="781">
        <v>41906.57</v>
      </c>
      <c r="K84" s="782">
        <v>67087.56</v>
      </c>
      <c r="L84" s="783">
        <v>85003.37</v>
      </c>
      <c r="M84" s="784">
        <v>102587.63</v>
      </c>
      <c r="N84" s="785">
        <v>151876.95000000001</v>
      </c>
      <c r="O84" s="786">
        <v>166830.17000000001</v>
      </c>
      <c r="P84" s="787">
        <v>173789.35</v>
      </c>
      <c r="Q84" s="788">
        <v>187712.69</v>
      </c>
      <c r="R84" s="778">
        <v>-2.91038304567337E-11</v>
      </c>
      <c r="S84" s="780">
        <f t="shared" si="13"/>
        <v>84237.320833333346</v>
      </c>
      <c r="T84" s="754"/>
      <c r="U84" s="789"/>
      <c r="V84" s="789"/>
      <c r="W84" s="789"/>
      <c r="X84" s="789"/>
      <c r="Y84" s="767"/>
      <c r="Z84" s="767"/>
    </row>
    <row r="85" spans="1:26">
      <c r="A85" s="774" t="s">
        <v>501</v>
      </c>
      <c r="B85" s="774" t="s">
        <v>502</v>
      </c>
      <c r="C85" s="775">
        <v>76</v>
      </c>
      <c r="D85" s="776" t="str">
        <f>A85&amp;"."&amp;B85</f>
        <v>1641.[01,03]</v>
      </c>
      <c r="E85" s="777" t="s">
        <v>503</v>
      </c>
      <c r="F85" s="807">
        <v>0</v>
      </c>
      <c r="G85" s="779">
        <v>0</v>
      </c>
      <c r="H85" s="809">
        <v>0</v>
      </c>
      <c r="I85" s="809">
        <v>0</v>
      </c>
      <c r="J85" s="810">
        <v>0</v>
      </c>
      <c r="K85" s="811">
        <v>0</v>
      </c>
      <c r="L85" s="812">
        <v>0</v>
      </c>
      <c r="M85" s="813">
        <v>0</v>
      </c>
      <c r="N85" s="814">
        <v>0</v>
      </c>
      <c r="O85" s="815">
        <v>0</v>
      </c>
      <c r="P85" s="816">
        <v>0</v>
      </c>
      <c r="Q85" s="788">
        <v>0</v>
      </c>
      <c r="R85" s="807">
        <v>0</v>
      </c>
      <c r="S85" s="780">
        <f t="shared" si="13"/>
        <v>0</v>
      </c>
      <c r="T85" s="754"/>
      <c r="U85" s="789"/>
      <c r="V85" s="789"/>
      <c r="W85" s="789"/>
      <c r="X85" s="789"/>
      <c r="Y85" s="767"/>
      <c r="Z85" s="767"/>
    </row>
    <row r="86" spans="1:26">
      <c r="A86" s="774" t="s">
        <v>501</v>
      </c>
      <c r="B86" s="774" t="s">
        <v>504</v>
      </c>
      <c r="C86" s="775">
        <v>77</v>
      </c>
      <c r="D86" s="776" t="str">
        <f>A86&amp;"."&amp;B86</f>
        <v>1641.02</v>
      </c>
      <c r="E86" s="777" t="s">
        <v>505</v>
      </c>
      <c r="F86" s="807">
        <v>52788.7</v>
      </c>
      <c r="G86" s="779">
        <v>592943.59</v>
      </c>
      <c r="H86" s="809">
        <v>0</v>
      </c>
      <c r="I86" s="809">
        <v>278037.19</v>
      </c>
      <c r="J86" s="810">
        <v>364258.05</v>
      </c>
      <c r="K86" s="811">
        <v>91779.05</v>
      </c>
      <c r="L86" s="812">
        <v>6720.03999999999</v>
      </c>
      <c r="M86" s="813">
        <v>-6.3664629124105001E-12</v>
      </c>
      <c r="N86" s="814">
        <v>-6.3664629124105001E-12</v>
      </c>
      <c r="O86" s="815">
        <v>149539.65</v>
      </c>
      <c r="P86" s="816">
        <v>206387.69</v>
      </c>
      <c r="Q86" s="788">
        <v>280814.13</v>
      </c>
      <c r="R86" s="807">
        <v>87958.720000000001</v>
      </c>
      <c r="S86" s="780">
        <f t="shared" si="13"/>
        <v>170071.09166666667</v>
      </c>
      <c r="T86" s="754"/>
      <c r="U86" s="789"/>
      <c r="V86" s="789"/>
      <c r="W86" s="789"/>
      <c r="X86" s="789"/>
      <c r="Y86" s="767"/>
      <c r="Z86" s="767"/>
    </row>
    <row r="87" spans="1:26">
      <c r="A87" s="774" t="s">
        <v>501</v>
      </c>
      <c r="B87" s="774" t="s">
        <v>568</v>
      </c>
      <c r="C87" s="775">
        <v>78</v>
      </c>
      <c r="D87" s="776" t="str">
        <f>A87&amp;"."&amp;B87</f>
        <v>1641.04</v>
      </c>
      <c r="E87" s="777" t="s">
        <v>1008</v>
      </c>
      <c r="F87" s="807">
        <v>186057.52</v>
      </c>
      <c r="G87" s="779">
        <v>200402.73</v>
      </c>
      <c r="H87" s="809">
        <v>219068.21</v>
      </c>
      <c r="I87" s="809">
        <v>236891.08</v>
      </c>
      <c r="J87" s="810">
        <v>206008.55</v>
      </c>
      <c r="K87" s="811">
        <v>206008.55</v>
      </c>
      <c r="L87" s="812">
        <v>1820.00999999998</v>
      </c>
      <c r="M87" s="813">
        <v>-1.9781509763561199E-11</v>
      </c>
      <c r="N87" s="814">
        <v>51352.98</v>
      </c>
      <c r="O87" s="815">
        <v>89896.35</v>
      </c>
      <c r="P87" s="816">
        <v>89896.35</v>
      </c>
      <c r="Q87" s="788">
        <v>38697.56</v>
      </c>
      <c r="R87" s="807">
        <v>38697.56</v>
      </c>
      <c r="S87" s="780">
        <f t="shared" si="13"/>
        <v>121034.99250000004</v>
      </c>
      <c r="T87" s="754"/>
      <c r="U87" s="789"/>
      <c r="V87" s="789"/>
      <c r="W87" s="789"/>
      <c r="X87" s="789"/>
      <c r="Y87" s="767"/>
      <c r="Z87" s="767"/>
    </row>
    <row r="88" spans="1:26">
      <c r="A88" s="774" t="s">
        <v>506</v>
      </c>
      <c r="B88" s="774" t="s">
        <v>410</v>
      </c>
      <c r="C88" s="775">
        <v>79</v>
      </c>
      <c r="D88" s="776" t="str">
        <f>+A88</f>
        <v>1642</v>
      </c>
      <c r="E88" s="777" t="s">
        <v>507</v>
      </c>
      <c r="F88" s="807">
        <v>712311.02</v>
      </c>
      <c r="G88" s="779">
        <v>697965.81</v>
      </c>
      <c r="H88" s="809">
        <v>679300.33</v>
      </c>
      <c r="I88" s="809">
        <v>661477.46</v>
      </c>
      <c r="J88" s="810">
        <v>1205358</v>
      </c>
      <c r="K88" s="811">
        <v>1258794.78</v>
      </c>
      <c r="L88" s="812">
        <v>1462983.32</v>
      </c>
      <c r="M88" s="813">
        <v>1461900.81</v>
      </c>
      <c r="N88" s="814">
        <v>1905391.12</v>
      </c>
      <c r="O88" s="815">
        <v>2374582.09</v>
      </c>
      <c r="P88" s="816">
        <v>2374582.09</v>
      </c>
      <c r="Q88" s="788">
        <v>2393533.4399999999</v>
      </c>
      <c r="R88" s="807">
        <v>1705163.69</v>
      </c>
      <c r="S88" s="780">
        <f t="shared" si="13"/>
        <v>1473717.2170833331</v>
      </c>
      <c r="T88" s="754"/>
      <c r="U88" s="789"/>
      <c r="V88" s="789"/>
      <c r="W88" s="789"/>
      <c r="X88" s="789"/>
      <c r="Y88" s="767"/>
      <c r="Z88" s="767"/>
    </row>
    <row r="89" spans="1:26">
      <c r="A89" s="774"/>
      <c r="B89" s="774"/>
      <c r="C89" s="775">
        <v>80</v>
      </c>
      <c r="D89" s="776"/>
      <c r="E89" s="777"/>
      <c r="F89" s="791"/>
      <c r="G89" s="792"/>
      <c r="H89" s="793"/>
      <c r="I89" s="793"/>
      <c r="J89" s="794"/>
      <c r="K89" s="795"/>
      <c r="L89" s="796"/>
      <c r="M89" s="797"/>
      <c r="N89" s="798"/>
      <c r="O89" s="799"/>
      <c r="P89" s="800"/>
      <c r="Q89" s="801"/>
      <c r="R89" s="791"/>
      <c r="S89" s="780">
        <f t="shared" si="13"/>
        <v>0</v>
      </c>
      <c r="T89" s="754"/>
      <c r="U89" s="789"/>
      <c r="V89" s="789"/>
      <c r="W89" s="789"/>
      <c r="X89" s="789"/>
      <c r="Y89" s="767"/>
      <c r="Z89" s="767"/>
    </row>
    <row r="90" spans="1:26">
      <c r="A90" s="774"/>
      <c r="B90" s="774"/>
      <c r="C90" s="775">
        <v>81</v>
      </c>
      <c r="D90" s="776"/>
      <c r="E90" s="777" t="s">
        <v>508</v>
      </c>
      <c r="F90" s="802">
        <f>SUM(F83:F88)</f>
        <v>7970378.9700000007</v>
      </c>
      <c r="G90" s="802">
        <f t="shared" ref="G90:S90" si="16">SUM(G83:G88)</f>
        <v>8372775.9800000004</v>
      </c>
      <c r="H90" s="802">
        <f t="shared" si="16"/>
        <v>7680087.7199999997</v>
      </c>
      <c r="I90" s="802">
        <f t="shared" si="16"/>
        <v>8033128.1799999997</v>
      </c>
      <c r="J90" s="802">
        <f t="shared" si="16"/>
        <v>8825512.7699999996</v>
      </c>
      <c r="K90" s="802">
        <f t="shared" si="16"/>
        <v>8675447.9999999981</v>
      </c>
      <c r="L90" s="802">
        <f t="shared" si="16"/>
        <v>8790358.4700000007</v>
      </c>
      <c r="M90" s="802">
        <f t="shared" si="16"/>
        <v>8761133.3800000008</v>
      </c>
      <c r="N90" s="802">
        <f t="shared" si="16"/>
        <v>9331887.5800000019</v>
      </c>
      <c r="O90" s="802">
        <f t="shared" si="16"/>
        <v>10577291.140000001</v>
      </c>
      <c r="P90" s="802">
        <f t="shared" si="16"/>
        <v>10386924.390000001</v>
      </c>
      <c r="Q90" s="802">
        <f t="shared" si="16"/>
        <v>10395297.550000001</v>
      </c>
      <c r="R90" s="802">
        <f t="shared" si="16"/>
        <v>9055713.3999999985</v>
      </c>
      <c r="S90" s="802">
        <f t="shared" si="16"/>
        <v>9028574.2787500005</v>
      </c>
      <c r="T90" s="754"/>
      <c r="U90" s="789"/>
      <c r="V90" s="789"/>
      <c r="W90" s="789"/>
      <c r="X90" s="790">
        <f>S90</f>
        <v>9028574.2787500005</v>
      </c>
      <c r="Y90" s="767"/>
      <c r="Z90" s="767"/>
    </row>
    <row r="91" spans="1:26">
      <c r="A91" s="774"/>
      <c r="B91" s="774"/>
      <c r="C91" s="775">
        <v>82</v>
      </c>
      <c r="D91" s="776"/>
      <c r="E91" s="832"/>
      <c r="F91" s="778"/>
      <c r="G91" s="779"/>
      <c r="H91" s="780"/>
      <c r="I91" s="780"/>
      <c r="J91" s="781"/>
      <c r="K91" s="782"/>
      <c r="L91" s="783"/>
      <c r="M91" s="784"/>
      <c r="N91" s="785"/>
      <c r="O91" s="786"/>
      <c r="P91" s="787"/>
      <c r="Q91" s="788"/>
      <c r="R91" s="778"/>
      <c r="S91" s="780">
        <f t="shared" si="13"/>
        <v>0</v>
      </c>
      <c r="T91" s="754"/>
      <c r="U91" s="789"/>
      <c r="V91" s="789"/>
      <c r="W91" s="789"/>
      <c r="X91" s="789"/>
      <c r="Y91" s="767"/>
      <c r="Z91" s="767"/>
    </row>
    <row r="92" spans="1:26">
      <c r="A92" s="774" t="s">
        <v>509</v>
      </c>
      <c r="B92" s="774" t="s">
        <v>410</v>
      </c>
      <c r="C92" s="775">
        <v>83</v>
      </c>
      <c r="D92" s="776" t="str">
        <f>+A92</f>
        <v>1655</v>
      </c>
      <c r="E92" s="777" t="s">
        <v>510</v>
      </c>
      <c r="F92" s="778">
        <v>141934.38</v>
      </c>
      <c r="G92" s="779">
        <v>1047402.23</v>
      </c>
      <c r="H92" s="780">
        <v>951220.2</v>
      </c>
      <c r="I92" s="780">
        <v>862269.45</v>
      </c>
      <c r="J92" s="781">
        <v>753777.95</v>
      </c>
      <c r="K92" s="782">
        <v>645735.46</v>
      </c>
      <c r="L92" s="783">
        <v>573398.41</v>
      </c>
      <c r="M92" s="784">
        <v>465355.91</v>
      </c>
      <c r="N92" s="785">
        <v>357313.43</v>
      </c>
      <c r="O92" s="786">
        <v>282349.87</v>
      </c>
      <c r="P92" s="787">
        <v>171680.88</v>
      </c>
      <c r="Q92" s="788">
        <v>233437.62</v>
      </c>
      <c r="R92" s="778">
        <v>146719</v>
      </c>
      <c r="S92" s="780">
        <f t="shared" si="13"/>
        <v>540689.00833333342</v>
      </c>
      <c r="T92" s="754"/>
      <c r="U92" s="789"/>
      <c r="V92" s="789"/>
      <c r="W92" s="789"/>
      <c r="X92" s="789"/>
      <c r="Y92" s="767"/>
      <c r="Z92" s="767"/>
    </row>
    <row r="93" spans="1:26">
      <c r="A93" s="750" t="s">
        <v>511</v>
      </c>
      <c r="B93" s="750" t="s">
        <v>512</v>
      </c>
      <c r="C93" s="775">
        <v>84</v>
      </c>
      <c r="D93" s="752" t="str">
        <f>A93&amp;"."&amp;B93</f>
        <v>1659.[18,19,20]</v>
      </c>
      <c r="E93" s="857" t="s">
        <v>513</v>
      </c>
      <c r="F93" s="778">
        <v>0</v>
      </c>
      <c r="G93" s="858">
        <v>0</v>
      </c>
      <c r="H93" s="780">
        <v>0</v>
      </c>
      <c r="I93" s="780">
        <v>0</v>
      </c>
      <c r="J93" s="781">
        <v>0</v>
      </c>
      <c r="K93" s="782">
        <v>0</v>
      </c>
      <c r="L93" s="783">
        <v>0</v>
      </c>
      <c r="M93" s="784">
        <v>0</v>
      </c>
      <c r="N93" s="785">
        <v>0</v>
      </c>
      <c r="O93" s="786">
        <v>752163.93</v>
      </c>
      <c r="P93" s="787">
        <v>554607.04</v>
      </c>
      <c r="Q93" s="859">
        <v>391140.84</v>
      </c>
      <c r="R93" s="778">
        <v>0</v>
      </c>
      <c r="S93" s="780">
        <f t="shared" si="13"/>
        <v>141492.65083333335</v>
      </c>
      <c r="T93" s="754"/>
      <c r="U93" s="789"/>
      <c r="V93" s="789"/>
      <c r="W93" s="789"/>
      <c r="X93" s="789"/>
      <c r="Y93" s="767"/>
      <c r="Z93" s="767"/>
    </row>
    <row r="94" spans="1:26">
      <c r="A94" s="750" t="s">
        <v>511</v>
      </c>
      <c r="B94" s="750" t="s">
        <v>514</v>
      </c>
      <c r="C94" s="775">
        <v>85</v>
      </c>
      <c r="D94" s="752" t="str">
        <f>A94&amp;"."&amp;B94</f>
        <v>1659.22</v>
      </c>
      <c r="E94" s="857" t="s">
        <v>515</v>
      </c>
      <c r="F94" s="778">
        <v>2719098.63</v>
      </c>
      <c r="G94" s="858">
        <v>2487523.08</v>
      </c>
      <c r="H94" s="780">
        <v>2183281.08</v>
      </c>
      <c r="I94" s="780">
        <v>344683.95</v>
      </c>
      <c r="J94" s="781">
        <v>344683.95</v>
      </c>
      <c r="K94" s="782">
        <v>1242211.08</v>
      </c>
      <c r="L94" s="783">
        <v>1373709.51</v>
      </c>
      <c r="M94" s="784">
        <v>1911378.55</v>
      </c>
      <c r="N94" s="785">
        <v>2541463.54</v>
      </c>
      <c r="O94" s="786">
        <v>2763023.48</v>
      </c>
      <c r="P94" s="787">
        <v>2763023.48</v>
      </c>
      <c r="Q94" s="859">
        <v>2763023.48</v>
      </c>
      <c r="R94" s="778">
        <v>1381150.02</v>
      </c>
      <c r="S94" s="780">
        <f t="shared" si="13"/>
        <v>1897344.125416667</v>
      </c>
      <c r="T94" s="754"/>
      <c r="U94" s="789"/>
      <c r="V94" s="789"/>
      <c r="W94" s="789"/>
      <c r="X94" s="789"/>
      <c r="Y94" s="767"/>
      <c r="Z94" s="767"/>
    </row>
    <row r="95" spans="1:26">
      <c r="A95" s="750" t="s">
        <v>511</v>
      </c>
      <c r="B95" s="750" t="s">
        <v>516</v>
      </c>
      <c r="C95" s="775">
        <v>86</v>
      </c>
      <c r="D95" s="752" t="str">
        <f>A95&amp;"."&amp;B95</f>
        <v>1659.[/20,/21,/22,/18,/19]</v>
      </c>
      <c r="E95" s="777" t="s">
        <v>517</v>
      </c>
      <c r="F95" s="778">
        <v>711944.81</v>
      </c>
      <c r="G95" s="860">
        <v>592136.06999999995</v>
      </c>
      <c r="H95" s="780">
        <v>472327.33</v>
      </c>
      <c r="I95" s="780">
        <v>493362.4</v>
      </c>
      <c r="J95" s="781">
        <v>357904.35</v>
      </c>
      <c r="K95" s="782">
        <v>222446.3</v>
      </c>
      <c r="L95" s="783">
        <v>165668.10999999999</v>
      </c>
      <c r="M95" s="784">
        <v>143494.04999999999</v>
      </c>
      <c r="N95" s="785">
        <v>121319.99</v>
      </c>
      <c r="O95" s="786">
        <v>99145.930000000095</v>
      </c>
      <c r="P95" s="787">
        <v>76971.870000000097</v>
      </c>
      <c r="Q95" s="861">
        <v>1033988.87</v>
      </c>
      <c r="R95" s="778">
        <v>928900.59</v>
      </c>
      <c r="S95" s="780">
        <f t="shared" si="13"/>
        <v>383265.66416666663</v>
      </c>
      <c r="T95" s="754"/>
      <c r="U95" s="789"/>
      <c r="V95" s="789"/>
      <c r="W95" s="789"/>
      <c r="X95" s="789"/>
      <c r="Y95" s="767"/>
      <c r="Z95" s="767"/>
    </row>
    <row r="96" spans="1:26">
      <c r="A96" s="750" t="s">
        <v>518</v>
      </c>
      <c r="B96" s="750" t="s">
        <v>519</v>
      </c>
      <c r="C96" s="775">
        <v>87</v>
      </c>
      <c r="D96" s="752" t="str">
        <f>A96&amp;"."&amp;B96</f>
        <v>1860.[20424,20425]</v>
      </c>
      <c r="E96" s="777" t="s">
        <v>520</v>
      </c>
      <c r="F96" s="778">
        <v>0</v>
      </c>
      <c r="G96" s="860">
        <v>0</v>
      </c>
      <c r="H96" s="780">
        <v>0</v>
      </c>
      <c r="I96" s="780">
        <v>0</v>
      </c>
      <c r="J96" s="781">
        <v>0</v>
      </c>
      <c r="K96" s="782">
        <v>0</v>
      </c>
      <c r="L96" s="783">
        <v>0</v>
      </c>
      <c r="M96" s="784">
        <v>0</v>
      </c>
      <c r="N96" s="785">
        <v>0</v>
      </c>
      <c r="O96" s="786">
        <v>0</v>
      </c>
      <c r="P96" s="787">
        <v>0</v>
      </c>
      <c r="Q96" s="861">
        <v>0</v>
      </c>
      <c r="R96" s="778">
        <v>0</v>
      </c>
      <c r="S96" s="780">
        <f t="shared" si="13"/>
        <v>0</v>
      </c>
      <c r="T96" s="754"/>
      <c r="U96" s="789"/>
      <c r="V96" s="789"/>
      <c r="W96" s="789"/>
      <c r="X96" s="789"/>
      <c r="Y96" s="767"/>
      <c r="Z96" s="767"/>
    </row>
    <row r="97" spans="1:26">
      <c r="A97" s="750" t="s">
        <v>521</v>
      </c>
      <c r="B97" s="750" t="s">
        <v>410</v>
      </c>
      <c r="C97" s="775">
        <v>88</v>
      </c>
      <c r="D97" s="752" t="str">
        <f>+A97</f>
        <v>1747</v>
      </c>
      <c r="E97" s="777" t="s">
        <v>522</v>
      </c>
      <c r="F97" s="807">
        <v>0</v>
      </c>
      <c r="G97" s="860">
        <v>0</v>
      </c>
      <c r="H97" s="809">
        <v>0</v>
      </c>
      <c r="I97" s="809">
        <v>0</v>
      </c>
      <c r="J97" s="810">
        <v>0</v>
      </c>
      <c r="K97" s="811">
        <v>0</v>
      </c>
      <c r="L97" s="812">
        <v>0</v>
      </c>
      <c r="M97" s="813">
        <v>0</v>
      </c>
      <c r="N97" s="814">
        <v>0</v>
      </c>
      <c r="O97" s="815">
        <v>0</v>
      </c>
      <c r="P97" s="816">
        <v>0</v>
      </c>
      <c r="Q97" s="861">
        <v>0</v>
      </c>
      <c r="R97" s="807">
        <v>0</v>
      </c>
      <c r="S97" s="780">
        <f t="shared" si="13"/>
        <v>0</v>
      </c>
      <c r="T97" s="754"/>
      <c r="U97" s="789"/>
      <c r="V97" s="789"/>
      <c r="W97" s="789"/>
      <c r="X97" s="789"/>
      <c r="Y97" s="767"/>
      <c r="Z97" s="767"/>
    </row>
    <row r="98" spans="1:26">
      <c r="A98" s="750" t="s">
        <v>523</v>
      </c>
      <c r="B98" s="750" t="s">
        <v>524</v>
      </c>
      <c r="C98" s="775">
        <v>89</v>
      </c>
      <c r="D98" s="862" t="s">
        <v>525</v>
      </c>
      <c r="E98" s="777" t="s">
        <v>526</v>
      </c>
      <c r="F98" s="807">
        <v>0</v>
      </c>
      <c r="G98" s="860">
        <v>0</v>
      </c>
      <c r="H98" s="809">
        <v>0</v>
      </c>
      <c r="I98" s="809">
        <v>0</v>
      </c>
      <c r="J98" s="810">
        <v>0</v>
      </c>
      <c r="K98" s="811">
        <v>0</v>
      </c>
      <c r="L98" s="812">
        <v>0</v>
      </c>
      <c r="M98" s="813">
        <v>0</v>
      </c>
      <c r="N98" s="814">
        <v>0</v>
      </c>
      <c r="O98" s="815">
        <v>0</v>
      </c>
      <c r="P98" s="816">
        <v>0</v>
      </c>
      <c r="Q98" s="861">
        <v>0</v>
      </c>
      <c r="R98" s="807">
        <v>0</v>
      </c>
      <c r="S98" s="780">
        <f t="shared" si="13"/>
        <v>0</v>
      </c>
      <c r="T98" s="754"/>
      <c r="U98" s="789"/>
      <c r="V98" s="789"/>
      <c r="W98" s="789"/>
      <c r="X98" s="789"/>
      <c r="Y98" s="767"/>
      <c r="Z98" s="767"/>
    </row>
    <row r="99" spans="1:26">
      <c r="A99" s="750"/>
      <c r="B99" s="750"/>
      <c r="C99" s="775">
        <v>90</v>
      </c>
      <c r="D99" s="752"/>
      <c r="E99" s="777"/>
      <c r="F99" s="791"/>
      <c r="G99" s="863"/>
      <c r="H99" s="793"/>
      <c r="I99" s="793"/>
      <c r="J99" s="794"/>
      <c r="K99" s="795"/>
      <c r="L99" s="796"/>
      <c r="M99" s="797"/>
      <c r="N99" s="798"/>
      <c r="O99" s="799"/>
      <c r="P99" s="800"/>
      <c r="Q99" s="864"/>
      <c r="R99" s="791"/>
      <c r="S99" s="780">
        <f t="shared" si="13"/>
        <v>0</v>
      </c>
      <c r="T99" s="754"/>
      <c r="U99" s="789"/>
      <c r="V99" s="789"/>
      <c r="W99" s="789"/>
      <c r="X99" s="789"/>
      <c r="Y99" s="767"/>
      <c r="Z99" s="767"/>
    </row>
    <row r="100" spans="1:26">
      <c r="A100" s="774"/>
      <c r="B100" s="774"/>
      <c r="C100" s="775">
        <v>91</v>
      </c>
      <c r="D100" s="776"/>
      <c r="E100" s="777" t="s">
        <v>527</v>
      </c>
      <c r="F100" s="802">
        <f>SUM(F92:F98)</f>
        <v>3572977.82</v>
      </c>
      <c r="G100" s="802">
        <f t="shared" ref="G100:S100" si="17">SUM(G92:G98)</f>
        <v>4127061.38</v>
      </c>
      <c r="H100" s="802">
        <f t="shared" si="17"/>
        <v>3606828.6100000003</v>
      </c>
      <c r="I100" s="802">
        <f t="shared" si="17"/>
        <v>1700315.7999999998</v>
      </c>
      <c r="J100" s="802">
        <f t="shared" si="17"/>
        <v>1456366.25</v>
      </c>
      <c r="K100" s="802">
        <f t="shared" si="17"/>
        <v>2110392.84</v>
      </c>
      <c r="L100" s="802">
        <f t="shared" si="17"/>
        <v>2112776.0299999998</v>
      </c>
      <c r="M100" s="802">
        <f t="shared" si="17"/>
        <v>2520228.5099999998</v>
      </c>
      <c r="N100" s="802">
        <f t="shared" si="17"/>
        <v>3020096.9600000004</v>
      </c>
      <c r="O100" s="802">
        <f t="shared" si="17"/>
        <v>3896683.2100000004</v>
      </c>
      <c r="P100" s="802">
        <f t="shared" si="17"/>
        <v>3566283.27</v>
      </c>
      <c r="Q100" s="802">
        <f t="shared" si="17"/>
        <v>4421590.8099999996</v>
      </c>
      <c r="R100" s="802">
        <f t="shared" si="17"/>
        <v>2456769.61</v>
      </c>
      <c r="S100" s="802">
        <f t="shared" si="17"/>
        <v>2962791.4487500004</v>
      </c>
      <c r="T100" s="754"/>
      <c r="U100" s="789"/>
      <c r="V100" s="789"/>
      <c r="W100" s="789"/>
      <c r="X100" s="790">
        <f>S100</f>
        <v>2962791.4487500004</v>
      </c>
      <c r="Y100" s="767"/>
      <c r="Z100" s="767"/>
    </row>
    <row r="101" spans="1:26">
      <c r="A101" s="774"/>
      <c r="B101" s="774"/>
      <c r="C101" s="775">
        <v>92</v>
      </c>
      <c r="D101" s="776"/>
      <c r="E101" s="832"/>
      <c r="F101" s="778"/>
      <c r="G101" s="860"/>
      <c r="H101" s="780"/>
      <c r="I101" s="780"/>
      <c r="J101" s="781"/>
      <c r="K101" s="782"/>
      <c r="L101" s="783"/>
      <c r="M101" s="784"/>
      <c r="N101" s="785"/>
      <c r="O101" s="786"/>
      <c r="P101" s="787"/>
      <c r="Q101" s="861"/>
      <c r="R101" s="778"/>
      <c r="S101" s="780">
        <f t="shared" si="13"/>
        <v>0</v>
      </c>
      <c r="T101" s="754"/>
      <c r="U101" s="789"/>
      <c r="V101" s="789"/>
      <c r="W101" s="789"/>
      <c r="X101" s="789"/>
      <c r="Y101" s="767"/>
      <c r="Z101" s="767"/>
    </row>
    <row r="102" spans="1:26">
      <c r="A102" s="774" t="s">
        <v>528</v>
      </c>
      <c r="B102" s="774" t="s">
        <v>410</v>
      </c>
      <c r="C102" s="775">
        <v>93</v>
      </c>
      <c r="D102" s="776" t="str">
        <f>+A102</f>
        <v>1732</v>
      </c>
      <c r="E102" s="777" t="s">
        <v>529</v>
      </c>
      <c r="F102" s="778">
        <v>28632000.649999999</v>
      </c>
      <c r="G102" s="860">
        <v>24626907.170000002</v>
      </c>
      <c r="H102" s="780">
        <v>19166796.309999999</v>
      </c>
      <c r="I102" s="780">
        <v>14583859.439999999</v>
      </c>
      <c r="J102" s="781">
        <v>8270183.4000000004</v>
      </c>
      <c r="K102" s="782">
        <v>6024538.3700000001</v>
      </c>
      <c r="L102" s="783">
        <v>4191688.79</v>
      </c>
      <c r="M102" s="784">
        <v>3736720.02</v>
      </c>
      <c r="N102" s="785">
        <v>3243044.16</v>
      </c>
      <c r="O102" s="786">
        <v>4215111.09</v>
      </c>
      <c r="P102" s="787">
        <v>10117737.65</v>
      </c>
      <c r="Q102" s="861">
        <v>16812988.379999999</v>
      </c>
      <c r="R102" s="778">
        <v>32058629.699999999</v>
      </c>
      <c r="S102" s="780">
        <f t="shared" si="13"/>
        <v>12111240.829583332</v>
      </c>
      <c r="T102" s="754"/>
      <c r="U102" s="789"/>
      <c r="V102" s="789"/>
      <c r="W102" s="789"/>
      <c r="X102" s="789"/>
      <c r="Y102" s="767"/>
      <c r="Z102" s="767"/>
    </row>
    <row r="103" spans="1:26">
      <c r="A103" s="774" t="s">
        <v>530</v>
      </c>
      <c r="B103" s="774" t="s">
        <v>410</v>
      </c>
      <c r="C103" s="775">
        <v>94</v>
      </c>
      <c r="D103" s="776" t="str">
        <f>+A103</f>
        <v>1734</v>
      </c>
      <c r="E103" s="777" t="s">
        <v>531</v>
      </c>
      <c r="F103" s="804">
        <v>2108331.48</v>
      </c>
      <c r="G103" s="804">
        <v>2156906.9</v>
      </c>
      <c r="H103" s="804">
        <v>2045199.74</v>
      </c>
      <c r="I103" s="804">
        <v>1946728.53</v>
      </c>
      <c r="J103" s="804">
        <v>1855546.01</v>
      </c>
      <c r="K103" s="804">
        <v>1897697.16</v>
      </c>
      <c r="L103" s="804">
        <v>1936068.23</v>
      </c>
      <c r="M103" s="804">
        <v>1986725.15</v>
      </c>
      <c r="N103" s="804">
        <v>2148185.7000000002</v>
      </c>
      <c r="O103" s="806">
        <v>2331237.4</v>
      </c>
      <c r="P103" s="804">
        <v>2288200.34</v>
      </c>
      <c r="Q103" s="804">
        <v>2267355.81</v>
      </c>
      <c r="R103" s="804">
        <v>2463652.9500000002</v>
      </c>
      <c r="S103" s="780">
        <f t="shared" si="13"/>
        <v>2095486.9320833331</v>
      </c>
      <c r="T103" s="754"/>
      <c r="U103" s="789"/>
      <c r="V103" s="789"/>
      <c r="W103" s="789"/>
      <c r="X103" s="789"/>
      <c r="Y103" s="767"/>
      <c r="Z103" s="767"/>
    </row>
    <row r="104" spans="1:26">
      <c r="A104" s="774"/>
      <c r="B104" s="774"/>
      <c r="C104" s="775">
        <v>95</v>
      </c>
      <c r="D104" s="776"/>
      <c r="E104" s="777" t="s">
        <v>532</v>
      </c>
      <c r="F104" s="802">
        <f>+F102+F103</f>
        <v>30740332.129999999</v>
      </c>
      <c r="G104" s="802">
        <f t="shared" ref="G104:S104" si="18">+G102+G103</f>
        <v>26783814.07</v>
      </c>
      <c r="H104" s="802">
        <f t="shared" si="18"/>
        <v>21211996.049999997</v>
      </c>
      <c r="I104" s="802">
        <f t="shared" si="18"/>
        <v>16530587.969999999</v>
      </c>
      <c r="J104" s="802">
        <f t="shared" si="18"/>
        <v>10125729.41</v>
      </c>
      <c r="K104" s="802">
        <f t="shared" si="18"/>
        <v>7922235.5300000003</v>
      </c>
      <c r="L104" s="802">
        <f t="shared" si="18"/>
        <v>6127757.0199999996</v>
      </c>
      <c r="M104" s="802">
        <f t="shared" si="18"/>
        <v>5723445.1699999999</v>
      </c>
      <c r="N104" s="802">
        <f t="shared" si="18"/>
        <v>5391229.8600000003</v>
      </c>
      <c r="O104" s="802">
        <f t="shared" si="18"/>
        <v>6546348.4900000002</v>
      </c>
      <c r="P104" s="802">
        <f t="shared" si="18"/>
        <v>12405937.99</v>
      </c>
      <c r="Q104" s="802">
        <f t="shared" si="18"/>
        <v>19080344.189999998</v>
      </c>
      <c r="R104" s="802">
        <f t="shared" si="18"/>
        <v>34522282.649999999</v>
      </c>
      <c r="S104" s="802">
        <f t="shared" si="18"/>
        <v>14206727.761666665</v>
      </c>
      <c r="T104" s="754"/>
      <c r="U104" s="790"/>
      <c r="V104" s="789"/>
      <c r="W104" s="789"/>
      <c r="X104" s="790">
        <f>S104</f>
        <v>14206727.761666665</v>
      </c>
      <c r="Y104" s="767"/>
      <c r="Z104" s="767"/>
    </row>
    <row r="105" spans="1:26">
      <c r="A105" s="774"/>
      <c r="B105" s="774"/>
      <c r="C105" s="775">
        <v>96</v>
      </c>
      <c r="D105" s="776"/>
      <c r="E105" s="832"/>
      <c r="F105" s="778"/>
      <c r="G105" s="860"/>
      <c r="H105" s="780"/>
      <c r="I105" s="780"/>
      <c r="J105" s="781"/>
      <c r="K105" s="782"/>
      <c r="L105" s="783"/>
      <c r="M105" s="784"/>
      <c r="N105" s="785"/>
      <c r="O105" s="786"/>
      <c r="P105" s="787"/>
      <c r="Q105" s="861"/>
      <c r="R105" s="778"/>
      <c r="S105" s="780">
        <f t="shared" si="13"/>
        <v>0</v>
      </c>
      <c r="T105" s="754"/>
      <c r="U105" s="789"/>
      <c r="V105" s="789"/>
      <c r="W105" s="789"/>
      <c r="X105" s="789"/>
      <c r="Y105" s="767"/>
      <c r="Z105" s="767"/>
    </row>
    <row r="106" spans="1:26">
      <c r="A106" s="774" t="s">
        <v>533</v>
      </c>
      <c r="B106" s="774" t="s">
        <v>534</v>
      </c>
      <c r="C106" s="775">
        <v>97</v>
      </c>
      <c r="D106" s="776" t="str">
        <f>A106&amp;"."&amp;B106</f>
        <v>1900.[/*6*]</v>
      </c>
      <c r="E106" s="777" t="s">
        <v>535</v>
      </c>
      <c r="F106" s="778">
        <v>1686166.53</v>
      </c>
      <c r="G106" s="860">
        <v>1768090.12</v>
      </c>
      <c r="H106" s="780">
        <v>1850013.76</v>
      </c>
      <c r="I106" s="780">
        <v>1949363.44</v>
      </c>
      <c r="J106" s="781">
        <v>2032506.72</v>
      </c>
      <c r="K106" s="782">
        <v>2115649.98</v>
      </c>
      <c r="L106" s="783">
        <v>2191057.2599999998</v>
      </c>
      <c r="M106" s="784">
        <v>2272911.42</v>
      </c>
      <c r="N106" s="785">
        <v>2354765.66</v>
      </c>
      <c r="O106" s="786">
        <v>2425610.87</v>
      </c>
      <c r="P106" s="787">
        <v>0</v>
      </c>
      <c r="Q106" s="861">
        <v>0</v>
      </c>
      <c r="R106" s="778">
        <v>0</v>
      </c>
      <c r="S106" s="780">
        <f t="shared" si="13"/>
        <v>1650254.3745833335</v>
      </c>
      <c r="T106" s="754"/>
      <c r="U106" s="789"/>
      <c r="V106" s="789"/>
      <c r="W106" s="790"/>
      <c r="X106" s="790">
        <f>S106</f>
        <v>1650254.3745833335</v>
      </c>
      <c r="Y106" s="767"/>
      <c r="Z106" s="767"/>
    </row>
    <row r="107" spans="1:26">
      <c r="A107" s="774" t="s">
        <v>533</v>
      </c>
      <c r="B107" s="774" t="s">
        <v>536</v>
      </c>
      <c r="C107" s="775">
        <v>98</v>
      </c>
      <c r="D107" s="776" t="str">
        <f>A107&amp;"."&amp;B107</f>
        <v>1900.[*6*]</v>
      </c>
      <c r="E107" s="777" t="s">
        <v>537</v>
      </c>
      <c r="F107" s="778">
        <v>24705631</v>
      </c>
      <c r="G107" s="860">
        <v>24634848.52</v>
      </c>
      <c r="H107" s="780">
        <v>24564065.989999998</v>
      </c>
      <c r="I107" s="780">
        <v>24640601.559999999</v>
      </c>
      <c r="J107" s="781">
        <v>24569226.82</v>
      </c>
      <c r="K107" s="782">
        <v>24497852.09</v>
      </c>
      <c r="L107" s="783">
        <v>24350956.390000001</v>
      </c>
      <c r="M107" s="784">
        <v>24266971.73</v>
      </c>
      <c r="N107" s="785">
        <v>24182987.050000001</v>
      </c>
      <c r="O107" s="786">
        <v>24107703.920000002</v>
      </c>
      <c r="P107" s="787">
        <v>26704947.27</v>
      </c>
      <c r="Q107" s="861">
        <v>26662110.949999999</v>
      </c>
      <c r="R107" s="778">
        <v>26488326.940000001</v>
      </c>
      <c r="S107" s="780">
        <f t="shared" si="13"/>
        <v>24898270.938333333</v>
      </c>
      <c r="T107" s="754"/>
      <c r="U107" s="789"/>
      <c r="V107" s="789"/>
      <c r="W107" s="790"/>
      <c r="X107" s="790">
        <f>S107</f>
        <v>24898270.938333333</v>
      </c>
      <c r="Y107" s="767"/>
      <c r="Z107" s="767"/>
    </row>
    <row r="108" spans="1:26">
      <c r="A108" s="774"/>
      <c r="B108" s="774"/>
      <c r="C108" s="775">
        <v>99</v>
      </c>
      <c r="D108" s="776"/>
      <c r="E108" s="832"/>
      <c r="F108" s="778"/>
      <c r="G108" s="860"/>
      <c r="H108" s="780"/>
      <c r="I108" s="780"/>
      <c r="J108" s="781"/>
      <c r="K108" s="782"/>
      <c r="L108" s="783"/>
      <c r="M108" s="784"/>
      <c r="N108" s="785"/>
      <c r="O108" s="786"/>
      <c r="P108" s="787"/>
      <c r="Q108" s="861"/>
      <c r="R108" s="778"/>
      <c r="S108" s="780">
        <f t="shared" si="13"/>
        <v>0</v>
      </c>
      <c r="T108" s="754"/>
      <c r="U108" s="789"/>
      <c r="V108" s="789"/>
      <c r="W108" s="789"/>
      <c r="X108" s="789"/>
      <c r="Y108" s="767"/>
      <c r="Z108" s="767"/>
    </row>
    <row r="109" spans="1:26">
      <c r="A109" s="774" t="s">
        <v>538</v>
      </c>
      <c r="B109" s="774" t="s">
        <v>410</v>
      </c>
      <c r="C109" s="775">
        <v>100</v>
      </c>
      <c r="D109" s="776" t="str">
        <f>+A109</f>
        <v>1910</v>
      </c>
      <c r="E109" s="777" t="s">
        <v>539</v>
      </c>
      <c r="F109" s="778">
        <v>0</v>
      </c>
      <c r="G109" s="860">
        <v>0</v>
      </c>
      <c r="H109" s="780">
        <v>0</v>
      </c>
      <c r="I109" s="780">
        <v>0</v>
      </c>
      <c r="J109" s="781">
        <v>0</v>
      </c>
      <c r="K109" s="782">
        <v>0</v>
      </c>
      <c r="L109" s="783">
        <v>0</v>
      </c>
      <c r="M109" s="784">
        <v>0</v>
      </c>
      <c r="N109" s="785">
        <v>0</v>
      </c>
      <c r="O109" s="786">
        <v>0</v>
      </c>
      <c r="P109" s="787">
        <v>0</v>
      </c>
      <c r="Q109" s="861">
        <v>0</v>
      </c>
      <c r="R109" s="778">
        <v>318120.33</v>
      </c>
      <c r="S109" s="780">
        <f t="shared" si="13"/>
        <v>13255.01375</v>
      </c>
      <c r="T109" s="754"/>
      <c r="U109" s="789"/>
      <c r="V109" s="789"/>
      <c r="W109" s="790">
        <f>S109</f>
        <v>13255.01375</v>
      </c>
      <c r="X109" s="789"/>
      <c r="Y109" s="767"/>
      <c r="Z109" s="767"/>
    </row>
    <row r="110" spans="1:26">
      <c r="A110" s="774"/>
      <c r="B110" s="774"/>
      <c r="C110" s="775">
        <v>101</v>
      </c>
      <c r="D110" s="776"/>
      <c r="E110" s="832"/>
      <c r="F110" s="778"/>
      <c r="G110" s="860"/>
      <c r="H110" s="780"/>
      <c r="I110" s="780"/>
      <c r="J110" s="781"/>
      <c r="K110" s="782"/>
      <c r="L110" s="783"/>
      <c r="M110" s="784"/>
      <c r="N110" s="785"/>
      <c r="O110" s="786"/>
      <c r="P110" s="787"/>
      <c r="Q110" s="861"/>
      <c r="R110" s="778"/>
      <c r="S110" s="780">
        <f t="shared" si="13"/>
        <v>0</v>
      </c>
      <c r="T110" s="754"/>
      <c r="U110" s="789"/>
      <c r="V110" s="789"/>
      <c r="W110" s="789"/>
      <c r="X110" s="789"/>
      <c r="Y110" s="767"/>
      <c r="Z110" s="767"/>
    </row>
    <row r="111" spans="1:26">
      <c r="A111" s="774" t="s">
        <v>540</v>
      </c>
      <c r="B111" s="774" t="s">
        <v>541</v>
      </c>
      <c r="C111" s="775">
        <v>102</v>
      </c>
      <c r="D111" s="776" t="str">
        <f t="shared" ref="D111:D123" si="19">A111&amp;"."&amp;B111</f>
        <v>1810.12</v>
      </c>
      <c r="E111" s="777" t="s">
        <v>542</v>
      </c>
      <c r="F111" s="778">
        <v>78604.129999999903</v>
      </c>
      <c r="G111" s="860">
        <v>78044.67</v>
      </c>
      <c r="H111" s="780">
        <v>77485.210000000006</v>
      </c>
      <c r="I111" s="780">
        <v>76925.75</v>
      </c>
      <c r="J111" s="781">
        <v>76366.289999999994</v>
      </c>
      <c r="K111" s="782">
        <v>75806.83</v>
      </c>
      <c r="L111" s="783">
        <v>75247.37</v>
      </c>
      <c r="M111" s="784">
        <v>74687.91</v>
      </c>
      <c r="N111" s="785">
        <v>74128.45</v>
      </c>
      <c r="O111" s="786">
        <v>73568.989999999903</v>
      </c>
      <c r="P111" s="787">
        <v>73009.529999999897</v>
      </c>
      <c r="Q111" s="861">
        <v>72450.069999999905</v>
      </c>
      <c r="R111" s="778">
        <v>71890.609999999899</v>
      </c>
      <c r="S111" s="780">
        <f t="shared" si="13"/>
        <v>75247.369999999966</v>
      </c>
      <c r="T111" s="754"/>
      <c r="U111" s="789"/>
      <c r="V111" s="789"/>
      <c r="W111" s="789"/>
      <c r="X111" s="789"/>
      <c r="Y111" s="767"/>
      <c r="Z111" s="767"/>
    </row>
    <row r="112" spans="1:26">
      <c r="A112" s="774" t="s">
        <v>540</v>
      </c>
      <c r="B112" s="774" t="s">
        <v>543</v>
      </c>
      <c r="C112" s="775">
        <v>103</v>
      </c>
      <c r="D112" s="776" t="str">
        <f t="shared" si="19"/>
        <v>1810.13</v>
      </c>
      <c r="E112" s="777" t="s">
        <v>544</v>
      </c>
      <c r="F112" s="778">
        <v>66295.419999999896</v>
      </c>
      <c r="G112" s="860">
        <v>65875.820000000007</v>
      </c>
      <c r="H112" s="780">
        <v>65456.22</v>
      </c>
      <c r="I112" s="780">
        <v>65036.62</v>
      </c>
      <c r="J112" s="781">
        <v>64617.02</v>
      </c>
      <c r="K112" s="782">
        <v>64197.42</v>
      </c>
      <c r="L112" s="783">
        <v>63777.82</v>
      </c>
      <c r="M112" s="784">
        <v>63358.22</v>
      </c>
      <c r="N112" s="785">
        <v>62938.62</v>
      </c>
      <c r="O112" s="786">
        <v>62519.02</v>
      </c>
      <c r="P112" s="787">
        <v>62099.42</v>
      </c>
      <c r="Q112" s="861">
        <v>61679.82</v>
      </c>
      <c r="R112" s="778">
        <v>61260.22</v>
      </c>
      <c r="S112" s="780">
        <f t="shared" si="13"/>
        <v>63777.82</v>
      </c>
      <c r="T112" s="754"/>
      <c r="U112" s="789"/>
      <c r="V112" s="789"/>
      <c r="W112" s="789"/>
      <c r="X112" s="789"/>
      <c r="Y112" s="767"/>
      <c r="Z112" s="767"/>
    </row>
    <row r="113" spans="1:26">
      <c r="A113" s="774" t="s">
        <v>540</v>
      </c>
      <c r="B113" s="774" t="s">
        <v>545</v>
      </c>
      <c r="C113" s="775">
        <v>104</v>
      </c>
      <c r="D113" s="776" t="str">
        <f t="shared" si="19"/>
        <v>1810.17</v>
      </c>
      <c r="E113" s="777" t="s">
        <v>546</v>
      </c>
      <c r="F113" s="778">
        <v>1240690.05</v>
      </c>
      <c r="G113" s="860">
        <v>1235272.18</v>
      </c>
      <c r="H113" s="780">
        <v>1229854.31</v>
      </c>
      <c r="I113" s="780">
        <v>1224436.44</v>
      </c>
      <c r="J113" s="781">
        <v>1219018.57</v>
      </c>
      <c r="K113" s="782">
        <v>1213600.7</v>
      </c>
      <c r="L113" s="783">
        <v>1208182.83</v>
      </c>
      <c r="M113" s="784">
        <v>1202764.96</v>
      </c>
      <c r="N113" s="785">
        <v>1197347.0900000001</v>
      </c>
      <c r="O113" s="786">
        <v>1191929.22</v>
      </c>
      <c r="P113" s="787">
        <v>1186511.3500000001</v>
      </c>
      <c r="Q113" s="861">
        <v>1181093.48</v>
      </c>
      <c r="R113" s="778">
        <v>1175675.6100000001</v>
      </c>
      <c r="S113" s="780">
        <f t="shared" si="13"/>
        <v>1208182.83</v>
      </c>
      <c r="T113" s="754"/>
      <c r="U113" s="789"/>
      <c r="V113" s="789"/>
      <c r="W113" s="789"/>
      <c r="X113" s="789"/>
      <c r="Y113" s="767"/>
      <c r="Z113" s="767"/>
    </row>
    <row r="114" spans="1:26">
      <c r="A114" s="774" t="s">
        <v>540</v>
      </c>
      <c r="B114" s="774" t="s">
        <v>547</v>
      </c>
      <c r="C114" s="775">
        <v>105</v>
      </c>
      <c r="D114" s="776" t="str">
        <f t="shared" si="19"/>
        <v>1810.18</v>
      </c>
      <c r="E114" s="777" t="s">
        <v>548</v>
      </c>
      <c r="F114" s="778">
        <v>73826.64</v>
      </c>
      <c r="G114" s="860">
        <v>72478.58</v>
      </c>
      <c r="H114" s="780">
        <v>71130.52</v>
      </c>
      <c r="I114" s="780">
        <v>69782.460000000006</v>
      </c>
      <c r="J114" s="781">
        <v>68434.399999999994</v>
      </c>
      <c r="K114" s="782">
        <v>67086.34</v>
      </c>
      <c r="L114" s="783">
        <v>65738.28</v>
      </c>
      <c r="M114" s="784">
        <v>64390.22</v>
      </c>
      <c r="N114" s="785">
        <v>63042.16</v>
      </c>
      <c r="O114" s="786">
        <v>61694.1</v>
      </c>
      <c r="P114" s="787">
        <v>60346.04</v>
      </c>
      <c r="Q114" s="861">
        <v>58997.98</v>
      </c>
      <c r="R114" s="778">
        <v>57649.919999999998</v>
      </c>
      <c r="S114" s="780">
        <f t="shared" si="13"/>
        <v>65738.28</v>
      </c>
      <c r="T114" s="754"/>
      <c r="U114" s="789"/>
      <c r="V114" s="789"/>
      <c r="W114" s="789"/>
      <c r="X114" s="789"/>
      <c r="Y114" s="767"/>
      <c r="Z114" s="767"/>
    </row>
    <row r="115" spans="1:26">
      <c r="A115" s="774" t="s">
        <v>540</v>
      </c>
      <c r="B115" s="774" t="s">
        <v>549</v>
      </c>
      <c r="C115" s="775">
        <v>106</v>
      </c>
      <c r="D115" s="776" t="str">
        <f t="shared" si="19"/>
        <v>1810.19</v>
      </c>
      <c r="E115" s="777" t="s">
        <v>550</v>
      </c>
      <c r="F115" s="778">
        <v>164515.07999999999</v>
      </c>
      <c r="G115" s="860">
        <v>163867.57999999999</v>
      </c>
      <c r="H115" s="780">
        <v>163220.07999999999</v>
      </c>
      <c r="I115" s="780">
        <v>162572.57999999999</v>
      </c>
      <c r="J115" s="781">
        <v>161925.07999999999</v>
      </c>
      <c r="K115" s="782">
        <v>161277.57999999999</v>
      </c>
      <c r="L115" s="783">
        <v>160630.07999999999</v>
      </c>
      <c r="M115" s="784">
        <v>159982.57999999999</v>
      </c>
      <c r="N115" s="785">
        <v>159335.07999999999</v>
      </c>
      <c r="O115" s="786">
        <v>158687.57999999999</v>
      </c>
      <c r="P115" s="787">
        <v>158040.07999999999</v>
      </c>
      <c r="Q115" s="861">
        <v>157392.57999999999</v>
      </c>
      <c r="R115" s="778">
        <v>156745.07999999999</v>
      </c>
      <c r="S115" s="780">
        <f t="shared" si="13"/>
        <v>160630.08000000002</v>
      </c>
      <c r="T115" s="754"/>
      <c r="U115" s="789"/>
      <c r="V115" s="789"/>
      <c r="W115" s="789"/>
      <c r="X115" s="789"/>
      <c r="Y115" s="767"/>
      <c r="Z115" s="767"/>
    </row>
    <row r="116" spans="1:26">
      <c r="A116" s="774" t="s">
        <v>540</v>
      </c>
      <c r="B116" s="774" t="s">
        <v>551</v>
      </c>
      <c r="C116" s="775">
        <v>107</v>
      </c>
      <c r="D116" s="776" t="str">
        <f t="shared" si="19"/>
        <v>1810.20</v>
      </c>
      <c r="E116" s="865" t="s">
        <v>552</v>
      </c>
      <c r="F116" s="778">
        <v>120596.71</v>
      </c>
      <c r="G116" s="860">
        <v>119548.04</v>
      </c>
      <c r="H116" s="780">
        <v>118499.37</v>
      </c>
      <c r="I116" s="780">
        <v>117450.7</v>
      </c>
      <c r="J116" s="781">
        <v>116402.03</v>
      </c>
      <c r="K116" s="782">
        <v>115353.36</v>
      </c>
      <c r="L116" s="783">
        <v>114304.69</v>
      </c>
      <c r="M116" s="784">
        <v>113256.02</v>
      </c>
      <c r="N116" s="785">
        <v>112207.35</v>
      </c>
      <c r="O116" s="786">
        <v>111158.68</v>
      </c>
      <c r="P116" s="787">
        <v>110110.01</v>
      </c>
      <c r="Q116" s="861">
        <v>109061.34</v>
      </c>
      <c r="R116" s="778">
        <v>108012.67</v>
      </c>
      <c r="S116" s="780">
        <f t="shared" si="13"/>
        <v>114304.69</v>
      </c>
      <c r="T116" s="754"/>
      <c r="U116" s="789"/>
      <c r="V116" s="789"/>
      <c r="W116" s="789"/>
      <c r="X116" s="789"/>
      <c r="Y116" s="767"/>
      <c r="Z116" s="767"/>
    </row>
    <row r="117" spans="1:26">
      <c r="A117" s="774" t="s">
        <v>540</v>
      </c>
      <c r="B117" s="774" t="s">
        <v>553</v>
      </c>
      <c r="C117" s="775">
        <v>108</v>
      </c>
      <c r="D117" s="776" t="str">
        <f t="shared" si="19"/>
        <v>1810.21</v>
      </c>
      <c r="E117" s="865" t="s">
        <v>554</v>
      </c>
      <c r="F117" s="778">
        <v>126678.97</v>
      </c>
      <c r="G117" s="860">
        <v>125840.04</v>
      </c>
      <c r="H117" s="780">
        <v>125001.11</v>
      </c>
      <c r="I117" s="780">
        <v>124162.18</v>
      </c>
      <c r="J117" s="781">
        <v>123323.25</v>
      </c>
      <c r="K117" s="782">
        <v>122484.32</v>
      </c>
      <c r="L117" s="783">
        <v>121645.39</v>
      </c>
      <c r="M117" s="784">
        <v>120806.46</v>
      </c>
      <c r="N117" s="785">
        <v>119967.53</v>
      </c>
      <c r="O117" s="786">
        <v>119128.6</v>
      </c>
      <c r="P117" s="787">
        <v>118289.67</v>
      </c>
      <c r="Q117" s="861">
        <v>117450.74</v>
      </c>
      <c r="R117" s="778">
        <v>116611.81</v>
      </c>
      <c r="S117" s="780">
        <f t="shared" si="13"/>
        <v>121645.38999999997</v>
      </c>
      <c r="T117" s="754"/>
      <c r="U117" s="789"/>
      <c r="V117" s="789"/>
      <c r="W117" s="789"/>
      <c r="X117" s="789"/>
      <c r="Y117" s="767"/>
      <c r="Z117" s="767"/>
    </row>
    <row r="118" spans="1:26">
      <c r="A118" s="774" t="s">
        <v>540</v>
      </c>
      <c r="B118" s="774" t="s">
        <v>514</v>
      </c>
      <c r="C118" s="775">
        <v>109</v>
      </c>
      <c r="D118" s="776" t="str">
        <f t="shared" si="19"/>
        <v>1810.22</v>
      </c>
      <c r="E118" s="865" t="s">
        <v>555</v>
      </c>
      <c r="F118" s="807">
        <v>103750.1</v>
      </c>
      <c r="G118" s="860">
        <v>100291.77</v>
      </c>
      <c r="H118" s="809">
        <v>96833.44</v>
      </c>
      <c r="I118" s="809">
        <v>93375.11</v>
      </c>
      <c r="J118" s="810">
        <v>89916.78</v>
      </c>
      <c r="K118" s="811">
        <v>86458.45</v>
      </c>
      <c r="L118" s="812">
        <v>83000.12</v>
      </c>
      <c r="M118" s="813">
        <v>79541.789999999994</v>
      </c>
      <c r="N118" s="814">
        <v>76083.460000000006</v>
      </c>
      <c r="O118" s="815">
        <v>72625.13</v>
      </c>
      <c r="P118" s="816">
        <v>69166.8</v>
      </c>
      <c r="Q118" s="866">
        <v>65708.47</v>
      </c>
      <c r="R118" s="807">
        <v>62250.14</v>
      </c>
      <c r="S118" s="780">
        <f t="shared" si="13"/>
        <v>83000.12</v>
      </c>
      <c r="T118" s="754"/>
      <c r="U118" s="789"/>
      <c r="V118" s="789"/>
      <c r="W118" s="789"/>
      <c r="X118" s="789"/>
      <c r="Y118" s="767"/>
      <c r="Z118" s="767"/>
    </row>
    <row r="119" spans="1:26">
      <c r="A119" s="774" t="s">
        <v>540</v>
      </c>
      <c r="B119" s="774" t="s">
        <v>556</v>
      </c>
      <c r="C119" s="775">
        <v>110</v>
      </c>
      <c r="D119" s="776" t="str">
        <f t="shared" si="19"/>
        <v>1810.23</v>
      </c>
      <c r="E119" s="865" t="s">
        <v>557</v>
      </c>
      <c r="F119" s="815">
        <v>61144.39</v>
      </c>
      <c r="G119" s="786">
        <v>60967.67</v>
      </c>
      <c r="H119" s="786">
        <v>60790.95</v>
      </c>
      <c r="I119" s="786">
        <v>59506.01</v>
      </c>
      <c r="J119" s="855">
        <v>59332.52</v>
      </c>
      <c r="K119" s="855">
        <v>59159.03</v>
      </c>
      <c r="L119" s="786">
        <v>58985.54</v>
      </c>
      <c r="M119" s="786">
        <v>58812.05</v>
      </c>
      <c r="N119" s="786">
        <v>58638.559999999998</v>
      </c>
      <c r="O119" s="786">
        <v>58465.07</v>
      </c>
      <c r="P119" s="815">
        <v>58291.58</v>
      </c>
      <c r="Q119" s="815">
        <v>58118.09</v>
      </c>
      <c r="R119" s="815">
        <v>57944.6</v>
      </c>
      <c r="S119" s="780">
        <f t="shared" si="13"/>
        <v>59217.630416666652</v>
      </c>
      <c r="T119" s="754"/>
      <c r="U119" s="789"/>
      <c r="V119" s="789"/>
      <c r="W119" s="789"/>
      <c r="X119" s="789"/>
      <c r="Y119" s="767"/>
      <c r="Z119" s="767"/>
    </row>
    <row r="120" spans="1:26">
      <c r="A120" s="774" t="s">
        <v>540</v>
      </c>
      <c r="B120" s="774" t="s">
        <v>558</v>
      </c>
      <c r="C120" s="775">
        <v>111</v>
      </c>
      <c r="D120" s="776" t="str">
        <f t="shared" si="19"/>
        <v>1810.24</v>
      </c>
      <c r="E120" s="865" t="s">
        <v>559</v>
      </c>
      <c r="F120" s="815">
        <v>60452.25</v>
      </c>
      <c r="G120" s="786">
        <v>60322.52</v>
      </c>
      <c r="H120" s="786">
        <v>60192.79</v>
      </c>
      <c r="I120" s="786">
        <v>58941.24</v>
      </c>
      <c r="J120" s="855">
        <v>58813.94</v>
      </c>
      <c r="K120" s="855">
        <v>58686.64</v>
      </c>
      <c r="L120" s="786">
        <v>58559.34</v>
      </c>
      <c r="M120" s="786">
        <v>58432.04</v>
      </c>
      <c r="N120" s="786">
        <v>58304.74</v>
      </c>
      <c r="O120" s="815">
        <v>58177.440000000002</v>
      </c>
      <c r="P120" s="815">
        <v>58050.14</v>
      </c>
      <c r="Q120" s="815">
        <v>57922.84</v>
      </c>
      <c r="R120" s="815">
        <v>57795.54</v>
      </c>
      <c r="S120" s="780">
        <f t="shared" si="13"/>
        <v>58793.963749999995</v>
      </c>
      <c r="T120" s="754"/>
      <c r="U120" s="789"/>
      <c r="V120" s="789"/>
      <c r="W120" s="789"/>
      <c r="X120" s="789"/>
      <c r="Y120" s="767"/>
      <c r="Z120" s="767"/>
    </row>
    <row r="121" spans="1:26">
      <c r="A121" s="774" t="s">
        <v>540</v>
      </c>
      <c r="B121" s="774" t="s">
        <v>560</v>
      </c>
      <c r="C121" s="775">
        <v>112</v>
      </c>
      <c r="D121" s="776" t="str">
        <f t="shared" si="19"/>
        <v>1810.25</v>
      </c>
      <c r="E121" s="865" t="s">
        <v>559</v>
      </c>
      <c r="F121" s="815">
        <v>61497.83</v>
      </c>
      <c r="G121" s="786">
        <v>61321.11</v>
      </c>
      <c r="H121" s="786">
        <v>61144.39</v>
      </c>
      <c r="I121" s="786">
        <v>59852.99</v>
      </c>
      <c r="J121" s="855">
        <v>59679.5</v>
      </c>
      <c r="K121" s="855">
        <v>59506.01</v>
      </c>
      <c r="L121" s="786">
        <v>59332.52</v>
      </c>
      <c r="M121" s="786">
        <v>59159.03</v>
      </c>
      <c r="N121" s="786">
        <v>58985.54</v>
      </c>
      <c r="O121" s="815">
        <v>58812.05</v>
      </c>
      <c r="P121" s="815">
        <v>58638.559999999998</v>
      </c>
      <c r="Q121" s="815">
        <v>58465.07</v>
      </c>
      <c r="R121" s="815">
        <v>58291.58</v>
      </c>
      <c r="S121" s="780">
        <f t="shared" si="13"/>
        <v>59565.956249999988</v>
      </c>
      <c r="T121" s="754"/>
      <c r="U121" s="789"/>
      <c r="V121" s="789"/>
      <c r="W121" s="789"/>
      <c r="X121" s="789"/>
      <c r="Y121" s="767"/>
      <c r="Z121" s="767"/>
    </row>
    <row r="122" spans="1:26">
      <c r="A122" s="774" t="s">
        <v>540</v>
      </c>
      <c r="B122" s="774" t="s">
        <v>561</v>
      </c>
      <c r="C122" s="775">
        <v>113</v>
      </c>
      <c r="D122" s="776" t="str">
        <f t="shared" si="19"/>
        <v>1810.26</v>
      </c>
      <c r="E122" s="865" t="s">
        <v>559</v>
      </c>
      <c r="F122" s="815">
        <v>60711.71</v>
      </c>
      <c r="G122" s="815">
        <v>60581.98</v>
      </c>
      <c r="H122" s="815">
        <v>60452.25</v>
      </c>
      <c r="I122" s="815">
        <v>59195.839999999997</v>
      </c>
      <c r="J122" s="867">
        <v>59068.54</v>
      </c>
      <c r="K122" s="867">
        <v>58941.24</v>
      </c>
      <c r="L122" s="815">
        <v>58813.94</v>
      </c>
      <c r="M122" s="815">
        <v>58686.64</v>
      </c>
      <c r="N122" s="815">
        <v>58559.34</v>
      </c>
      <c r="O122" s="815">
        <v>58432.04</v>
      </c>
      <c r="P122" s="815">
        <v>58304.74</v>
      </c>
      <c r="Q122" s="815">
        <v>58177.440000000002</v>
      </c>
      <c r="R122" s="815">
        <v>58050.14</v>
      </c>
      <c r="S122" s="780">
        <f t="shared" si="13"/>
        <v>59049.576250000006</v>
      </c>
      <c r="T122" s="754"/>
      <c r="U122" s="789"/>
      <c r="V122" s="789"/>
      <c r="W122" s="789"/>
      <c r="X122" s="789"/>
      <c r="Y122" s="767"/>
      <c r="Z122" s="767"/>
    </row>
    <row r="123" spans="1:26">
      <c r="A123" s="774" t="s">
        <v>540</v>
      </c>
      <c r="B123" s="774" t="s">
        <v>1009</v>
      </c>
      <c r="C123" s="775">
        <v>114</v>
      </c>
      <c r="D123" s="776" t="str">
        <f t="shared" si="19"/>
        <v>1810.99</v>
      </c>
      <c r="E123" s="865" t="s">
        <v>1010</v>
      </c>
      <c r="F123" s="826"/>
      <c r="G123" s="786">
        <v>-2104120.19</v>
      </c>
      <c r="H123" s="826">
        <v>-2093227.2</v>
      </c>
      <c r="I123" s="826">
        <v>-2077862.81</v>
      </c>
      <c r="J123" s="868">
        <v>-2066981.14</v>
      </c>
      <c r="K123" s="868">
        <v>-2056099.47</v>
      </c>
      <c r="L123" s="826">
        <v>-2045217.8</v>
      </c>
      <c r="M123" s="826">
        <v>-2034336.13</v>
      </c>
      <c r="N123" s="826">
        <v>-2023454.46</v>
      </c>
      <c r="O123" s="826">
        <v>-2012572.79</v>
      </c>
      <c r="P123" s="826">
        <v>-2001691.12</v>
      </c>
      <c r="Q123" s="826">
        <v>-1990809.45</v>
      </c>
      <c r="R123" s="826">
        <v>-1979927.78</v>
      </c>
      <c r="S123" s="780">
        <f t="shared" si="13"/>
        <v>-1958028.0374999999</v>
      </c>
      <c r="T123" s="754"/>
      <c r="U123" s="789"/>
      <c r="V123" s="789"/>
      <c r="W123" s="789"/>
      <c r="X123" s="789"/>
      <c r="Y123" s="767"/>
      <c r="Z123" s="767"/>
    </row>
    <row r="124" spans="1:26">
      <c r="A124" s="774"/>
      <c r="B124" s="774"/>
      <c r="C124" s="775">
        <v>115</v>
      </c>
      <c r="D124" s="776"/>
      <c r="E124" s="869" t="s">
        <v>562</v>
      </c>
      <c r="F124" s="778">
        <f>SUM(F111:F123)</f>
        <v>2218763.2799999998</v>
      </c>
      <c r="G124" s="778">
        <f t="shared" ref="G124:S124" si="20">SUM(G111:G123)</f>
        <v>100291.77000000002</v>
      </c>
      <c r="H124" s="778">
        <f t="shared" si="20"/>
        <v>96833.440000000177</v>
      </c>
      <c r="I124" s="778">
        <f t="shared" si="20"/>
        <v>93375.10999999987</v>
      </c>
      <c r="J124" s="778">
        <f t="shared" si="20"/>
        <v>89916.780000000028</v>
      </c>
      <c r="K124" s="778">
        <f t="shared" si="20"/>
        <v>86458.450000000419</v>
      </c>
      <c r="L124" s="778">
        <f t="shared" si="20"/>
        <v>83000.120000000345</v>
      </c>
      <c r="M124" s="778">
        <f t="shared" si="20"/>
        <v>79541.790000000037</v>
      </c>
      <c r="N124" s="778">
        <f t="shared" si="20"/>
        <v>76083.460000000428</v>
      </c>
      <c r="O124" s="778">
        <f t="shared" si="20"/>
        <v>72625.130000000354</v>
      </c>
      <c r="P124" s="778">
        <f t="shared" si="20"/>
        <v>69166.800000000047</v>
      </c>
      <c r="Q124" s="778">
        <f t="shared" si="20"/>
        <v>65708.470000000205</v>
      </c>
      <c r="R124" s="778">
        <f t="shared" si="20"/>
        <v>62250.139999999898</v>
      </c>
      <c r="S124" s="778">
        <f t="shared" si="20"/>
        <v>171125.66916666715</v>
      </c>
      <c r="T124" s="754"/>
      <c r="U124" s="790">
        <f>S124</f>
        <v>171125.66916666715</v>
      </c>
      <c r="V124" s="790"/>
      <c r="W124" s="789"/>
      <c r="X124" s="789"/>
      <c r="Y124" s="767"/>
      <c r="Z124" s="767"/>
    </row>
    <row r="125" spans="1:26">
      <c r="A125" s="774"/>
      <c r="B125" s="774"/>
      <c r="C125" s="775">
        <v>116</v>
      </c>
      <c r="D125" s="776"/>
      <c r="E125" s="870"/>
      <c r="F125" s="778"/>
      <c r="G125" s="860"/>
      <c r="H125" s="780"/>
      <c r="I125" s="780"/>
      <c r="J125" s="781"/>
      <c r="K125" s="782"/>
      <c r="L125" s="783"/>
      <c r="M125" s="784"/>
      <c r="N125" s="785"/>
      <c r="O125" s="786"/>
      <c r="P125" s="787"/>
      <c r="Q125" s="861"/>
      <c r="R125" s="778"/>
      <c r="S125" s="780">
        <f t="shared" si="13"/>
        <v>0</v>
      </c>
      <c r="T125" s="754"/>
      <c r="U125" s="789"/>
      <c r="V125" s="789"/>
      <c r="W125" s="789"/>
      <c r="X125" s="789"/>
      <c r="Y125" s="767"/>
      <c r="Z125" s="767"/>
    </row>
    <row r="126" spans="1:26">
      <c r="A126" s="774" t="s">
        <v>563</v>
      </c>
      <c r="B126" s="774" t="s">
        <v>524</v>
      </c>
      <c r="C126" s="775">
        <v>117</v>
      </c>
      <c r="D126" s="776" t="str">
        <f>A126&amp;"."&amp;B126</f>
        <v>1890.01</v>
      </c>
      <c r="E126" s="869" t="s">
        <v>564</v>
      </c>
      <c r="F126" s="778">
        <v>0</v>
      </c>
      <c r="G126" s="860">
        <v>0</v>
      </c>
      <c r="H126" s="780">
        <v>0</v>
      </c>
      <c r="I126" s="780">
        <v>0</v>
      </c>
      <c r="J126" s="781">
        <v>0</v>
      </c>
      <c r="K126" s="782">
        <v>0</v>
      </c>
      <c r="L126" s="783">
        <v>0</v>
      </c>
      <c r="M126" s="784">
        <v>0</v>
      </c>
      <c r="N126" s="785">
        <v>0</v>
      </c>
      <c r="O126" s="786">
        <v>0</v>
      </c>
      <c r="P126" s="787">
        <v>0</v>
      </c>
      <c r="Q126" s="861">
        <v>0</v>
      </c>
      <c r="R126" s="778">
        <v>0</v>
      </c>
      <c r="S126" s="780">
        <f t="shared" si="13"/>
        <v>0</v>
      </c>
      <c r="T126" s="754"/>
      <c r="U126" s="789"/>
      <c r="V126" s="789"/>
      <c r="W126" s="789"/>
      <c r="X126" s="789"/>
      <c r="Y126" s="767"/>
      <c r="Z126" s="767"/>
    </row>
    <row r="127" spans="1:26">
      <c r="A127" s="774" t="s">
        <v>563</v>
      </c>
      <c r="B127" s="774" t="s">
        <v>504</v>
      </c>
      <c r="C127" s="775">
        <v>118</v>
      </c>
      <c r="D127" s="776" t="str">
        <f>A127&amp;"."&amp;B127</f>
        <v>1890.02</v>
      </c>
      <c r="E127" s="777" t="s">
        <v>565</v>
      </c>
      <c r="F127" s="778">
        <v>0</v>
      </c>
      <c r="G127" s="860">
        <v>0</v>
      </c>
      <c r="H127" s="780">
        <v>0</v>
      </c>
      <c r="I127" s="780">
        <v>0</v>
      </c>
      <c r="J127" s="781">
        <v>0</v>
      </c>
      <c r="K127" s="782">
        <v>0</v>
      </c>
      <c r="L127" s="783">
        <v>0</v>
      </c>
      <c r="M127" s="784">
        <v>0</v>
      </c>
      <c r="N127" s="785">
        <v>0</v>
      </c>
      <c r="O127" s="786">
        <v>0</v>
      </c>
      <c r="P127" s="787">
        <v>0</v>
      </c>
      <c r="Q127" s="861">
        <v>0</v>
      </c>
      <c r="R127" s="778">
        <v>0</v>
      </c>
      <c r="S127" s="780">
        <f t="shared" si="13"/>
        <v>0</v>
      </c>
      <c r="T127" s="754"/>
      <c r="U127" s="789"/>
      <c r="V127" s="789"/>
      <c r="W127" s="789"/>
      <c r="X127" s="789"/>
      <c r="Y127" s="767"/>
      <c r="Z127" s="767"/>
    </row>
    <row r="128" spans="1:26">
      <c r="A128" s="774" t="s">
        <v>563</v>
      </c>
      <c r="B128" s="774" t="s">
        <v>566</v>
      </c>
      <c r="C128" s="775">
        <v>119</v>
      </c>
      <c r="D128" s="776" t="str">
        <f>A128&amp;"."&amp;B128</f>
        <v>1890.03</v>
      </c>
      <c r="E128" s="777" t="s">
        <v>567</v>
      </c>
      <c r="F128" s="778">
        <v>0</v>
      </c>
      <c r="G128" s="860">
        <v>0</v>
      </c>
      <c r="H128" s="780">
        <v>0</v>
      </c>
      <c r="I128" s="780">
        <v>0</v>
      </c>
      <c r="J128" s="781">
        <v>0</v>
      </c>
      <c r="K128" s="782">
        <v>0</v>
      </c>
      <c r="L128" s="783">
        <v>0</v>
      </c>
      <c r="M128" s="784">
        <v>0</v>
      </c>
      <c r="N128" s="785">
        <v>0</v>
      </c>
      <c r="O128" s="786">
        <v>0</v>
      </c>
      <c r="P128" s="787">
        <v>0</v>
      </c>
      <c r="Q128" s="861">
        <v>0</v>
      </c>
      <c r="R128" s="778">
        <v>0</v>
      </c>
      <c r="S128" s="780">
        <f t="shared" si="13"/>
        <v>0</v>
      </c>
      <c r="T128" s="754"/>
      <c r="U128" s="789"/>
      <c r="V128" s="789"/>
      <c r="W128" s="789"/>
      <c r="X128" s="789"/>
      <c r="Y128" s="767"/>
      <c r="Z128" s="767"/>
    </row>
    <row r="129" spans="1:26">
      <c r="A129" s="774" t="s">
        <v>563</v>
      </c>
      <c r="B129" s="774" t="s">
        <v>568</v>
      </c>
      <c r="C129" s="775">
        <v>120</v>
      </c>
      <c r="D129" s="776" t="str">
        <f>A129&amp;"."&amp;B129</f>
        <v>1890.04</v>
      </c>
      <c r="E129" s="777" t="s">
        <v>569</v>
      </c>
      <c r="F129" s="778">
        <v>867212.39</v>
      </c>
      <c r="G129" s="860">
        <v>863798.17</v>
      </c>
      <c r="H129" s="780">
        <v>860383.95</v>
      </c>
      <c r="I129" s="780">
        <v>856969.73</v>
      </c>
      <c r="J129" s="781">
        <v>853555.51</v>
      </c>
      <c r="K129" s="782">
        <v>850141.29</v>
      </c>
      <c r="L129" s="783">
        <v>846727.07</v>
      </c>
      <c r="M129" s="784">
        <v>843312.85</v>
      </c>
      <c r="N129" s="785">
        <v>839898.63</v>
      </c>
      <c r="O129" s="786">
        <v>836484.41</v>
      </c>
      <c r="P129" s="787">
        <v>833070.19</v>
      </c>
      <c r="Q129" s="861">
        <v>829655.97</v>
      </c>
      <c r="R129" s="778">
        <v>826241.75</v>
      </c>
      <c r="S129" s="780">
        <f t="shared" si="13"/>
        <v>846727.07000000018</v>
      </c>
      <c r="T129" s="754"/>
      <c r="U129" s="789"/>
      <c r="V129" s="789"/>
      <c r="W129" s="789"/>
      <c r="X129" s="789"/>
      <c r="Y129" s="767"/>
      <c r="Z129" s="767"/>
    </row>
    <row r="130" spans="1:26">
      <c r="A130" s="774" t="s">
        <v>563</v>
      </c>
      <c r="B130" s="774"/>
      <c r="C130" s="775">
        <v>121</v>
      </c>
      <c r="D130" s="776"/>
      <c r="E130" s="777" t="s">
        <v>570</v>
      </c>
      <c r="F130" s="778">
        <v>0</v>
      </c>
      <c r="G130" s="871">
        <v>0</v>
      </c>
      <c r="H130" s="780">
        <v>0</v>
      </c>
      <c r="I130" s="780">
        <v>0</v>
      </c>
      <c r="J130" s="781">
        <v>0</v>
      </c>
      <c r="K130" s="782">
        <v>0</v>
      </c>
      <c r="L130" s="783">
        <v>0</v>
      </c>
      <c r="M130" s="784">
        <v>0</v>
      </c>
      <c r="N130" s="785">
        <v>0</v>
      </c>
      <c r="O130" s="786">
        <v>0</v>
      </c>
      <c r="P130" s="787">
        <v>0</v>
      </c>
      <c r="Q130" s="866">
        <v>0</v>
      </c>
      <c r="R130" s="778">
        <v>0</v>
      </c>
      <c r="S130" s="780">
        <f t="shared" si="13"/>
        <v>0</v>
      </c>
      <c r="T130" s="754"/>
      <c r="U130" s="789"/>
      <c r="V130" s="789"/>
      <c r="W130" s="789"/>
      <c r="X130" s="789"/>
      <c r="Y130" s="767"/>
      <c r="Z130" s="767"/>
    </row>
    <row r="131" spans="1:26">
      <c r="A131" s="774"/>
      <c r="B131" s="774"/>
      <c r="C131" s="775">
        <v>122</v>
      </c>
      <c r="D131" s="776"/>
      <c r="E131" s="777"/>
      <c r="F131" s="791"/>
      <c r="G131" s="863"/>
      <c r="H131" s="793"/>
      <c r="I131" s="793"/>
      <c r="J131" s="794"/>
      <c r="K131" s="795"/>
      <c r="L131" s="796"/>
      <c r="M131" s="797"/>
      <c r="N131" s="798"/>
      <c r="O131" s="799"/>
      <c r="P131" s="800"/>
      <c r="Q131" s="864"/>
      <c r="R131" s="791"/>
      <c r="S131" s="780">
        <f t="shared" si="13"/>
        <v>0</v>
      </c>
      <c r="T131" s="754"/>
      <c r="U131" s="789"/>
      <c r="V131" s="789"/>
      <c r="W131" s="789"/>
      <c r="X131" s="789"/>
      <c r="Y131" s="767"/>
      <c r="Z131" s="767"/>
    </row>
    <row r="132" spans="1:26">
      <c r="A132" s="774"/>
      <c r="B132" s="774"/>
      <c r="C132" s="775">
        <v>123</v>
      </c>
      <c r="D132" s="776"/>
      <c r="E132" s="777" t="s">
        <v>562</v>
      </c>
      <c r="F132" s="802">
        <f>SUM(F126:F130)</f>
        <v>867212.39</v>
      </c>
      <c r="G132" s="802">
        <f t="shared" ref="G132:S132" si="21">SUM(G126:G130)</f>
        <v>863798.17</v>
      </c>
      <c r="H132" s="802">
        <f t="shared" si="21"/>
        <v>860383.95</v>
      </c>
      <c r="I132" s="802">
        <f t="shared" si="21"/>
        <v>856969.73</v>
      </c>
      <c r="J132" s="802">
        <f t="shared" si="21"/>
        <v>853555.51</v>
      </c>
      <c r="K132" s="802">
        <f t="shared" si="21"/>
        <v>850141.29</v>
      </c>
      <c r="L132" s="802">
        <f t="shared" si="21"/>
        <v>846727.07</v>
      </c>
      <c r="M132" s="802">
        <f t="shared" si="21"/>
        <v>843312.85</v>
      </c>
      <c r="N132" s="802">
        <f t="shared" si="21"/>
        <v>839898.63</v>
      </c>
      <c r="O132" s="802">
        <f t="shared" si="21"/>
        <v>836484.41</v>
      </c>
      <c r="P132" s="802">
        <f t="shared" si="21"/>
        <v>833070.19</v>
      </c>
      <c r="Q132" s="802">
        <f t="shared" si="21"/>
        <v>829655.97</v>
      </c>
      <c r="R132" s="802">
        <f t="shared" si="21"/>
        <v>826241.75</v>
      </c>
      <c r="S132" s="802">
        <f t="shared" si="21"/>
        <v>846727.07000000018</v>
      </c>
      <c r="T132" s="754"/>
      <c r="U132" s="790">
        <f>S132</f>
        <v>846727.07000000018</v>
      </c>
      <c r="V132" s="790"/>
      <c r="W132" s="789"/>
      <c r="X132" s="789"/>
      <c r="Y132" s="767"/>
      <c r="Z132" s="767"/>
    </row>
    <row r="133" spans="1:26">
      <c r="A133" s="774"/>
      <c r="B133" s="774"/>
      <c r="C133" s="775">
        <v>124</v>
      </c>
      <c r="D133" s="776"/>
      <c r="E133" s="832"/>
      <c r="F133" s="778"/>
      <c r="G133" s="860"/>
      <c r="H133" s="780"/>
      <c r="I133" s="780"/>
      <c r="J133" s="781"/>
      <c r="K133" s="782"/>
      <c r="L133" s="783"/>
      <c r="M133" s="784"/>
      <c r="N133" s="785"/>
      <c r="O133" s="786"/>
      <c r="P133" s="787"/>
      <c r="Q133" s="861"/>
      <c r="R133" s="778"/>
      <c r="S133" s="780">
        <f t="shared" si="13"/>
        <v>0</v>
      </c>
      <c r="T133" s="754"/>
      <c r="U133" s="789"/>
      <c r="V133" s="789"/>
      <c r="W133" s="789"/>
      <c r="X133" s="789"/>
      <c r="Y133" s="767"/>
      <c r="Z133" s="767"/>
    </row>
    <row r="134" spans="1:26">
      <c r="A134" s="774" t="s">
        <v>523</v>
      </c>
      <c r="B134" s="774" t="s">
        <v>504</v>
      </c>
      <c r="C134" s="775">
        <v>125</v>
      </c>
      <c r="D134" s="776" t="str">
        <f>A134&amp;"."&amp;B134</f>
        <v>1750.02</v>
      </c>
      <c r="E134" s="777" t="s">
        <v>571</v>
      </c>
      <c r="F134" s="778">
        <v>0</v>
      </c>
      <c r="G134" s="860">
        <v>0</v>
      </c>
      <c r="H134" s="780">
        <v>0</v>
      </c>
      <c r="I134" s="780">
        <v>0</v>
      </c>
      <c r="J134" s="781">
        <v>0</v>
      </c>
      <c r="K134" s="782">
        <v>0</v>
      </c>
      <c r="L134" s="783">
        <v>0</v>
      </c>
      <c r="M134" s="784">
        <v>0</v>
      </c>
      <c r="N134" s="785">
        <v>0</v>
      </c>
      <c r="O134" s="786">
        <v>0</v>
      </c>
      <c r="P134" s="787">
        <v>0</v>
      </c>
      <c r="Q134" s="861">
        <v>0</v>
      </c>
      <c r="R134" s="778">
        <v>0</v>
      </c>
      <c r="S134" s="780">
        <f t="shared" si="13"/>
        <v>0</v>
      </c>
      <c r="T134" s="754"/>
      <c r="U134" s="789"/>
      <c r="V134" s="789"/>
      <c r="W134" s="789"/>
      <c r="X134" s="789"/>
      <c r="Y134" s="767"/>
      <c r="Z134" s="767"/>
    </row>
    <row r="135" spans="1:26">
      <c r="A135" s="774" t="s">
        <v>511</v>
      </c>
      <c r="B135" s="774" t="s">
        <v>572</v>
      </c>
      <c r="C135" s="775">
        <v>126</v>
      </c>
      <c r="D135" s="776" t="str">
        <f>A135&amp;"."&amp;B135</f>
        <v>1659.[21]</v>
      </c>
      <c r="E135" s="777" t="s">
        <v>517</v>
      </c>
      <c r="F135" s="778">
        <v>0</v>
      </c>
      <c r="G135" s="860">
        <v>0</v>
      </c>
      <c r="H135" s="780">
        <v>0</v>
      </c>
      <c r="I135" s="780">
        <v>0</v>
      </c>
      <c r="J135" s="781">
        <v>0</v>
      </c>
      <c r="K135" s="782">
        <v>0</v>
      </c>
      <c r="L135" s="783">
        <v>0</v>
      </c>
      <c r="M135" s="784">
        <v>0</v>
      </c>
      <c r="N135" s="785">
        <v>0</v>
      </c>
      <c r="O135" s="786">
        <v>0</v>
      </c>
      <c r="P135" s="787">
        <v>0</v>
      </c>
      <c r="Q135" s="861">
        <v>0</v>
      </c>
      <c r="R135" s="778">
        <v>0</v>
      </c>
      <c r="S135" s="780">
        <f t="shared" si="13"/>
        <v>0</v>
      </c>
      <c r="T135" s="754"/>
      <c r="U135" s="789"/>
      <c r="V135" s="789"/>
      <c r="W135" s="789"/>
      <c r="X135" s="789"/>
      <c r="Y135" s="767"/>
      <c r="Z135" s="767"/>
    </row>
    <row r="136" spans="1:26">
      <c r="A136" s="774" t="s">
        <v>573</v>
      </c>
      <c r="B136" s="774" t="s">
        <v>410</v>
      </c>
      <c r="C136" s="775">
        <v>127</v>
      </c>
      <c r="D136" s="872" t="str">
        <f>+A136</f>
        <v>1823</v>
      </c>
      <c r="E136" s="777" t="s">
        <v>574</v>
      </c>
      <c r="F136" s="778">
        <v>51471119.32</v>
      </c>
      <c r="G136" s="860">
        <v>51474103.770000003</v>
      </c>
      <c r="H136" s="780">
        <v>51477105.710000001</v>
      </c>
      <c r="I136" s="780">
        <v>52358916.280000001</v>
      </c>
      <c r="J136" s="781">
        <v>52361745.270000003</v>
      </c>
      <c r="K136" s="782">
        <v>52364591.909999996</v>
      </c>
      <c r="L136" s="783">
        <v>52367591.340000004</v>
      </c>
      <c r="M136" s="784">
        <v>52400689.82</v>
      </c>
      <c r="N136" s="785">
        <v>52517843.890000001</v>
      </c>
      <c r="O136" s="786">
        <v>52859086.200000003</v>
      </c>
      <c r="P136" s="787">
        <v>53863817.210000001</v>
      </c>
      <c r="Q136" s="861">
        <v>52299664.549999997</v>
      </c>
      <c r="R136" s="778">
        <v>49627340.659999996</v>
      </c>
      <c r="S136" s="780">
        <f t="shared" si="13"/>
        <v>52241198.828333326</v>
      </c>
      <c r="T136" s="754"/>
      <c r="U136" s="789"/>
      <c r="V136" s="789"/>
      <c r="W136" s="789"/>
      <c r="X136" s="790">
        <f>S136</f>
        <v>52241198.828333326</v>
      </c>
      <c r="Y136" s="767"/>
      <c r="Z136" s="767"/>
    </row>
    <row r="137" spans="1:26">
      <c r="A137" s="774" t="s">
        <v>575</v>
      </c>
      <c r="B137" s="774" t="s">
        <v>410</v>
      </c>
      <c r="C137" s="775">
        <v>128</v>
      </c>
      <c r="D137" s="872" t="str">
        <f>+A137</f>
        <v>1840</v>
      </c>
      <c r="E137" s="777" t="s">
        <v>576</v>
      </c>
      <c r="F137" s="778">
        <v>-67632.320000000007</v>
      </c>
      <c r="G137" s="860">
        <v>-113186.96</v>
      </c>
      <c r="H137" s="780">
        <v>-63619.71</v>
      </c>
      <c r="I137" s="780">
        <v>-145417.21</v>
      </c>
      <c r="J137" s="781">
        <v>-161351.10999999999</v>
      </c>
      <c r="K137" s="782">
        <v>-127223.8</v>
      </c>
      <c r="L137" s="783">
        <v>-111028.91</v>
      </c>
      <c r="M137" s="784">
        <v>-91144.65</v>
      </c>
      <c r="N137" s="785">
        <v>-131459.70000000001</v>
      </c>
      <c r="O137" s="786">
        <v>-150701.76999999999</v>
      </c>
      <c r="P137" s="787">
        <v>-159252.68</v>
      </c>
      <c r="Q137" s="861">
        <v>-109616.47</v>
      </c>
      <c r="R137" s="778">
        <v>-64198.02</v>
      </c>
      <c r="S137" s="780">
        <f t="shared" si="13"/>
        <v>-119159.84499999999</v>
      </c>
      <c r="T137" s="754"/>
      <c r="U137" s="789"/>
      <c r="V137" s="789"/>
      <c r="W137" s="789"/>
      <c r="X137" s="790">
        <f>S137</f>
        <v>-119159.84499999999</v>
      </c>
      <c r="Y137" s="767"/>
      <c r="Z137" s="767"/>
    </row>
    <row r="138" spans="1:26">
      <c r="A138" s="774" t="s">
        <v>577</v>
      </c>
      <c r="B138" s="774" t="s">
        <v>410</v>
      </c>
      <c r="C138" s="775">
        <v>129</v>
      </c>
      <c r="D138" s="776" t="s">
        <v>578</v>
      </c>
      <c r="E138" s="777" t="s">
        <v>579</v>
      </c>
      <c r="F138" s="778">
        <v>10483.599999999904</v>
      </c>
      <c r="G138" s="860">
        <v>-18042.14999999998</v>
      </c>
      <c r="H138" s="780">
        <v>-35788.390000000007</v>
      </c>
      <c r="I138" s="780">
        <v>-81566.23000000001</v>
      </c>
      <c r="J138" s="781">
        <v>-75237.210000000021</v>
      </c>
      <c r="K138" s="782">
        <v>-87120.2</v>
      </c>
      <c r="L138" s="783">
        <v>-142541.12</v>
      </c>
      <c r="M138" s="784">
        <v>-155721.53</v>
      </c>
      <c r="N138" s="785">
        <v>-128242.37999999998</v>
      </c>
      <c r="O138" s="786">
        <v>-104739.90000000002</v>
      </c>
      <c r="P138" s="787">
        <v>-68900.88</v>
      </c>
      <c r="Q138" s="861">
        <v>-15703.479999999996</v>
      </c>
      <c r="R138" s="778">
        <v>168813.16999999998</v>
      </c>
      <c r="S138" s="780">
        <f t="shared" si="13"/>
        <v>-68662.923750000002</v>
      </c>
      <c r="T138" s="754"/>
      <c r="U138" s="789"/>
      <c r="V138" s="789"/>
      <c r="W138" s="789"/>
      <c r="X138" s="790">
        <f>S138</f>
        <v>-68662.923750000002</v>
      </c>
      <c r="Y138" s="767"/>
      <c r="Z138" s="767"/>
    </row>
    <row r="139" spans="1:26">
      <c r="A139" s="774" t="s">
        <v>518</v>
      </c>
      <c r="B139" s="774" t="s">
        <v>580</v>
      </c>
      <c r="C139" s="775">
        <v>130</v>
      </c>
      <c r="D139" s="776" t="str">
        <f t="shared" ref="D139:D145" si="22">A139&amp;"."&amp;B139</f>
        <v>1860.205*</v>
      </c>
      <c r="E139" s="777" t="s">
        <v>581</v>
      </c>
      <c r="F139" s="778">
        <v>0</v>
      </c>
      <c r="G139" s="860">
        <v>0</v>
      </c>
      <c r="H139" s="780">
        <v>0</v>
      </c>
      <c r="I139" s="780">
        <v>0</v>
      </c>
      <c r="J139" s="781">
        <v>0</v>
      </c>
      <c r="K139" s="782">
        <v>0</v>
      </c>
      <c r="L139" s="783">
        <v>0</v>
      </c>
      <c r="M139" s="784">
        <v>0</v>
      </c>
      <c r="N139" s="785">
        <v>0</v>
      </c>
      <c r="O139" s="786">
        <v>0</v>
      </c>
      <c r="P139" s="787">
        <v>0</v>
      </c>
      <c r="Q139" s="861">
        <v>0</v>
      </c>
      <c r="R139" s="778">
        <v>0</v>
      </c>
      <c r="S139" s="780">
        <f t="shared" si="13"/>
        <v>0</v>
      </c>
      <c r="T139" s="754"/>
      <c r="U139" s="789"/>
      <c r="V139" s="789"/>
      <c r="W139" s="789"/>
      <c r="X139" s="789"/>
      <c r="Y139" s="767"/>
      <c r="Z139" s="767"/>
    </row>
    <row r="140" spans="1:26">
      <c r="A140" s="774" t="s">
        <v>518</v>
      </c>
      <c r="B140" s="774" t="s">
        <v>582</v>
      </c>
      <c r="C140" s="775">
        <v>131</v>
      </c>
      <c r="D140" s="776" t="str">
        <f t="shared" si="22"/>
        <v>1860.201*</v>
      </c>
      <c r="E140" s="777" t="s">
        <v>583</v>
      </c>
      <c r="F140" s="778">
        <v>0</v>
      </c>
      <c r="G140" s="860">
        <v>0</v>
      </c>
      <c r="H140" s="780">
        <v>0</v>
      </c>
      <c r="I140" s="780">
        <v>0</v>
      </c>
      <c r="J140" s="781">
        <v>0</v>
      </c>
      <c r="K140" s="782">
        <v>0</v>
      </c>
      <c r="L140" s="783">
        <v>0</v>
      </c>
      <c r="M140" s="784">
        <v>0</v>
      </c>
      <c r="N140" s="785">
        <v>0</v>
      </c>
      <c r="O140" s="786">
        <v>0</v>
      </c>
      <c r="P140" s="787">
        <v>0</v>
      </c>
      <c r="Q140" s="861">
        <v>0</v>
      </c>
      <c r="R140" s="778">
        <v>0</v>
      </c>
      <c r="S140" s="780">
        <f t="shared" ref="S140:S203" si="23">((F140+R140)+((G140+H140+I140+J140+K140+L140+M140+N140+O140+P140+Q140)*2))/24</f>
        <v>0</v>
      </c>
      <c r="T140" s="754"/>
      <c r="U140" s="789"/>
      <c r="V140" s="789"/>
      <c r="W140" s="789"/>
      <c r="X140" s="789"/>
      <c r="Y140" s="767"/>
      <c r="Z140" s="767"/>
    </row>
    <row r="141" spans="1:26">
      <c r="A141" s="774" t="s">
        <v>518</v>
      </c>
      <c r="B141" s="774" t="s">
        <v>584</v>
      </c>
      <c r="C141" s="775">
        <v>132</v>
      </c>
      <c r="D141" s="776" t="str">
        <f t="shared" si="22"/>
        <v>1860.202*</v>
      </c>
      <c r="E141" s="777" t="s">
        <v>585</v>
      </c>
      <c r="F141" s="778">
        <v>998935.74</v>
      </c>
      <c r="G141" s="860">
        <v>985897.7</v>
      </c>
      <c r="H141" s="780">
        <v>970609.92</v>
      </c>
      <c r="I141" s="780">
        <v>954524.1</v>
      </c>
      <c r="J141" s="781">
        <v>938438.28</v>
      </c>
      <c r="K141" s="782">
        <v>962286.22</v>
      </c>
      <c r="L141" s="783">
        <v>953634.98</v>
      </c>
      <c r="M141" s="784">
        <v>945067.25</v>
      </c>
      <c r="N141" s="785">
        <v>936499.52</v>
      </c>
      <c r="O141" s="786">
        <v>927931.79</v>
      </c>
      <c r="P141" s="787">
        <v>944933.42</v>
      </c>
      <c r="Q141" s="861">
        <v>938997.83</v>
      </c>
      <c r="R141" s="778">
        <v>1321815.02</v>
      </c>
      <c r="S141" s="780">
        <f t="shared" si="23"/>
        <v>968266.36583333311</v>
      </c>
      <c r="T141" s="754"/>
      <c r="U141" s="789"/>
      <c r="V141" s="789"/>
      <c r="W141" s="789"/>
      <c r="X141" s="790">
        <f>S141</f>
        <v>968266.36583333311</v>
      </c>
      <c r="Y141" s="767"/>
      <c r="Z141" s="767"/>
    </row>
    <row r="142" spans="1:26">
      <c r="A142" s="750" t="s">
        <v>518</v>
      </c>
      <c r="B142" s="750" t="s">
        <v>586</v>
      </c>
      <c r="C142" s="775">
        <v>133</v>
      </c>
      <c r="D142" s="752" t="str">
        <f t="shared" si="22"/>
        <v>1860.20206</v>
      </c>
      <c r="E142" s="777" t="s">
        <v>587</v>
      </c>
      <c r="F142" s="778">
        <v>0</v>
      </c>
      <c r="G142" s="860">
        <v>0</v>
      </c>
      <c r="H142" s="780">
        <v>0</v>
      </c>
      <c r="I142" s="780">
        <v>0</v>
      </c>
      <c r="J142" s="781">
        <v>0</v>
      </c>
      <c r="K142" s="782">
        <v>0</v>
      </c>
      <c r="L142" s="783">
        <v>0</v>
      </c>
      <c r="M142" s="784">
        <v>0</v>
      </c>
      <c r="N142" s="785">
        <v>0</v>
      </c>
      <c r="O142" s="786">
        <v>0</v>
      </c>
      <c r="P142" s="787">
        <v>0</v>
      </c>
      <c r="Q142" s="861">
        <v>0</v>
      </c>
      <c r="R142" s="778">
        <v>0</v>
      </c>
      <c r="S142" s="780">
        <f t="shared" si="23"/>
        <v>0</v>
      </c>
      <c r="T142" s="754"/>
      <c r="U142" s="789"/>
      <c r="V142" s="789"/>
      <c r="W142" s="789"/>
      <c r="X142" s="789"/>
      <c r="Y142" s="767"/>
      <c r="Z142" s="767"/>
    </row>
    <row r="143" spans="1:26">
      <c r="A143" s="750" t="s">
        <v>518</v>
      </c>
      <c r="B143" s="750" t="s">
        <v>588</v>
      </c>
      <c r="C143" s="775">
        <v>134</v>
      </c>
      <c r="D143" s="752" t="str">
        <f t="shared" si="22"/>
        <v>1860.[20426,20427]</v>
      </c>
      <c r="E143" s="777" t="s">
        <v>589</v>
      </c>
      <c r="F143" s="778">
        <v>0</v>
      </c>
      <c r="G143" s="860">
        <v>0</v>
      </c>
      <c r="H143" s="780">
        <v>0</v>
      </c>
      <c r="I143" s="780">
        <v>0</v>
      </c>
      <c r="J143" s="781">
        <v>0</v>
      </c>
      <c r="K143" s="782">
        <v>0</v>
      </c>
      <c r="L143" s="783">
        <v>0</v>
      </c>
      <c r="M143" s="784">
        <v>0</v>
      </c>
      <c r="N143" s="785">
        <v>0</v>
      </c>
      <c r="O143" s="786">
        <v>0</v>
      </c>
      <c r="P143" s="787">
        <v>0</v>
      </c>
      <c r="Q143" s="861">
        <v>0</v>
      </c>
      <c r="R143" s="778">
        <v>0</v>
      </c>
      <c r="S143" s="780">
        <f t="shared" si="23"/>
        <v>0</v>
      </c>
      <c r="T143" s="754"/>
      <c r="U143" s="789"/>
      <c r="V143" s="789"/>
      <c r="W143" s="789"/>
      <c r="X143" s="789"/>
      <c r="Y143" s="767"/>
      <c r="Z143" s="767"/>
    </row>
    <row r="144" spans="1:26">
      <c r="A144" s="750" t="s">
        <v>518</v>
      </c>
      <c r="B144" s="750" t="s">
        <v>590</v>
      </c>
      <c r="C144" s="775">
        <v>135</v>
      </c>
      <c r="D144" s="752" t="str">
        <f t="shared" si="22"/>
        <v>1860.[204*,/20424,/20425,/20426,/20427]</v>
      </c>
      <c r="E144" s="777" t="s">
        <v>591</v>
      </c>
      <c r="F144" s="778">
        <v>18201108.41</v>
      </c>
      <c r="G144" s="860">
        <v>18252514.34</v>
      </c>
      <c r="H144" s="780">
        <v>18285672.82</v>
      </c>
      <c r="I144" s="780">
        <v>18303837.34</v>
      </c>
      <c r="J144" s="781">
        <v>18324504.629999999</v>
      </c>
      <c r="K144" s="782">
        <v>18311625.559999999</v>
      </c>
      <c r="L144" s="783">
        <v>18019991.59</v>
      </c>
      <c r="M144" s="784">
        <v>17914168.600000001</v>
      </c>
      <c r="N144" s="785">
        <v>17920822.18</v>
      </c>
      <c r="O144" s="786">
        <v>17986542.59</v>
      </c>
      <c r="P144" s="787">
        <v>18015428.170000002</v>
      </c>
      <c r="Q144" s="861">
        <v>19788910.890000001</v>
      </c>
      <c r="R144" s="778">
        <v>20139439.84</v>
      </c>
      <c r="S144" s="780">
        <f t="shared" si="23"/>
        <v>18357857.736249998</v>
      </c>
      <c r="T144" s="754"/>
      <c r="U144" s="789"/>
      <c r="V144" s="789"/>
      <c r="W144" s="873">
        <v>1911203.44</v>
      </c>
      <c r="X144" s="790">
        <f>S144-W144</f>
        <v>16446654.296249999</v>
      </c>
      <c r="Y144" s="767"/>
      <c r="Z144" s="767"/>
    </row>
    <row r="145" spans="1:26">
      <c r="A145" s="750" t="s">
        <v>592</v>
      </c>
      <c r="B145" s="750" t="s">
        <v>593</v>
      </c>
      <c r="C145" s="775">
        <v>136</v>
      </c>
      <c r="D145" s="752" t="str">
        <f t="shared" si="22"/>
        <v>1862.204*</v>
      </c>
      <c r="E145" s="777" t="s">
        <v>594</v>
      </c>
      <c r="F145" s="778">
        <v>4116785.62</v>
      </c>
      <c r="G145" s="860">
        <v>3830666.35</v>
      </c>
      <c r="H145" s="780">
        <v>3987930.69</v>
      </c>
      <c r="I145" s="780">
        <v>4114032.66</v>
      </c>
      <c r="J145" s="781">
        <v>4606809.47</v>
      </c>
      <c r="K145" s="782">
        <v>4557614.63</v>
      </c>
      <c r="L145" s="783">
        <v>4519160.07</v>
      </c>
      <c r="M145" s="784">
        <v>4851295.3099999996</v>
      </c>
      <c r="N145" s="785">
        <v>4921418.24</v>
      </c>
      <c r="O145" s="786">
        <v>5041102.8899999997</v>
      </c>
      <c r="P145" s="787">
        <v>5041177.71</v>
      </c>
      <c r="Q145" s="861">
        <v>7129938.8700000001</v>
      </c>
      <c r="R145" s="778">
        <v>4013684.71</v>
      </c>
      <c r="S145" s="780">
        <f t="shared" si="23"/>
        <v>4722198.5045833327</v>
      </c>
      <c r="T145" s="754"/>
      <c r="U145" s="789"/>
      <c r="V145" s="789"/>
      <c r="W145" s="790">
        <f>S145</f>
        <v>4722198.5045833327</v>
      </c>
      <c r="X145" s="789"/>
      <c r="Y145" s="767"/>
      <c r="Z145" s="767"/>
    </row>
    <row r="146" spans="1:26">
      <c r="A146" s="750" t="s">
        <v>595</v>
      </c>
      <c r="B146" s="750" t="s">
        <v>410</v>
      </c>
      <c r="C146" s="775">
        <v>137</v>
      </c>
      <c r="D146" s="752" t="str">
        <f>+A146</f>
        <v>1866</v>
      </c>
      <c r="E146" s="786" t="s">
        <v>596</v>
      </c>
      <c r="F146" s="804">
        <v>3597416</v>
      </c>
      <c r="G146" s="804">
        <v>3597416</v>
      </c>
      <c r="H146" s="804">
        <v>3597416</v>
      </c>
      <c r="I146" s="804">
        <v>3555871</v>
      </c>
      <c r="J146" s="804">
        <v>3555871</v>
      </c>
      <c r="K146" s="804">
        <v>3555871</v>
      </c>
      <c r="L146" s="804">
        <v>3555871</v>
      </c>
      <c r="M146" s="804">
        <v>3555871</v>
      </c>
      <c r="N146" s="804">
        <v>3555871</v>
      </c>
      <c r="O146" s="806">
        <v>3555871</v>
      </c>
      <c r="P146" s="804">
        <v>3555871</v>
      </c>
      <c r="Q146" s="804">
        <v>3555871</v>
      </c>
      <c r="R146" s="804">
        <v>3555871</v>
      </c>
      <c r="S146" s="780">
        <f t="shared" si="23"/>
        <v>3564526.2083333335</v>
      </c>
      <c r="T146" s="754"/>
      <c r="U146" s="789"/>
      <c r="V146" s="789"/>
      <c r="W146" s="790">
        <f>S146</f>
        <v>3564526.2083333335</v>
      </c>
      <c r="X146" s="790"/>
      <c r="Y146" s="767"/>
      <c r="Z146" s="767"/>
    </row>
    <row r="147" spans="1:26">
      <c r="A147" s="774"/>
      <c r="B147" s="774"/>
      <c r="C147" s="775">
        <v>138</v>
      </c>
      <c r="D147" s="776"/>
      <c r="E147" s="777" t="s">
        <v>597</v>
      </c>
      <c r="F147" s="802">
        <f>SUM(F134:F146)</f>
        <v>78328216.370000005</v>
      </c>
      <c r="G147" s="802">
        <f t="shared" ref="G147:S147" si="24">SUM(G134:G146)</f>
        <v>78009369.049999997</v>
      </c>
      <c r="H147" s="802">
        <f t="shared" si="24"/>
        <v>78219327.039999992</v>
      </c>
      <c r="I147" s="802">
        <f t="shared" si="24"/>
        <v>79060197.939999998</v>
      </c>
      <c r="J147" s="802">
        <f t="shared" si="24"/>
        <v>79550780.329999998</v>
      </c>
      <c r="K147" s="802">
        <f t="shared" si="24"/>
        <v>79537645.319999993</v>
      </c>
      <c r="L147" s="802">
        <f t="shared" si="24"/>
        <v>79162678.950000018</v>
      </c>
      <c r="M147" s="802">
        <f t="shared" si="24"/>
        <v>79420225.800000012</v>
      </c>
      <c r="N147" s="802">
        <f t="shared" si="24"/>
        <v>79592752.749999985</v>
      </c>
      <c r="O147" s="802">
        <f t="shared" si="24"/>
        <v>80115092.799999997</v>
      </c>
      <c r="P147" s="802">
        <f t="shared" si="24"/>
        <v>81193073.950000003</v>
      </c>
      <c r="Q147" s="802">
        <f t="shared" si="24"/>
        <v>83588063.189999998</v>
      </c>
      <c r="R147" s="802">
        <f t="shared" si="24"/>
        <v>78762766.379999995</v>
      </c>
      <c r="S147" s="802">
        <f t="shared" si="24"/>
        <v>79666224.874583319</v>
      </c>
      <c r="T147" s="754"/>
      <c r="U147" s="789"/>
      <c r="V147" s="789"/>
      <c r="W147" s="789"/>
      <c r="X147" s="789"/>
      <c r="Y147" s="767"/>
      <c r="Z147" s="767"/>
    </row>
    <row r="148" spans="1:26">
      <c r="A148" s="774"/>
      <c r="B148" s="774"/>
      <c r="C148" s="775">
        <v>139</v>
      </c>
      <c r="D148" s="776"/>
      <c r="E148" s="832"/>
      <c r="F148" s="778"/>
      <c r="G148" s="860"/>
      <c r="H148" s="780"/>
      <c r="I148" s="780"/>
      <c r="J148" s="781"/>
      <c r="K148" s="782"/>
      <c r="L148" s="783"/>
      <c r="M148" s="784"/>
      <c r="N148" s="785"/>
      <c r="O148" s="786"/>
      <c r="P148" s="787"/>
      <c r="Q148" s="861"/>
      <c r="R148" s="778"/>
      <c r="S148" s="780">
        <f t="shared" si="23"/>
        <v>0</v>
      </c>
      <c r="T148" s="754"/>
      <c r="U148" s="789"/>
      <c r="V148" s="789"/>
      <c r="W148" s="789"/>
      <c r="X148" s="789"/>
      <c r="Y148" s="767"/>
      <c r="Z148" s="767"/>
    </row>
    <row r="149" spans="1:26">
      <c r="A149" s="774" t="s">
        <v>598</v>
      </c>
      <c r="B149" s="774" t="s">
        <v>410</v>
      </c>
      <c r="C149" s="775">
        <v>140</v>
      </c>
      <c r="D149" s="776"/>
      <c r="E149" s="777" t="s">
        <v>599</v>
      </c>
      <c r="F149" s="778">
        <v>156305207.13</v>
      </c>
      <c r="G149" s="860">
        <v>24421868.41</v>
      </c>
      <c r="H149" s="780">
        <v>41171423.25</v>
      </c>
      <c r="I149" s="780">
        <v>56483768.100000001</v>
      </c>
      <c r="J149" s="781">
        <v>64753779.909999996</v>
      </c>
      <c r="K149" s="782">
        <v>70295784.159999996</v>
      </c>
      <c r="L149" s="783">
        <v>75264580.459999993</v>
      </c>
      <c r="M149" s="784">
        <v>79770220.25</v>
      </c>
      <c r="N149" s="785">
        <v>83874065.469999999</v>
      </c>
      <c r="O149" s="786">
        <v>88861448.659999996</v>
      </c>
      <c r="P149" s="787">
        <v>98160199.450000003</v>
      </c>
      <c r="Q149" s="861">
        <v>110210704.31</v>
      </c>
      <c r="R149" s="778">
        <v>135117509.71000001</v>
      </c>
      <c r="S149" s="780">
        <f t="shared" si="23"/>
        <v>78248266.737500012</v>
      </c>
      <c r="T149" s="754"/>
      <c r="U149" s="789"/>
      <c r="V149" s="789"/>
      <c r="W149" s="789"/>
      <c r="X149" s="789"/>
      <c r="Y149" s="767"/>
      <c r="Z149" s="767"/>
    </row>
    <row r="150" spans="1:26">
      <c r="A150" s="774" t="s">
        <v>600</v>
      </c>
      <c r="B150" s="774" t="s">
        <v>410</v>
      </c>
      <c r="C150" s="775">
        <v>141</v>
      </c>
      <c r="D150" s="776"/>
      <c r="E150" s="777" t="s">
        <v>601</v>
      </c>
      <c r="F150" s="778">
        <v>46817597.850000001</v>
      </c>
      <c r="G150" s="860">
        <v>4329047.46</v>
      </c>
      <c r="H150" s="780">
        <v>8144824.2199999997</v>
      </c>
      <c r="I150" s="780">
        <v>11913582.199999999</v>
      </c>
      <c r="J150" s="781">
        <v>15629660.82</v>
      </c>
      <c r="K150" s="782">
        <v>19641103.890000001</v>
      </c>
      <c r="L150" s="783">
        <v>23808301.02</v>
      </c>
      <c r="M150" s="784">
        <v>27425881.100000001</v>
      </c>
      <c r="N150" s="785">
        <v>31996474.899999999</v>
      </c>
      <c r="O150" s="786">
        <v>36090125.700000003</v>
      </c>
      <c r="P150" s="787">
        <v>40028030.579999998</v>
      </c>
      <c r="Q150" s="861">
        <v>44017177.710000001</v>
      </c>
      <c r="R150" s="778">
        <v>48703743.799999997</v>
      </c>
      <c r="S150" s="780">
        <f t="shared" si="23"/>
        <v>25898740.035416666</v>
      </c>
      <c r="T150" s="754"/>
      <c r="U150" s="789"/>
      <c r="V150" s="789"/>
      <c r="W150" s="789"/>
      <c r="X150" s="789"/>
      <c r="Y150" s="767"/>
      <c r="Z150" s="767"/>
    </row>
    <row r="151" spans="1:26">
      <c r="A151" s="750" t="s">
        <v>602</v>
      </c>
      <c r="B151" s="750" t="s">
        <v>603</v>
      </c>
      <c r="C151" s="775">
        <v>142</v>
      </c>
      <c r="D151" s="752"/>
      <c r="E151" s="777" t="s">
        <v>604</v>
      </c>
      <c r="F151" s="778">
        <v>0</v>
      </c>
      <c r="G151" s="860">
        <v>315.98</v>
      </c>
      <c r="H151" s="780">
        <v>315.98</v>
      </c>
      <c r="I151" s="780">
        <v>315.98</v>
      </c>
      <c r="J151" s="781">
        <v>315.98</v>
      </c>
      <c r="K151" s="782">
        <v>315.98</v>
      </c>
      <c r="L151" s="783">
        <v>315.98</v>
      </c>
      <c r="M151" s="784">
        <v>315.98</v>
      </c>
      <c r="N151" s="785">
        <v>315.98</v>
      </c>
      <c r="O151" s="786">
        <v>315.98</v>
      </c>
      <c r="P151" s="787">
        <v>315.98</v>
      </c>
      <c r="Q151" s="861">
        <v>315.98</v>
      </c>
      <c r="R151" s="778">
        <v>315.98</v>
      </c>
      <c r="S151" s="780">
        <f t="shared" si="23"/>
        <v>302.81416666666672</v>
      </c>
      <c r="T151" s="754"/>
      <c r="U151" s="789"/>
      <c r="V151" s="789"/>
      <c r="W151" s="789"/>
      <c r="X151" s="789"/>
      <c r="Y151" s="767"/>
      <c r="Z151" s="767"/>
    </row>
    <row r="152" spans="1:26">
      <c r="A152" s="750" t="s">
        <v>605</v>
      </c>
      <c r="B152" s="750" t="s">
        <v>410</v>
      </c>
      <c r="C152" s="775">
        <v>143</v>
      </c>
      <c r="D152" s="752"/>
      <c r="E152" s="777" t="s">
        <v>606</v>
      </c>
      <c r="F152" s="778">
        <v>5473309.9500000002</v>
      </c>
      <c r="G152" s="860">
        <v>429269.29</v>
      </c>
      <c r="H152" s="780">
        <v>844912.97</v>
      </c>
      <c r="I152" s="780">
        <v>1337555.07</v>
      </c>
      <c r="J152" s="781">
        <v>1801041.39</v>
      </c>
      <c r="K152" s="782">
        <v>2272948.0699999998</v>
      </c>
      <c r="L152" s="783">
        <v>2748701.28</v>
      </c>
      <c r="M152" s="784">
        <v>3219897.06</v>
      </c>
      <c r="N152" s="785">
        <v>3771772.86</v>
      </c>
      <c r="O152" s="786">
        <v>4251828.58</v>
      </c>
      <c r="P152" s="787">
        <v>4693376.74</v>
      </c>
      <c r="Q152" s="861">
        <v>5170135.07</v>
      </c>
      <c r="R152" s="778">
        <v>5729641.6100000003</v>
      </c>
      <c r="S152" s="780">
        <f t="shared" si="23"/>
        <v>3011909.5133333337</v>
      </c>
      <c r="T152" s="754"/>
      <c r="U152" s="789"/>
      <c r="V152" s="789"/>
      <c r="W152" s="789"/>
      <c r="X152" s="789"/>
      <c r="Y152" s="767"/>
      <c r="Z152" s="767"/>
    </row>
    <row r="153" spans="1:26">
      <c r="A153" s="750"/>
      <c r="B153" s="750"/>
      <c r="C153" s="775">
        <v>144</v>
      </c>
      <c r="D153" s="752"/>
      <c r="E153" s="777" t="s">
        <v>607</v>
      </c>
      <c r="F153" s="802">
        <f>SUM(F149:F152)</f>
        <v>208596114.92999998</v>
      </c>
      <c r="G153" s="802">
        <f t="shared" ref="G153:S153" si="25">SUM(G149:G152)</f>
        <v>29180501.140000001</v>
      </c>
      <c r="H153" s="802">
        <f t="shared" si="25"/>
        <v>50161476.419999994</v>
      </c>
      <c r="I153" s="802">
        <f t="shared" si="25"/>
        <v>69735221.349999994</v>
      </c>
      <c r="J153" s="802">
        <f t="shared" si="25"/>
        <v>82184798.099999994</v>
      </c>
      <c r="K153" s="802">
        <f t="shared" si="25"/>
        <v>92210152.099999994</v>
      </c>
      <c r="L153" s="802">
        <f t="shared" si="25"/>
        <v>101821898.73999999</v>
      </c>
      <c r="M153" s="802">
        <f t="shared" si="25"/>
        <v>110416314.39</v>
      </c>
      <c r="N153" s="802">
        <f t="shared" si="25"/>
        <v>119642629.21000001</v>
      </c>
      <c r="O153" s="802">
        <f t="shared" si="25"/>
        <v>129203718.92</v>
      </c>
      <c r="P153" s="802">
        <f t="shared" si="25"/>
        <v>142881922.75</v>
      </c>
      <c r="Q153" s="802">
        <f t="shared" si="25"/>
        <v>159398333.06999999</v>
      </c>
      <c r="R153" s="802">
        <f t="shared" si="25"/>
        <v>189551211.09999999</v>
      </c>
      <c r="S153" s="802">
        <f t="shared" si="25"/>
        <v>107159219.10041668</v>
      </c>
      <c r="T153" s="754"/>
      <c r="U153" s="790">
        <f>S153</f>
        <v>107159219.10041668</v>
      </c>
      <c r="V153" s="789"/>
      <c r="W153" s="789"/>
      <c r="X153" s="790"/>
      <c r="Y153" s="767"/>
      <c r="Z153" s="767"/>
    </row>
    <row r="154" spans="1:26">
      <c r="A154" s="750"/>
      <c r="B154" s="750"/>
      <c r="C154" s="775">
        <v>145</v>
      </c>
      <c r="D154" s="752"/>
      <c r="E154" s="832"/>
      <c r="F154" s="778"/>
      <c r="G154" s="860"/>
      <c r="H154" s="780"/>
      <c r="I154" s="780"/>
      <c r="J154" s="781"/>
      <c r="K154" s="782"/>
      <c r="L154" s="783"/>
      <c r="M154" s="784"/>
      <c r="N154" s="785"/>
      <c r="O154" s="786"/>
      <c r="P154" s="787"/>
      <c r="Q154" s="861"/>
      <c r="R154" s="778"/>
      <c r="S154" s="780">
        <f t="shared" si="23"/>
        <v>0</v>
      </c>
      <c r="T154" s="754"/>
      <c r="U154" s="789"/>
      <c r="V154" s="789"/>
      <c r="W154" s="789"/>
      <c r="X154" s="789"/>
      <c r="Y154" s="767"/>
      <c r="Z154" s="767"/>
    </row>
    <row r="155" spans="1:26">
      <c r="A155" s="750" t="s">
        <v>608</v>
      </c>
      <c r="B155" s="750" t="s">
        <v>410</v>
      </c>
      <c r="C155" s="775">
        <v>146</v>
      </c>
      <c r="D155" s="752" t="str">
        <f>+A155</f>
        <v>4073</v>
      </c>
      <c r="E155" s="777" t="s">
        <v>609</v>
      </c>
      <c r="F155" s="778">
        <v>0</v>
      </c>
      <c r="G155" s="860">
        <v>0</v>
      </c>
      <c r="H155" s="780">
        <v>0</v>
      </c>
      <c r="I155" s="780">
        <v>0</v>
      </c>
      <c r="J155" s="781">
        <v>0</v>
      </c>
      <c r="K155" s="782">
        <v>0</v>
      </c>
      <c r="L155" s="783">
        <v>0</v>
      </c>
      <c r="M155" s="784">
        <v>0</v>
      </c>
      <c r="N155" s="785">
        <v>0</v>
      </c>
      <c r="O155" s="786">
        <v>0</v>
      </c>
      <c r="P155" s="787">
        <v>0</v>
      </c>
      <c r="Q155" s="861">
        <v>0</v>
      </c>
      <c r="R155" s="778">
        <v>0</v>
      </c>
      <c r="S155" s="780">
        <f t="shared" si="23"/>
        <v>0</v>
      </c>
      <c r="T155" s="754"/>
      <c r="U155" s="789"/>
      <c r="V155" s="789"/>
      <c r="W155" s="789"/>
      <c r="X155" s="789"/>
      <c r="Y155" s="767"/>
      <c r="Z155" s="767"/>
    </row>
    <row r="156" spans="1:26">
      <c r="A156" s="750"/>
      <c r="B156" s="750"/>
      <c r="C156" s="775">
        <v>147</v>
      </c>
      <c r="D156" s="752"/>
      <c r="E156" s="832"/>
      <c r="F156" s="778"/>
      <c r="G156" s="860"/>
      <c r="H156" s="780"/>
      <c r="I156" s="780"/>
      <c r="J156" s="781"/>
      <c r="K156" s="782"/>
      <c r="L156" s="783"/>
      <c r="M156" s="784"/>
      <c r="N156" s="785"/>
      <c r="O156" s="786"/>
      <c r="P156" s="787"/>
      <c r="Q156" s="861"/>
      <c r="R156" s="778"/>
      <c r="S156" s="780">
        <f t="shared" si="23"/>
        <v>0</v>
      </c>
      <c r="T156" s="754"/>
      <c r="U156" s="789"/>
      <c r="V156" s="789"/>
      <c r="W156" s="789"/>
      <c r="X156" s="789"/>
      <c r="Y156" s="767"/>
      <c r="Z156" s="767"/>
    </row>
    <row r="157" spans="1:26">
      <c r="A157" s="774" t="s">
        <v>610</v>
      </c>
      <c r="B157" s="774" t="s">
        <v>410</v>
      </c>
      <c r="C157" s="775">
        <v>148</v>
      </c>
      <c r="D157" s="776" t="str">
        <f>+A157</f>
        <v>4081</v>
      </c>
      <c r="E157" s="777" t="s">
        <v>611</v>
      </c>
      <c r="F157" s="778">
        <v>24749541.870000001</v>
      </c>
      <c r="G157" s="860">
        <v>3836972.66</v>
      </c>
      <c r="H157" s="780">
        <v>6751554.4400000004</v>
      </c>
      <c r="I157" s="780">
        <v>9432019.3200000003</v>
      </c>
      <c r="J157" s="781">
        <v>11257476.91</v>
      </c>
      <c r="K157" s="782">
        <v>12596899.210000001</v>
      </c>
      <c r="L157" s="783">
        <v>13829823.17</v>
      </c>
      <c r="M157" s="784">
        <v>14936881.880000001</v>
      </c>
      <c r="N157" s="785">
        <v>15914791.720000001</v>
      </c>
      <c r="O157" s="786">
        <v>17067350.68</v>
      </c>
      <c r="P157" s="787">
        <v>18557185.190000001</v>
      </c>
      <c r="Q157" s="861">
        <v>20462300.530000001</v>
      </c>
      <c r="R157" s="778">
        <v>23821833.370000001</v>
      </c>
      <c r="S157" s="780">
        <f t="shared" si="23"/>
        <v>14077411.944166668</v>
      </c>
      <c r="T157" s="754"/>
      <c r="U157" s="789"/>
      <c r="V157" s="789"/>
      <c r="W157" s="789"/>
      <c r="X157" s="789"/>
      <c r="Y157" s="767"/>
      <c r="Z157" s="767"/>
    </row>
    <row r="158" spans="1:26">
      <c r="A158" s="774" t="s">
        <v>612</v>
      </c>
      <c r="B158" s="774" t="s">
        <v>410</v>
      </c>
      <c r="C158" s="775">
        <v>149</v>
      </c>
      <c r="D158" s="776" t="s">
        <v>613</v>
      </c>
      <c r="E158" s="777" t="s">
        <v>614</v>
      </c>
      <c r="F158" s="778">
        <v>2089762.22</v>
      </c>
      <c r="G158" s="860">
        <v>211533.78</v>
      </c>
      <c r="H158" s="780">
        <v>420032.08</v>
      </c>
      <c r="I158" s="780">
        <v>640876.53</v>
      </c>
      <c r="J158" s="781">
        <v>843451.4</v>
      </c>
      <c r="K158" s="782">
        <v>1017339.53</v>
      </c>
      <c r="L158" s="783">
        <v>1186862.9099999999</v>
      </c>
      <c r="M158" s="784">
        <v>1239648.44</v>
      </c>
      <c r="N158" s="785">
        <v>1429082.66</v>
      </c>
      <c r="O158" s="786">
        <v>1601150.82</v>
      </c>
      <c r="P158" s="787">
        <v>1756791.44</v>
      </c>
      <c r="Q158" s="861">
        <v>1915268.6</v>
      </c>
      <c r="R158" s="778">
        <v>2104822.19</v>
      </c>
      <c r="S158" s="780">
        <f t="shared" si="23"/>
        <v>1196610.86625</v>
      </c>
      <c r="T158" s="754"/>
      <c r="U158" s="789"/>
      <c r="V158" s="789"/>
      <c r="W158" s="789"/>
      <c r="X158" s="789"/>
      <c r="Y158" s="767"/>
      <c r="Z158" s="767"/>
    </row>
    <row r="159" spans="1:26">
      <c r="A159" s="774"/>
      <c r="B159" s="774"/>
      <c r="C159" s="775">
        <v>150</v>
      </c>
      <c r="D159" s="776"/>
      <c r="E159" s="832" t="s">
        <v>615</v>
      </c>
      <c r="F159" s="802">
        <f>+F157+F158</f>
        <v>26839304.09</v>
      </c>
      <c r="G159" s="802">
        <f t="shared" ref="G159:S159" si="26">+G157+G158</f>
        <v>4048506.44</v>
      </c>
      <c r="H159" s="802">
        <f t="shared" si="26"/>
        <v>7171586.5200000005</v>
      </c>
      <c r="I159" s="802">
        <f t="shared" si="26"/>
        <v>10072895.85</v>
      </c>
      <c r="J159" s="802">
        <f t="shared" si="26"/>
        <v>12100928.310000001</v>
      </c>
      <c r="K159" s="802">
        <f t="shared" si="26"/>
        <v>13614238.74</v>
      </c>
      <c r="L159" s="802">
        <f t="shared" si="26"/>
        <v>15016686.08</v>
      </c>
      <c r="M159" s="802">
        <f t="shared" si="26"/>
        <v>16176530.32</v>
      </c>
      <c r="N159" s="802">
        <f t="shared" si="26"/>
        <v>17343874.379999999</v>
      </c>
      <c r="O159" s="802">
        <f t="shared" si="26"/>
        <v>18668501.5</v>
      </c>
      <c r="P159" s="802">
        <f t="shared" si="26"/>
        <v>20313976.630000003</v>
      </c>
      <c r="Q159" s="802">
        <f t="shared" si="26"/>
        <v>22377569.130000003</v>
      </c>
      <c r="R159" s="802">
        <f t="shared" si="26"/>
        <v>25926655.560000002</v>
      </c>
      <c r="S159" s="802">
        <f t="shared" si="26"/>
        <v>15274022.810416669</v>
      </c>
      <c r="T159" s="754"/>
      <c r="U159" s="790">
        <f>S159</f>
        <v>15274022.810416669</v>
      </c>
      <c r="V159" s="789"/>
      <c r="W159" s="789"/>
      <c r="X159" s="790"/>
      <c r="Y159" s="767"/>
      <c r="Z159" s="767"/>
    </row>
    <row r="160" spans="1:26">
      <c r="A160" s="774"/>
      <c r="B160" s="774"/>
      <c r="C160" s="775">
        <v>151</v>
      </c>
      <c r="D160" s="776"/>
      <c r="E160" s="832"/>
      <c r="F160" s="778"/>
      <c r="G160" s="860"/>
      <c r="H160" s="780"/>
      <c r="I160" s="780"/>
      <c r="J160" s="781"/>
      <c r="K160" s="782"/>
      <c r="L160" s="783"/>
      <c r="M160" s="784"/>
      <c r="N160" s="785"/>
      <c r="O160" s="786"/>
      <c r="P160" s="787"/>
      <c r="Q160" s="861"/>
      <c r="R160" s="778"/>
      <c r="S160" s="780">
        <f t="shared" si="23"/>
        <v>0</v>
      </c>
      <c r="T160" s="754"/>
      <c r="U160" s="789"/>
      <c r="V160" s="789"/>
      <c r="W160" s="789"/>
      <c r="X160" s="789"/>
      <c r="Y160" s="767"/>
      <c r="Z160" s="767"/>
    </row>
    <row r="161" spans="1:26">
      <c r="A161" s="774" t="s">
        <v>616</v>
      </c>
      <c r="B161" s="774" t="s">
        <v>410</v>
      </c>
      <c r="C161" s="775">
        <v>152</v>
      </c>
      <c r="D161" s="776" t="str">
        <f>+A161</f>
        <v>4032</v>
      </c>
      <c r="E161" s="777" t="s">
        <v>617</v>
      </c>
      <c r="F161" s="778">
        <v>25145321.359999999</v>
      </c>
      <c r="G161" s="860">
        <v>1807641.44</v>
      </c>
      <c r="H161" s="780">
        <v>3662870.53</v>
      </c>
      <c r="I161" s="780">
        <v>5500503.2699999996</v>
      </c>
      <c r="J161" s="781">
        <v>7345620.5999999996</v>
      </c>
      <c r="K161" s="782">
        <v>9204261.5399999991</v>
      </c>
      <c r="L161" s="783">
        <v>11070351.52</v>
      </c>
      <c r="M161" s="784">
        <v>12942828.140000001</v>
      </c>
      <c r="N161" s="785">
        <v>14826797.029999999</v>
      </c>
      <c r="O161" s="786">
        <v>16728621.310000001</v>
      </c>
      <c r="P161" s="787">
        <v>18641977.399999999</v>
      </c>
      <c r="Q161" s="861">
        <v>20568906.449999999</v>
      </c>
      <c r="R161" s="778">
        <v>22501731.329999998</v>
      </c>
      <c r="S161" s="780">
        <f t="shared" si="23"/>
        <v>12176992.13125</v>
      </c>
      <c r="T161" s="754"/>
      <c r="U161" s="789"/>
      <c r="V161" s="789"/>
      <c r="W161" s="789"/>
      <c r="X161" s="789"/>
      <c r="Y161" s="767"/>
      <c r="Z161" s="767"/>
    </row>
    <row r="162" spans="1:26">
      <c r="A162" s="774" t="s">
        <v>618</v>
      </c>
      <c r="B162" s="774" t="s">
        <v>410</v>
      </c>
      <c r="C162" s="775">
        <v>153</v>
      </c>
      <c r="D162" s="776" t="str">
        <f>+A162</f>
        <v>4042</v>
      </c>
      <c r="E162" s="777" t="s">
        <v>619</v>
      </c>
      <c r="F162" s="778">
        <v>2538010.06</v>
      </c>
      <c r="G162" s="860">
        <v>243401.61</v>
      </c>
      <c r="H162" s="780">
        <v>489696.84</v>
      </c>
      <c r="I162" s="780">
        <v>699331.25</v>
      </c>
      <c r="J162" s="781">
        <v>936229.3</v>
      </c>
      <c r="K162" s="782">
        <v>1172861.54</v>
      </c>
      <c r="L162" s="783">
        <v>1409534.14</v>
      </c>
      <c r="M162" s="784">
        <v>1630631.32</v>
      </c>
      <c r="N162" s="785">
        <v>1851728.5</v>
      </c>
      <c r="O162" s="786">
        <v>2072825.68</v>
      </c>
      <c r="P162" s="787">
        <v>2294485.88</v>
      </c>
      <c r="Q162" s="861">
        <v>2515583.06</v>
      </c>
      <c r="R162" s="778">
        <v>2736728</v>
      </c>
      <c r="S162" s="780">
        <f t="shared" si="23"/>
        <v>1496139.8458333332</v>
      </c>
      <c r="T162" s="754"/>
      <c r="U162" s="789"/>
      <c r="V162" s="789"/>
      <c r="W162" s="789"/>
      <c r="X162" s="789"/>
      <c r="Y162" s="767"/>
      <c r="Z162" s="767"/>
    </row>
    <row r="163" spans="1:26">
      <c r="A163" s="774" t="s">
        <v>620</v>
      </c>
      <c r="B163" s="774" t="s">
        <v>410</v>
      </c>
      <c r="C163" s="775">
        <v>154</v>
      </c>
      <c r="D163" s="776" t="str">
        <f>+A163</f>
        <v>4062</v>
      </c>
      <c r="E163" s="777" t="s">
        <v>621</v>
      </c>
      <c r="F163" s="778">
        <v>0</v>
      </c>
      <c r="G163" s="860">
        <v>0</v>
      </c>
      <c r="H163" s="780">
        <v>0</v>
      </c>
      <c r="I163" s="780">
        <v>0</v>
      </c>
      <c r="J163" s="781">
        <v>0</v>
      </c>
      <c r="K163" s="782">
        <v>0</v>
      </c>
      <c r="L163" s="783">
        <v>0</v>
      </c>
      <c r="M163" s="784">
        <v>0</v>
      </c>
      <c r="N163" s="785">
        <v>0</v>
      </c>
      <c r="O163" s="786">
        <v>0</v>
      </c>
      <c r="P163" s="787">
        <v>0</v>
      </c>
      <c r="Q163" s="861">
        <v>0</v>
      </c>
      <c r="R163" s="778">
        <v>0</v>
      </c>
      <c r="S163" s="780">
        <f t="shared" si="23"/>
        <v>0</v>
      </c>
      <c r="T163" s="754"/>
      <c r="U163" s="789"/>
      <c r="V163" s="789"/>
      <c r="W163" s="789"/>
      <c r="X163" s="789"/>
      <c r="Y163" s="767"/>
      <c r="Z163" s="767"/>
    </row>
    <row r="164" spans="1:26">
      <c r="A164" s="774"/>
      <c r="B164" s="774"/>
      <c r="C164" s="775">
        <v>155</v>
      </c>
      <c r="D164" s="776"/>
      <c r="E164" s="777" t="s">
        <v>622</v>
      </c>
      <c r="F164" s="802">
        <f>SUM(F161:F163)</f>
        <v>27683331.419999998</v>
      </c>
      <c r="G164" s="802">
        <f t="shared" ref="G164:S164" si="27">SUM(G161:G163)</f>
        <v>2051043.0499999998</v>
      </c>
      <c r="H164" s="802">
        <f t="shared" si="27"/>
        <v>4152567.3699999996</v>
      </c>
      <c r="I164" s="802">
        <f t="shared" si="27"/>
        <v>6199834.5199999996</v>
      </c>
      <c r="J164" s="802">
        <f t="shared" si="27"/>
        <v>8281849.8999999994</v>
      </c>
      <c r="K164" s="802">
        <f t="shared" si="27"/>
        <v>10377123.079999998</v>
      </c>
      <c r="L164" s="802">
        <f t="shared" si="27"/>
        <v>12479885.66</v>
      </c>
      <c r="M164" s="802">
        <f t="shared" si="27"/>
        <v>14573459.460000001</v>
      </c>
      <c r="N164" s="802">
        <f t="shared" si="27"/>
        <v>16678525.529999999</v>
      </c>
      <c r="O164" s="802">
        <f t="shared" si="27"/>
        <v>18801446.990000002</v>
      </c>
      <c r="P164" s="802">
        <f t="shared" si="27"/>
        <v>20936463.279999997</v>
      </c>
      <c r="Q164" s="802">
        <f t="shared" si="27"/>
        <v>23084489.509999998</v>
      </c>
      <c r="R164" s="802">
        <f t="shared" si="27"/>
        <v>25238459.329999998</v>
      </c>
      <c r="S164" s="802">
        <f t="shared" si="27"/>
        <v>13673131.977083333</v>
      </c>
      <c r="T164" s="754"/>
      <c r="U164" s="790">
        <f>S164</f>
        <v>13673131.977083333</v>
      </c>
      <c r="V164" s="789"/>
      <c r="W164" s="789"/>
      <c r="X164" s="790"/>
      <c r="Y164" s="767"/>
      <c r="Z164" s="767"/>
    </row>
    <row r="165" spans="1:26">
      <c r="A165" s="774"/>
      <c r="B165" s="774"/>
      <c r="C165" s="775">
        <v>156</v>
      </c>
      <c r="D165" s="776"/>
      <c r="E165" s="832"/>
      <c r="F165" s="778"/>
      <c r="G165" s="860"/>
      <c r="H165" s="780"/>
      <c r="I165" s="780"/>
      <c r="J165" s="781"/>
      <c r="K165" s="782"/>
      <c r="L165" s="783"/>
      <c r="M165" s="784"/>
      <c r="N165" s="785"/>
      <c r="O165" s="786"/>
      <c r="P165" s="787"/>
      <c r="Q165" s="861"/>
      <c r="R165" s="778"/>
      <c r="S165" s="780">
        <f t="shared" si="23"/>
        <v>0</v>
      </c>
      <c r="T165" s="754"/>
      <c r="U165" s="789"/>
      <c r="V165" s="789"/>
      <c r="W165" s="789"/>
      <c r="X165" s="789"/>
      <c r="Y165" s="767"/>
      <c r="Z165" s="767"/>
    </row>
    <row r="166" spans="1:26">
      <c r="A166" s="774" t="s">
        <v>623</v>
      </c>
      <c r="B166" s="774" t="s">
        <v>410</v>
      </c>
      <c r="C166" s="775">
        <v>157</v>
      </c>
      <c r="D166" s="776" t="str">
        <f>+A166</f>
        <v>4271</v>
      </c>
      <c r="E166" s="777" t="s">
        <v>624</v>
      </c>
      <c r="F166" s="778">
        <v>0</v>
      </c>
      <c r="G166" s="860">
        <v>0</v>
      </c>
      <c r="H166" s="780">
        <v>0</v>
      </c>
      <c r="I166" s="780">
        <v>0</v>
      </c>
      <c r="J166" s="781">
        <v>0</v>
      </c>
      <c r="K166" s="782">
        <v>0</v>
      </c>
      <c r="L166" s="783">
        <v>0</v>
      </c>
      <c r="M166" s="784">
        <v>0</v>
      </c>
      <c r="N166" s="785">
        <v>0</v>
      </c>
      <c r="O166" s="786">
        <v>0</v>
      </c>
      <c r="P166" s="787">
        <v>0</v>
      </c>
      <c r="Q166" s="861">
        <v>0</v>
      </c>
      <c r="R166" s="778">
        <v>0</v>
      </c>
      <c r="S166" s="780">
        <f t="shared" si="23"/>
        <v>0</v>
      </c>
      <c r="T166" s="754"/>
      <c r="U166" s="789"/>
      <c r="V166" s="789"/>
      <c r="W166" s="789"/>
      <c r="X166" s="789"/>
      <c r="Y166" s="767"/>
      <c r="Z166" s="767"/>
    </row>
    <row r="167" spans="1:26">
      <c r="A167" s="774" t="s">
        <v>625</v>
      </c>
      <c r="B167" s="774" t="s">
        <v>410</v>
      </c>
      <c r="C167" s="775">
        <v>158</v>
      </c>
      <c r="D167" s="776" t="str">
        <f>+A167</f>
        <v>4279</v>
      </c>
      <c r="E167" s="777" t="s">
        <v>626</v>
      </c>
      <c r="F167" s="778">
        <v>11047666.279999999</v>
      </c>
      <c r="G167" s="860">
        <v>929093.54</v>
      </c>
      <c r="H167" s="780">
        <v>1857968.35</v>
      </c>
      <c r="I167" s="780">
        <v>2786843.12</v>
      </c>
      <c r="J167" s="781">
        <v>3715717.91</v>
      </c>
      <c r="K167" s="782">
        <v>4644373.96</v>
      </c>
      <c r="L167" s="783">
        <v>5573030.0099999998</v>
      </c>
      <c r="M167" s="784">
        <v>6501686.0499999998</v>
      </c>
      <c r="N167" s="785">
        <v>7430263.3399999999</v>
      </c>
      <c r="O167" s="786">
        <v>8358840.6399999997</v>
      </c>
      <c r="P167" s="787">
        <v>9287417.9199999999</v>
      </c>
      <c r="Q167" s="861">
        <v>10215995.220000001</v>
      </c>
      <c r="R167" s="778">
        <v>11144572.52</v>
      </c>
      <c r="S167" s="780">
        <f t="shared" si="23"/>
        <v>6033112.455000001</v>
      </c>
      <c r="T167" s="754"/>
      <c r="U167" s="789"/>
      <c r="V167" s="789"/>
      <c r="W167" s="789"/>
      <c r="X167" s="789"/>
      <c r="Y167" s="767"/>
      <c r="Z167" s="767"/>
    </row>
    <row r="168" spans="1:26">
      <c r="A168" s="774" t="s">
        <v>625</v>
      </c>
      <c r="B168" s="774" t="s">
        <v>627</v>
      </c>
      <c r="C168" s="775">
        <v>159</v>
      </c>
      <c r="D168" s="776" t="str">
        <f>A168&amp;"."&amp;B168</f>
        <v>4279.1</v>
      </c>
      <c r="E168" s="803" t="s">
        <v>628</v>
      </c>
      <c r="F168" s="778">
        <v>0</v>
      </c>
      <c r="G168" s="860">
        <v>0</v>
      </c>
      <c r="H168" s="780">
        <v>0</v>
      </c>
      <c r="I168" s="780">
        <v>0</v>
      </c>
      <c r="J168" s="781">
        <v>0</v>
      </c>
      <c r="K168" s="782">
        <v>0</v>
      </c>
      <c r="L168" s="783">
        <v>0</v>
      </c>
      <c r="M168" s="784">
        <v>0</v>
      </c>
      <c r="N168" s="785">
        <v>0</v>
      </c>
      <c r="O168" s="786">
        <v>0</v>
      </c>
      <c r="P168" s="787">
        <v>0</v>
      </c>
      <c r="Q168" s="861">
        <v>0</v>
      </c>
      <c r="R168" s="778">
        <v>0</v>
      </c>
      <c r="S168" s="780">
        <f t="shared" si="23"/>
        <v>0</v>
      </c>
      <c r="T168" s="754"/>
      <c r="U168" s="789"/>
      <c r="V168" s="789"/>
      <c r="W168" s="789"/>
      <c r="X168" s="789"/>
      <c r="Y168" s="767"/>
      <c r="Z168" s="767"/>
    </row>
    <row r="169" spans="1:26">
      <c r="A169" s="774" t="s">
        <v>629</v>
      </c>
      <c r="B169" s="774" t="s">
        <v>630</v>
      </c>
      <c r="C169" s="775">
        <v>160</v>
      </c>
      <c r="D169" s="776" t="str">
        <f>+A169</f>
        <v>4310</v>
      </c>
      <c r="E169" s="777" t="s">
        <v>326</v>
      </c>
      <c r="F169" s="778">
        <v>227969.41</v>
      </c>
      <c r="G169" s="860">
        <v>30677.119999999999</v>
      </c>
      <c r="H169" s="780">
        <v>81587.850000000006</v>
      </c>
      <c r="I169" s="780">
        <v>149632.70000000001</v>
      </c>
      <c r="J169" s="781">
        <v>228625.65</v>
      </c>
      <c r="K169" s="782">
        <v>311878.78999999998</v>
      </c>
      <c r="L169" s="783">
        <v>391659.7</v>
      </c>
      <c r="M169" s="784">
        <v>436010.29</v>
      </c>
      <c r="N169" s="785">
        <v>501177.14</v>
      </c>
      <c r="O169" s="786">
        <v>556392.51</v>
      </c>
      <c r="P169" s="787">
        <v>607614.67000000004</v>
      </c>
      <c r="Q169" s="861">
        <v>631236.1</v>
      </c>
      <c r="R169" s="778">
        <v>653866.05000000005</v>
      </c>
      <c r="S169" s="780">
        <f t="shared" si="23"/>
        <v>363950.85416666669</v>
      </c>
      <c r="T169" s="754"/>
      <c r="U169" s="789"/>
      <c r="V169" s="789"/>
      <c r="W169" s="789"/>
      <c r="X169" s="789"/>
      <c r="Y169" s="767"/>
      <c r="Z169" s="767"/>
    </row>
    <row r="170" spans="1:26">
      <c r="A170" s="774" t="s">
        <v>629</v>
      </c>
      <c r="B170" s="774" t="s">
        <v>631</v>
      </c>
      <c r="C170" s="775">
        <v>161</v>
      </c>
      <c r="D170" s="874" t="s">
        <v>632</v>
      </c>
      <c r="E170" s="777" t="s">
        <v>633</v>
      </c>
      <c r="F170" s="778">
        <v>27310</v>
      </c>
      <c r="G170" s="860">
        <v>0</v>
      </c>
      <c r="H170" s="780">
        <v>0</v>
      </c>
      <c r="I170" s="780">
        <v>0</v>
      </c>
      <c r="J170" s="781">
        <v>0</v>
      </c>
      <c r="K170" s="782">
        <v>0</v>
      </c>
      <c r="L170" s="783">
        <v>0</v>
      </c>
      <c r="M170" s="784">
        <v>0</v>
      </c>
      <c r="N170" s="785">
        <v>0</v>
      </c>
      <c r="O170" s="786">
        <v>0</v>
      </c>
      <c r="P170" s="787">
        <v>0</v>
      </c>
      <c r="Q170" s="861">
        <v>0</v>
      </c>
      <c r="R170" s="778">
        <v>0</v>
      </c>
      <c r="S170" s="780">
        <f t="shared" si="23"/>
        <v>1137.9166666666667</v>
      </c>
      <c r="T170" s="754"/>
      <c r="U170" s="789"/>
      <c r="V170" s="789"/>
      <c r="W170" s="789"/>
      <c r="X170" s="789"/>
      <c r="Y170" s="767"/>
      <c r="Z170" s="767"/>
    </row>
    <row r="171" spans="1:26">
      <c r="A171" s="774" t="s">
        <v>634</v>
      </c>
      <c r="B171" s="774" t="s">
        <v>410</v>
      </c>
      <c r="C171" s="775">
        <v>162</v>
      </c>
      <c r="D171" s="776" t="str">
        <f>+A171</f>
        <v>4280</v>
      </c>
      <c r="E171" s="777" t="s">
        <v>635</v>
      </c>
      <c r="F171" s="778">
        <v>172248.52</v>
      </c>
      <c r="G171" s="860">
        <v>14351.32</v>
      </c>
      <c r="H171" s="780">
        <v>28702.639999999999</v>
      </c>
      <c r="I171" s="780">
        <v>42872.84</v>
      </c>
      <c r="J171" s="781">
        <v>57212.84</v>
      </c>
      <c r="K171" s="782">
        <v>71552.84</v>
      </c>
      <c r="L171" s="783">
        <v>85892.84</v>
      </c>
      <c r="M171" s="784">
        <v>100232.84</v>
      </c>
      <c r="N171" s="785">
        <v>114572.84</v>
      </c>
      <c r="O171" s="786">
        <v>128912.84</v>
      </c>
      <c r="P171" s="787">
        <v>143252.84</v>
      </c>
      <c r="Q171" s="861">
        <v>157592.84</v>
      </c>
      <c r="R171" s="778">
        <v>171932.84</v>
      </c>
      <c r="S171" s="780">
        <f t="shared" si="23"/>
        <v>93103.349999999977</v>
      </c>
      <c r="T171" s="754"/>
      <c r="U171" s="789"/>
      <c r="V171" s="789"/>
      <c r="W171" s="789"/>
      <c r="X171" s="789"/>
      <c r="Y171" s="767"/>
      <c r="Z171" s="767"/>
    </row>
    <row r="172" spans="1:26">
      <c r="A172" s="774" t="s">
        <v>636</v>
      </c>
      <c r="B172" s="774" t="s">
        <v>410</v>
      </c>
      <c r="C172" s="775">
        <v>163</v>
      </c>
      <c r="D172" s="776" t="str">
        <f>+A172</f>
        <v>4281</v>
      </c>
      <c r="E172" s="777" t="s">
        <v>637</v>
      </c>
      <c r="F172" s="778">
        <v>40970.639999999999</v>
      </c>
      <c r="G172" s="860">
        <v>3414.22</v>
      </c>
      <c r="H172" s="780">
        <v>6828.44</v>
      </c>
      <c r="I172" s="780">
        <v>10242.66</v>
      </c>
      <c r="J172" s="781">
        <v>13656.88</v>
      </c>
      <c r="K172" s="782">
        <v>17071.099999999999</v>
      </c>
      <c r="L172" s="783">
        <v>20485.32</v>
      </c>
      <c r="M172" s="784">
        <v>23899.54</v>
      </c>
      <c r="N172" s="785">
        <v>27313.759999999998</v>
      </c>
      <c r="O172" s="786">
        <v>30727.98</v>
      </c>
      <c r="P172" s="787">
        <v>34142.199999999997</v>
      </c>
      <c r="Q172" s="861">
        <v>37556.42</v>
      </c>
      <c r="R172" s="778">
        <v>40970.639999999999</v>
      </c>
      <c r="S172" s="780">
        <f t="shared" si="23"/>
        <v>22192.429999999997</v>
      </c>
      <c r="T172" s="754"/>
      <c r="U172" s="789"/>
      <c r="V172" s="789"/>
      <c r="W172" s="789"/>
      <c r="X172" s="789"/>
      <c r="Y172" s="767"/>
      <c r="Z172" s="767"/>
    </row>
    <row r="173" spans="1:26">
      <c r="A173" s="774"/>
      <c r="B173" s="774"/>
      <c r="C173" s="775">
        <v>164</v>
      </c>
      <c r="D173" s="776"/>
      <c r="E173" s="777" t="s">
        <v>638</v>
      </c>
      <c r="F173" s="802">
        <f>SUM(F166:F172)</f>
        <v>11516164.85</v>
      </c>
      <c r="G173" s="802">
        <f t="shared" ref="G173:S173" si="28">SUM(G166:G172)</f>
        <v>977536.2</v>
      </c>
      <c r="H173" s="802">
        <f t="shared" si="28"/>
        <v>1975087.28</v>
      </c>
      <c r="I173" s="802">
        <f t="shared" si="28"/>
        <v>2989591.3200000003</v>
      </c>
      <c r="J173" s="802">
        <f t="shared" si="28"/>
        <v>4015213.28</v>
      </c>
      <c r="K173" s="802">
        <f t="shared" si="28"/>
        <v>5044876.6899999995</v>
      </c>
      <c r="L173" s="802">
        <f t="shared" si="28"/>
        <v>6071067.8700000001</v>
      </c>
      <c r="M173" s="802">
        <f t="shared" si="28"/>
        <v>7061828.7199999997</v>
      </c>
      <c r="N173" s="802">
        <f t="shared" si="28"/>
        <v>8073327.0799999991</v>
      </c>
      <c r="O173" s="802">
        <f t="shared" si="28"/>
        <v>9074873.9700000007</v>
      </c>
      <c r="P173" s="802">
        <f t="shared" si="28"/>
        <v>10072427.629999999</v>
      </c>
      <c r="Q173" s="802">
        <f t="shared" si="28"/>
        <v>11042380.58</v>
      </c>
      <c r="R173" s="802">
        <f t="shared" si="28"/>
        <v>12011342.050000001</v>
      </c>
      <c r="S173" s="802">
        <f t="shared" si="28"/>
        <v>6513497.0058333343</v>
      </c>
      <c r="T173" s="754"/>
      <c r="U173" s="790">
        <f>S173</f>
        <v>6513497.0058333343</v>
      </c>
      <c r="V173" s="789"/>
      <c r="W173" s="789"/>
      <c r="X173" s="790"/>
      <c r="Y173" s="767"/>
      <c r="Z173" s="767"/>
    </row>
    <row r="174" spans="1:26">
      <c r="A174" s="774"/>
      <c r="B174" s="774"/>
      <c r="C174" s="775">
        <v>165</v>
      </c>
      <c r="D174" s="776"/>
      <c r="E174" s="777"/>
      <c r="F174" s="778"/>
      <c r="G174" s="860"/>
      <c r="H174" s="780"/>
      <c r="I174" s="780"/>
      <c r="J174" s="781"/>
      <c r="K174" s="782"/>
      <c r="L174" s="783"/>
      <c r="M174" s="784"/>
      <c r="N174" s="785"/>
      <c r="O174" s="786"/>
      <c r="P174" s="787"/>
      <c r="Q174" s="861"/>
      <c r="R174" s="778"/>
      <c r="S174" s="780">
        <f t="shared" si="23"/>
        <v>0</v>
      </c>
      <c r="T174" s="754"/>
      <c r="U174" s="789"/>
      <c r="V174" s="789"/>
      <c r="W174" s="789"/>
      <c r="X174" s="789"/>
      <c r="Y174" s="767"/>
      <c r="Z174" s="767"/>
    </row>
    <row r="175" spans="1:26">
      <c r="A175" s="774" t="s">
        <v>639</v>
      </c>
      <c r="B175" s="774" t="s">
        <v>410</v>
      </c>
      <c r="C175" s="775">
        <v>166</v>
      </c>
      <c r="D175" s="776" t="str">
        <f t="shared" ref="D175:D181" si="29">+A175</f>
        <v>4091</v>
      </c>
      <c r="E175" s="777" t="s">
        <v>640</v>
      </c>
      <c r="F175" s="778">
        <v>3112194.93</v>
      </c>
      <c r="G175" s="860">
        <v>2557266.35</v>
      </c>
      <c r="H175" s="780">
        <v>4076844.5</v>
      </c>
      <c r="I175" s="780">
        <v>5601669.1900000004</v>
      </c>
      <c r="J175" s="781">
        <v>5723490.9400000004</v>
      </c>
      <c r="K175" s="782">
        <v>5087405.2699999996</v>
      </c>
      <c r="L175" s="783">
        <v>3936066.91</v>
      </c>
      <c r="M175" s="784">
        <v>3299654.61</v>
      </c>
      <c r="N175" s="785">
        <v>2254452.36</v>
      </c>
      <c r="O175" s="786">
        <v>342403.22</v>
      </c>
      <c r="P175" s="787">
        <v>694977.99</v>
      </c>
      <c r="Q175" s="861">
        <v>767944.27</v>
      </c>
      <c r="R175" s="778">
        <v>4577015.2699999996</v>
      </c>
      <c r="S175" s="780">
        <f t="shared" si="23"/>
        <v>3182231.7258333336</v>
      </c>
      <c r="T175" s="754"/>
      <c r="U175" s="789"/>
      <c r="V175" s="789"/>
      <c r="W175" s="789"/>
      <c r="X175" s="789"/>
      <c r="Y175" s="767"/>
      <c r="Z175" s="767"/>
    </row>
    <row r="176" spans="1:26">
      <c r="A176" s="774" t="s">
        <v>641</v>
      </c>
      <c r="B176" s="774" t="s">
        <v>410</v>
      </c>
      <c r="C176" s="775">
        <v>167</v>
      </c>
      <c r="D176" s="776" t="str">
        <f t="shared" si="29"/>
        <v>4092</v>
      </c>
      <c r="E176" s="777" t="s">
        <v>642</v>
      </c>
      <c r="F176" s="778">
        <v>2861307.83</v>
      </c>
      <c r="G176" s="860">
        <v>1791.34</v>
      </c>
      <c r="H176" s="780">
        <v>-4072.77</v>
      </c>
      <c r="I176" s="780">
        <v>6168.62</v>
      </c>
      <c r="J176" s="781">
        <v>12619.45</v>
      </c>
      <c r="K176" s="782">
        <v>29679.09</v>
      </c>
      <c r="L176" s="783">
        <v>46194.23</v>
      </c>
      <c r="M176" s="784">
        <v>58088.959999999999</v>
      </c>
      <c r="N176" s="785">
        <v>124414.75</v>
      </c>
      <c r="O176" s="786">
        <v>-3959.8000000000202</v>
      </c>
      <c r="P176" s="787">
        <v>-158977.68</v>
      </c>
      <c r="Q176" s="861">
        <v>-68477.759999999995</v>
      </c>
      <c r="R176" s="778">
        <v>-202120.14</v>
      </c>
      <c r="S176" s="780">
        <f t="shared" si="23"/>
        <v>114421.85625</v>
      </c>
      <c r="T176" s="754"/>
      <c r="U176" s="789"/>
      <c r="V176" s="789"/>
      <c r="W176" s="789"/>
      <c r="X176" s="789"/>
      <c r="Y176" s="767"/>
      <c r="Z176" s="767"/>
    </row>
    <row r="177" spans="1:26">
      <c r="A177" s="774" t="s">
        <v>643</v>
      </c>
      <c r="B177" s="774" t="s">
        <v>410</v>
      </c>
      <c r="C177" s="775">
        <v>168</v>
      </c>
      <c r="D177" s="776" t="str">
        <f t="shared" si="29"/>
        <v>4101</v>
      </c>
      <c r="E177" s="777" t="s">
        <v>644</v>
      </c>
      <c r="F177" s="778">
        <v>41338.980000000003</v>
      </c>
      <c r="G177" s="860">
        <v>-43647.16</v>
      </c>
      <c r="H177" s="780">
        <v>-87294.41</v>
      </c>
      <c r="I177" s="780">
        <v>-479450.32</v>
      </c>
      <c r="J177" s="781">
        <v>-635749.15</v>
      </c>
      <c r="K177" s="782">
        <v>-792047.99</v>
      </c>
      <c r="L177" s="783">
        <v>-547043.65</v>
      </c>
      <c r="M177" s="784">
        <v>-636507.4</v>
      </c>
      <c r="N177" s="785">
        <v>-725971.16</v>
      </c>
      <c r="O177" s="786">
        <v>452676.07</v>
      </c>
      <c r="P177" s="787">
        <v>330098.7</v>
      </c>
      <c r="Q177" s="861">
        <v>2214308.3199999998</v>
      </c>
      <c r="R177" s="778">
        <v>1569439.44</v>
      </c>
      <c r="S177" s="780">
        <f t="shared" si="23"/>
        <v>-12103.245000000034</v>
      </c>
      <c r="T177" s="754"/>
      <c r="U177" s="789"/>
      <c r="V177" s="789"/>
      <c r="W177" s="789"/>
      <c r="X177" s="789"/>
      <c r="Y177" s="767"/>
      <c r="Z177" s="767"/>
    </row>
    <row r="178" spans="1:26">
      <c r="A178" s="774" t="s">
        <v>645</v>
      </c>
      <c r="B178" s="774" t="s">
        <v>410</v>
      </c>
      <c r="C178" s="775">
        <v>169</v>
      </c>
      <c r="D178" s="875" t="str">
        <f t="shared" si="29"/>
        <v>4102</v>
      </c>
      <c r="E178" s="777" t="s">
        <v>646</v>
      </c>
      <c r="F178" s="778">
        <v>0</v>
      </c>
      <c r="G178" s="860">
        <v>0</v>
      </c>
      <c r="H178" s="780">
        <v>0</v>
      </c>
      <c r="I178" s="780">
        <v>0</v>
      </c>
      <c r="J178" s="781">
        <v>0</v>
      </c>
      <c r="K178" s="782">
        <v>0</v>
      </c>
      <c r="L178" s="783">
        <v>0</v>
      </c>
      <c r="M178" s="784">
        <v>0</v>
      </c>
      <c r="N178" s="785">
        <v>0</v>
      </c>
      <c r="O178" s="786">
        <v>0</v>
      </c>
      <c r="P178" s="787">
        <v>0</v>
      </c>
      <c r="Q178" s="861">
        <v>0</v>
      </c>
      <c r="R178" s="778">
        <v>0</v>
      </c>
      <c r="S178" s="780">
        <f t="shared" si="23"/>
        <v>0</v>
      </c>
      <c r="T178" s="754"/>
      <c r="U178" s="789"/>
      <c r="V178" s="789"/>
      <c r="W178" s="789"/>
      <c r="X178" s="789"/>
      <c r="Y178" s="767"/>
      <c r="Z178" s="767"/>
    </row>
    <row r="179" spans="1:26">
      <c r="A179" s="774" t="s">
        <v>647</v>
      </c>
      <c r="B179" s="774" t="s">
        <v>410</v>
      </c>
      <c r="C179" s="775">
        <v>170</v>
      </c>
      <c r="D179" s="876" t="str">
        <f t="shared" si="29"/>
        <v>4111</v>
      </c>
      <c r="E179" s="777" t="s">
        <v>648</v>
      </c>
      <c r="F179" s="778">
        <v>0</v>
      </c>
      <c r="G179" s="860">
        <v>0</v>
      </c>
      <c r="H179" s="780">
        <v>0</v>
      </c>
      <c r="I179" s="780">
        <v>0</v>
      </c>
      <c r="J179" s="781">
        <v>0</v>
      </c>
      <c r="K179" s="782">
        <v>0</v>
      </c>
      <c r="L179" s="783">
        <v>0</v>
      </c>
      <c r="M179" s="784">
        <v>0</v>
      </c>
      <c r="N179" s="785">
        <v>0</v>
      </c>
      <c r="O179" s="786">
        <v>0</v>
      </c>
      <c r="P179" s="787">
        <v>0</v>
      </c>
      <c r="Q179" s="861">
        <v>0</v>
      </c>
      <c r="R179" s="778">
        <v>0</v>
      </c>
      <c r="S179" s="780">
        <f t="shared" si="23"/>
        <v>0</v>
      </c>
      <c r="T179" s="754"/>
      <c r="U179" s="789"/>
      <c r="V179" s="789"/>
      <c r="W179" s="789"/>
      <c r="X179" s="789"/>
      <c r="Y179" s="767"/>
      <c r="Z179" s="767"/>
    </row>
    <row r="180" spans="1:26">
      <c r="A180" s="774" t="s">
        <v>649</v>
      </c>
      <c r="B180" s="774" t="s">
        <v>410</v>
      </c>
      <c r="C180" s="775">
        <v>171</v>
      </c>
      <c r="D180" s="875" t="str">
        <f t="shared" si="29"/>
        <v>4112</v>
      </c>
      <c r="E180" s="777" t="s">
        <v>650</v>
      </c>
      <c r="F180" s="778">
        <v>0</v>
      </c>
      <c r="G180" s="860">
        <v>0</v>
      </c>
      <c r="H180" s="780">
        <v>0</v>
      </c>
      <c r="I180" s="780">
        <v>0</v>
      </c>
      <c r="J180" s="781">
        <v>0</v>
      </c>
      <c r="K180" s="782">
        <v>0</v>
      </c>
      <c r="L180" s="783">
        <v>0</v>
      </c>
      <c r="M180" s="784">
        <v>0</v>
      </c>
      <c r="N180" s="785">
        <v>0</v>
      </c>
      <c r="O180" s="786">
        <v>0</v>
      </c>
      <c r="P180" s="787">
        <v>0</v>
      </c>
      <c r="Q180" s="861">
        <v>0</v>
      </c>
      <c r="R180" s="778">
        <v>0</v>
      </c>
      <c r="S180" s="780">
        <f t="shared" si="23"/>
        <v>0</v>
      </c>
      <c r="T180" s="754"/>
      <c r="U180" s="789"/>
      <c r="V180" s="789"/>
      <c r="W180" s="789"/>
      <c r="X180" s="789"/>
      <c r="Y180" s="767"/>
      <c r="Z180" s="767"/>
    </row>
    <row r="181" spans="1:26">
      <c r="A181" s="774" t="s">
        <v>651</v>
      </c>
      <c r="B181" s="774" t="s">
        <v>410</v>
      </c>
      <c r="C181" s="775">
        <v>172</v>
      </c>
      <c r="D181" s="776" t="str">
        <f t="shared" si="29"/>
        <v>[4200,4114]</v>
      </c>
      <c r="E181" s="777" t="s">
        <v>652</v>
      </c>
      <c r="F181" s="778">
        <v>-52577</v>
      </c>
      <c r="G181" s="860">
        <v>-4126.08</v>
      </c>
      <c r="H181" s="780">
        <v>-8252.17</v>
      </c>
      <c r="I181" s="780">
        <v>-12378.25</v>
      </c>
      <c r="J181" s="781">
        <v>-16504.330000000002</v>
      </c>
      <c r="K181" s="782">
        <v>-20630.419999999998</v>
      </c>
      <c r="L181" s="783">
        <v>-24404</v>
      </c>
      <c r="M181" s="784">
        <v>-28471.33</v>
      </c>
      <c r="N181" s="785">
        <v>-32538.67</v>
      </c>
      <c r="O181" s="786">
        <v>-36606</v>
      </c>
      <c r="P181" s="787">
        <v>-40673.33</v>
      </c>
      <c r="Q181" s="861">
        <v>-44766.67</v>
      </c>
      <c r="R181" s="778">
        <v>-48834</v>
      </c>
      <c r="S181" s="780">
        <f t="shared" si="23"/>
        <v>-26671.395833333332</v>
      </c>
      <c r="T181" s="754"/>
      <c r="U181" s="789"/>
      <c r="V181" s="789"/>
      <c r="W181" s="789"/>
      <c r="X181" s="789"/>
      <c r="Y181" s="767"/>
      <c r="Z181" s="767"/>
    </row>
    <row r="182" spans="1:26">
      <c r="A182" s="774"/>
      <c r="B182" s="774"/>
      <c r="C182" s="775">
        <v>173</v>
      </c>
      <c r="D182" s="776"/>
      <c r="E182" s="777" t="s">
        <v>653</v>
      </c>
      <c r="F182" s="802">
        <f>SUM(F175:F181)</f>
        <v>5962264.7400000002</v>
      </c>
      <c r="G182" s="802">
        <f t="shared" ref="G182:S182" si="30">SUM(G175:G181)</f>
        <v>2511284.4499999997</v>
      </c>
      <c r="H182" s="802">
        <f t="shared" si="30"/>
        <v>3977225.15</v>
      </c>
      <c r="I182" s="802">
        <f t="shared" si="30"/>
        <v>5116009.24</v>
      </c>
      <c r="J182" s="802">
        <f t="shared" si="30"/>
        <v>5083856.91</v>
      </c>
      <c r="K182" s="802">
        <f t="shared" si="30"/>
        <v>4304405.9499999993</v>
      </c>
      <c r="L182" s="802">
        <f t="shared" si="30"/>
        <v>3410813.49</v>
      </c>
      <c r="M182" s="802">
        <f t="shared" si="30"/>
        <v>2692764.84</v>
      </c>
      <c r="N182" s="802">
        <f t="shared" si="30"/>
        <v>1620357.2799999998</v>
      </c>
      <c r="O182" s="802">
        <f t="shared" si="30"/>
        <v>754513.49</v>
      </c>
      <c r="P182" s="802">
        <f t="shared" si="30"/>
        <v>825425.68</v>
      </c>
      <c r="Q182" s="802">
        <f t="shared" si="30"/>
        <v>2869008.16</v>
      </c>
      <c r="R182" s="802">
        <f t="shared" si="30"/>
        <v>5895500.5700000003</v>
      </c>
      <c r="S182" s="802">
        <f t="shared" si="30"/>
        <v>3257878.9412500001</v>
      </c>
      <c r="T182" s="754"/>
      <c r="U182" s="790">
        <f>S182</f>
        <v>3257878.9412500001</v>
      </c>
      <c r="V182" s="789"/>
      <c r="W182" s="789"/>
      <c r="X182" s="790"/>
      <c r="Y182" s="767"/>
      <c r="Z182" s="767"/>
    </row>
    <row r="183" spans="1:26">
      <c r="A183" s="774"/>
      <c r="B183" s="774"/>
      <c r="C183" s="775">
        <v>174</v>
      </c>
      <c r="D183" s="776"/>
      <c r="E183" s="777"/>
      <c r="F183" s="778"/>
      <c r="G183" s="860"/>
      <c r="H183" s="780"/>
      <c r="I183" s="780"/>
      <c r="J183" s="781"/>
      <c r="K183" s="782"/>
      <c r="L183" s="783"/>
      <c r="M183" s="784"/>
      <c r="N183" s="785"/>
      <c r="O183" s="786"/>
      <c r="P183" s="787"/>
      <c r="Q183" s="861"/>
      <c r="R183" s="778"/>
      <c r="S183" s="780">
        <f t="shared" si="23"/>
        <v>0</v>
      </c>
      <c r="T183" s="754"/>
      <c r="U183" s="789"/>
      <c r="V183" s="789"/>
      <c r="W183" s="789"/>
      <c r="X183" s="789"/>
      <c r="Y183" s="767"/>
      <c r="Z183" s="767"/>
    </row>
    <row r="184" spans="1:26">
      <c r="A184" s="774"/>
      <c r="B184" s="774"/>
      <c r="C184" s="775">
        <v>175</v>
      </c>
      <c r="D184" s="776"/>
      <c r="E184" s="777"/>
      <c r="F184" s="778"/>
      <c r="G184" s="860"/>
      <c r="H184" s="780"/>
      <c r="I184" s="780"/>
      <c r="J184" s="781"/>
      <c r="K184" s="782"/>
      <c r="L184" s="783"/>
      <c r="M184" s="784"/>
      <c r="N184" s="785"/>
      <c r="O184" s="786"/>
      <c r="P184" s="787"/>
      <c r="Q184" s="861"/>
      <c r="R184" s="778"/>
      <c r="S184" s="780">
        <f t="shared" si="23"/>
        <v>0</v>
      </c>
      <c r="T184" s="754"/>
      <c r="U184" s="789"/>
      <c r="V184" s="789"/>
      <c r="W184" s="789"/>
      <c r="X184" s="789"/>
      <c r="Y184" s="767"/>
      <c r="Z184" s="767"/>
    </row>
    <row r="185" spans="1:26">
      <c r="A185" s="774" t="s">
        <v>654</v>
      </c>
      <c r="B185" s="774" t="s">
        <v>410</v>
      </c>
      <c r="C185" s="775">
        <v>176</v>
      </c>
      <c r="D185" s="877" t="s">
        <v>654</v>
      </c>
      <c r="E185" s="777" t="s">
        <v>655</v>
      </c>
      <c r="F185" s="778">
        <v>0</v>
      </c>
      <c r="G185" s="860">
        <v>0</v>
      </c>
      <c r="H185" s="780">
        <v>0</v>
      </c>
      <c r="I185" s="780">
        <v>0</v>
      </c>
      <c r="J185" s="781">
        <v>0</v>
      </c>
      <c r="K185" s="782">
        <v>0</v>
      </c>
      <c r="L185" s="783">
        <v>0</v>
      </c>
      <c r="M185" s="784">
        <v>0</v>
      </c>
      <c r="N185" s="785">
        <v>0</v>
      </c>
      <c r="O185" s="786">
        <v>0</v>
      </c>
      <c r="P185" s="787">
        <v>0</v>
      </c>
      <c r="Q185" s="861">
        <v>0</v>
      </c>
      <c r="R185" s="778">
        <v>0</v>
      </c>
      <c r="S185" s="780">
        <f t="shared" si="23"/>
        <v>0</v>
      </c>
      <c r="T185" s="754"/>
      <c r="U185" s="789"/>
      <c r="V185" s="789"/>
      <c r="W185" s="789"/>
      <c r="X185" s="789"/>
      <c r="Y185" s="767"/>
      <c r="Z185" s="767"/>
    </row>
    <row r="186" spans="1:26">
      <c r="A186" s="774" t="s">
        <v>656</v>
      </c>
      <c r="B186" s="774" t="s">
        <v>410</v>
      </c>
      <c r="C186" s="775">
        <v>177</v>
      </c>
      <c r="D186" s="877" t="s">
        <v>656</v>
      </c>
      <c r="E186" s="777" t="s">
        <v>361</v>
      </c>
      <c r="F186" s="778">
        <v>0</v>
      </c>
      <c r="G186" s="860">
        <v>0</v>
      </c>
      <c r="H186" s="780">
        <v>0</v>
      </c>
      <c r="I186" s="780">
        <v>0</v>
      </c>
      <c r="J186" s="781">
        <v>0</v>
      </c>
      <c r="K186" s="782">
        <v>0</v>
      </c>
      <c r="L186" s="783">
        <v>0</v>
      </c>
      <c r="M186" s="784">
        <v>0</v>
      </c>
      <c r="N186" s="785">
        <v>0</v>
      </c>
      <c r="O186" s="786">
        <v>0</v>
      </c>
      <c r="P186" s="787">
        <v>0</v>
      </c>
      <c r="Q186" s="861">
        <v>0</v>
      </c>
      <c r="R186" s="778">
        <v>0</v>
      </c>
      <c r="S186" s="780">
        <f t="shared" si="23"/>
        <v>0</v>
      </c>
      <c r="T186" s="754"/>
      <c r="U186" s="789"/>
      <c r="V186" s="789"/>
      <c r="W186" s="789"/>
      <c r="X186" s="789"/>
      <c r="Y186" s="767"/>
      <c r="Z186" s="767"/>
    </row>
    <row r="187" spans="1:26">
      <c r="A187" s="774" t="s">
        <v>657</v>
      </c>
      <c r="B187" s="774" t="s">
        <v>410</v>
      </c>
      <c r="C187" s="775">
        <v>178</v>
      </c>
      <c r="D187" s="874" t="s">
        <v>658</v>
      </c>
      <c r="E187" s="777" t="s">
        <v>363</v>
      </c>
      <c r="F187" s="778">
        <v>263833.14</v>
      </c>
      <c r="G187" s="860">
        <v>14753.75</v>
      </c>
      <c r="H187" s="780">
        <v>43293.75</v>
      </c>
      <c r="I187" s="780">
        <v>60860.21</v>
      </c>
      <c r="J187" s="781">
        <v>74110.210000000006</v>
      </c>
      <c r="K187" s="782">
        <v>78050.210000000006</v>
      </c>
      <c r="L187" s="783">
        <v>82558.600000000006</v>
      </c>
      <c r="M187" s="784">
        <v>107911.98</v>
      </c>
      <c r="N187" s="785">
        <v>136956.31</v>
      </c>
      <c r="O187" s="855">
        <v>195295.73</v>
      </c>
      <c r="P187" s="787">
        <v>214414.6</v>
      </c>
      <c r="Q187" s="861">
        <v>224245.8</v>
      </c>
      <c r="R187" s="778">
        <v>232468.15</v>
      </c>
      <c r="S187" s="780">
        <f t="shared" si="23"/>
        <v>123383.48291666666</v>
      </c>
      <c r="T187" s="758"/>
      <c r="U187" s="789"/>
      <c r="V187" s="789"/>
      <c r="W187" s="789"/>
      <c r="X187" s="789"/>
      <c r="Y187" s="767"/>
      <c r="Z187" s="767"/>
    </row>
    <row r="188" spans="1:26">
      <c r="A188" s="774" t="s">
        <v>659</v>
      </c>
      <c r="B188" s="856" t="s">
        <v>410</v>
      </c>
      <c r="C188" s="775">
        <v>179</v>
      </c>
      <c r="D188" s="874" t="s">
        <v>660</v>
      </c>
      <c r="E188" s="777" t="s">
        <v>367</v>
      </c>
      <c r="F188" s="778">
        <v>275000</v>
      </c>
      <c r="G188" s="860">
        <v>0</v>
      </c>
      <c r="H188" s="780">
        <v>0</v>
      </c>
      <c r="I188" s="780">
        <v>39.04</v>
      </c>
      <c r="J188" s="781">
        <v>1138.45</v>
      </c>
      <c r="K188" s="782">
        <v>1138.45</v>
      </c>
      <c r="L188" s="783">
        <v>1138.45</v>
      </c>
      <c r="M188" s="784">
        <v>1183.79</v>
      </c>
      <c r="N188" s="785">
        <v>1183.79</v>
      </c>
      <c r="O188" s="786">
        <v>251183.79</v>
      </c>
      <c r="P188" s="787">
        <v>1001183.79</v>
      </c>
      <c r="Q188" s="861">
        <v>1001183.79</v>
      </c>
      <c r="R188" s="778">
        <v>1001183.79</v>
      </c>
      <c r="S188" s="780">
        <f t="shared" si="23"/>
        <v>241455.43625</v>
      </c>
      <c r="T188" s="754"/>
      <c r="U188" s="789"/>
      <c r="V188" s="789"/>
      <c r="W188" s="789"/>
      <c r="X188" s="789"/>
      <c r="Y188" s="767"/>
      <c r="Z188" s="767"/>
    </row>
    <row r="189" spans="1:26">
      <c r="A189" s="774" t="s">
        <v>410</v>
      </c>
      <c r="B189" s="774" t="s">
        <v>661</v>
      </c>
      <c r="C189" s="775">
        <v>180</v>
      </c>
      <c r="D189" s="874" t="s">
        <v>661</v>
      </c>
      <c r="E189" s="777" t="s">
        <v>662</v>
      </c>
      <c r="F189" s="778">
        <v>140881.34</v>
      </c>
      <c r="G189" s="860">
        <v>10696.89</v>
      </c>
      <c r="H189" s="780">
        <v>22607.64</v>
      </c>
      <c r="I189" s="780">
        <v>36018.39</v>
      </c>
      <c r="J189" s="781">
        <v>45929.14</v>
      </c>
      <c r="K189" s="782">
        <v>50839.89</v>
      </c>
      <c r="L189" s="783">
        <v>62856.41</v>
      </c>
      <c r="M189" s="784">
        <v>74025.3</v>
      </c>
      <c r="N189" s="785">
        <v>83998.75</v>
      </c>
      <c r="O189" s="855">
        <v>94998.41</v>
      </c>
      <c r="P189" s="787">
        <v>101488.85</v>
      </c>
      <c r="Q189" s="861">
        <v>112743.55</v>
      </c>
      <c r="R189" s="778">
        <v>128203.67</v>
      </c>
      <c r="S189" s="780">
        <f t="shared" si="23"/>
        <v>69228.810416666674</v>
      </c>
      <c r="T189" s="754"/>
      <c r="U189" s="789"/>
      <c r="V189" s="789"/>
      <c r="W189" s="789"/>
      <c r="X189" s="789"/>
      <c r="Y189" s="767"/>
      <c r="Z189" s="767"/>
    </row>
    <row r="190" spans="1:26">
      <c r="A190" s="774" t="s">
        <v>663</v>
      </c>
      <c r="B190" s="774" t="s">
        <v>410</v>
      </c>
      <c r="C190" s="775">
        <v>181</v>
      </c>
      <c r="D190" s="874" t="s">
        <v>664</v>
      </c>
      <c r="E190" s="777" t="s">
        <v>371</v>
      </c>
      <c r="F190" s="778">
        <v>213923.08</v>
      </c>
      <c r="G190" s="860">
        <v>0</v>
      </c>
      <c r="H190" s="780">
        <v>0</v>
      </c>
      <c r="I190" s="780">
        <v>631.73</v>
      </c>
      <c r="J190" s="781">
        <v>631.73</v>
      </c>
      <c r="K190" s="782">
        <v>631.73</v>
      </c>
      <c r="L190" s="783">
        <v>631.73</v>
      </c>
      <c r="M190" s="784">
        <v>816.73</v>
      </c>
      <c r="N190" s="785">
        <v>1126.73</v>
      </c>
      <c r="O190" s="855">
        <v>1126.73</v>
      </c>
      <c r="P190" s="787">
        <v>1126.73</v>
      </c>
      <c r="Q190" s="861">
        <v>1436.73</v>
      </c>
      <c r="R190" s="778">
        <v>1436.73</v>
      </c>
      <c r="S190" s="780">
        <f t="shared" si="23"/>
        <v>9653.3729166666672</v>
      </c>
      <c r="T190" s="754"/>
      <c r="U190" s="789"/>
      <c r="V190" s="789"/>
      <c r="W190" s="789"/>
      <c r="X190" s="789"/>
      <c r="Y190" s="767"/>
      <c r="Z190" s="767"/>
    </row>
    <row r="191" spans="1:26">
      <c r="A191" s="774" t="s">
        <v>665</v>
      </c>
      <c r="B191" s="774" t="s">
        <v>410</v>
      </c>
      <c r="C191" s="775">
        <v>182</v>
      </c>
      <c r="D191" s="874" t="s">
        <v>666</v>
      </c>
      <c r="E191" s="777" t="s">
        <v>667</v>
      </c>
      <c r="F191" s="778">
        <v>0</v>
      </c>
      <c r="G191" s="860">
        <v>0</v>
      </c>
      <c r="H191" s="780">
        <v>0</v>
      </c>
      <c r="I191" s="780">
        <v>0</v>
      </c>
      <c r="J191" s="781">
        <v>0</v>
      </c>
      <c r="K191" s="782">
        <v>0</v>
      </c>
      <c r="L191" s="783">
        <v>0</v>
      </c>
      <c r="M191" s="784">
        <v>0</v>
      </c>
      <c r="N191" s="785">
        <v>0</v>
      </c>
      <c r="O191" s="786">
        <v>0</v>
      </c>
      <c r="P191" s="787">
        <v>0</v>
      </c>
      <c r="Q191" s="861">
        <v>0</v>
      </c>
      <c r="R191" s="778">
        <v>0</v>
      </c>
      <c r="S191" s="780">
        <f t="shared" si="23"/>
        <v>0</v>
      </c>
      <c r="T191" s="754"/>
      <c r="U191" s="789"/>
      <c r="V191" s="789"/>
      <c r="W191" s="789"/>
      <c r="X191" s="789"/>
      <c r="Y191" s="767"/>
      <c r="Z191" s="767"/>
    </row>
    <row r="192" spans="1:26">
      <c r="A192" s="750" t="s">
        <v>668</v>
      </c>
      <c r="B192" s="750" t="s">
        <v>666</v>
      </c>
      <c r="C192" s="775">
        <v>183</v>
      </c>
      <c r="D192" s="752" t="str">
        <f>A192&amp;"."&amp;B192</f>
        <v>6011.4171</v>
      </c>
      <c r="E192" s="878" t="s">
        <v>669</v>
      </c>
      <c r="F192" s="778">
        <v>0</v>
      </c>
      <c r="G192" s="860">
        <v>0</v>
      </c>
      <c r="H192" s="780">
        <v>0</v>
      </c>
      <c r="I192" s="780">
        <v>0</v>
      </c>
      <c r="J192" s="781">
        <v>0</v>
      </c>
      <c r="K192" s="782">
        <v>0</v>
      </c>
      <c r="L192" s="783">
        <v>0</v>
      </c>
      <c r="M192" s="784">
        <v>0</v>
      </c>
      <c r="N192" s="785">
        <v>0</v>
      </c>
      <c r="O192" s="786">
        <v>0</v>
      </c>
      <c r="P192" s="787">
        <v>0</v>
      </c>
      <c r="Q192" s="861">
        <v>0</v>
      </c>
      <c r="R192" s="778">
        <v>0</v>
      </c>
      <c r="S192" s="780">
        <f t="shared" si="23"/>
        <v>0</v>
      </c>
      <c r="T192" s="754"/>
      <c r="U192" s="789"/>
      <c r="V192" s="789"/>
      <c r="W192" s="789"/>
      <c r="X192" s="789"/>
      <c r="Y192" s="767"/>
      <c r="Z192" s="767"/>
    </row>
    <row r="193" spans="1:26">
      <c r="A193" s="774" t="s">
        <v>670</v>
      </c>
      <c r="B193" s="774" t="s">
        <v>410</v>
      </c>
      <c r="C193" s="775">
        <v>184</v>
      </c>
      <c r="D193" s="776" t="str">
        <f>+A193</f>
        <v>4082</v>
      </c>
      <c r="E193" s="777" t="s">
        <v>671</v>
      </c>
      <c r="F193" s="778">
        <v>2940.1</v>
      </c>
      <c r="G193" s="860">
        <v>0</v>
      </c>
      <c r="H193" s="780">
        <v>0</v>
      </c>
      <c r="I193" s="780">
        <v>0</v>
      </c>
      <c r="J193" s="781">
        <v>1582.18</v>
      </c>
      <c r="K193" s="782">
        <v>1582.18</v>
      </c>
      <c r="L193" s="783">
        <v>1582.18</v>
      </c>
      <c r="M193" s="784">
        <v>1582.18</v>
      </c>
      <c r="N193" s="785">
        <v>3164.36</v>
      </c>
      <c r="O193" s="786">
        <v>3164.36</v>
      </c>
      <c r="P193" s="787">
        <v>3164.36</v>
      </c>
      <c r="Q193" s="861">
        <v>3164.36</v>
      </c>
      <c r="R193" s="778">
        <v>3164.36</v>
      </c>
      <c r="S193" s="780">
        <f t="shared" si="23"/>
        <v>1836.5325</v>
      </c>
      <c r="T193" s="754"/>
      <c r="U193" s="789"/>
      <c r="V193" s="789"/>
      <c r="W193" s="789"/>
      <c r="X193" s="789"/>
      <c r="Y193" s="767"/>
      <c r="Z193" s="767"/>
    </row>
    <row r="194" spans="1:26">
      <c r="A194" s="774"/>
      <c r="B194" s="774"/>
      <c r="C194" s="775">
        <v>185</v>
      </c>
      <c r="D194" s="776"/>
      <c r="E194" s="777" t="s">
        <v>672</v>
      </c>
      <c r="F194" s="802">
        <f>SUM(F185:F193)</f>
        <v>896577.65999999992</v>
      </c>
      <c r="G194" s="802">
        <f t="shared" ref="G194:S194" si="31">SUM(G185:G193)</f>
        <v>25450.639999999999</v>
      </c>
      <c r="H194" s="802">
        <f t="shared" si="31"/>
        <v>65901.39</v>
      </c>
      <c r="I194" s="802">
        <f t="shared" si="31"/>
        <v>97549.37</v>
      </c>
      <c r="J194" s="802">
        <f t="shared" si="31"/>
        <v>123391.70999999999</v>
      </c>
      <c r="K194" s="802">
        <f t="shared" si="31"/>
        <v>132242.46</v>
      </c>
      <c r="L194" s="802">
        <f t="shared" si="31"/>
        <v>148767.37000000002</v>
      </c>
      <c r="M194" s="802">
        <f t="shared" si="31"/>
        <v>185519.98</v>
      </c>
      <c r="N194" s="802">
        <f t="shared" si="31"/>
        <v>226429.94</v>
      </c>
      <c r="O194" s="802">
        <f t="shared" si="31"/>
        <v>545769.02</v>
      </c>
      <c r="P194" s="802">
        <f t="shared" si="31"/>
        <v>1321378.3300000003</v>
      </c>
      <c r="Q194" s="802">
        <f t="shared" si="31"/>
        <v>1342774.2300000002</v>
      </c>
      <c r="R194" s="802">
        <f t="shared" si="31"/>
        <v>1366456.7</v>
      </c>
      <c r="S194" s="802">
        <f t="shared" si="31"/>
        <v>445557.63500000001</v>
      </c>
      <c r="T194" s="754"/>
      <c r="U194" s="790">
        <f>S194</f>
        <v>445557.63500000001</v>
      </c>
      <c r="V194" s="789"/>
      <c r="W194" s="789"/>
      <c r="X194" s="790"/>
      <c r="Y194" s="767"/>
      <c r="Z194" s="767"/>
    </row>
    <row r="195" spans="1:26">
      <c r="A195" s="774"/>
      <c r="B195" s="774"/>
      <c r="C195" s="775">
        <v>186</v>
      </c>
      <c r="D195" s="776"/>
      <c r="E195" s="777"/>
      <c r="F195" s="778"/>
      <c r="G195" s="860"/>
      <c r="H195" s="780"/>
      <c r="I195" s="780"/>
      <c r="J195" s="781"/>
      <c r="K195" s="782"/>
      <c r="L195" s="783"/>
      <c r="M195" s="784"/>
      <c r="N195" s="785"/>
      <c r="O195" s="786"/>
      <c r="P195" s="787"/>
      <c r="Q195" s="861"/>
      <c r="R195" s="778"/>
      <c r="S195" s="780">
        <f t="shared" si="23"/>
        <v>0</v>
      </c>
      <c r="T195" s="754"/>
      <c r="U195" s="789"/>
      <c r="V195" s="789"/>
      <c r="W195" s="789"/>
      <c r="X195" s="789"/>
      <c r="Y195" s="767"/>
      <c r="Z195" s="767"/>
    </row>
    <row r="196" spans="1:26">
      <c r="A196" s="774" t="s">
        <v>673</v>
      </c>
      <c r="B196" s="774" t="s">
        <v>410</v>
      </c>
      <c r="C196" s="775">
        <v>187</v>
      </c>
      <c r="D196" s="776" t="str">
        <f>+A196</f>
        <v>4380</v>
      </c>
      <c r="E196" s="777" t="s">
        <v>674</v>
      </c>
      <c r="F196" s="778">
        <v>16640000</v>
      </c>
      <c r="G196" s="860">
        <v>0</v>
      </c>
      <c r="H196" s="780">
        <v>4160000</v>
      </c>
      <c r="I196" s="780">
        <v>4160000</v>
      </c>
      <c r="J196" s="781">
        <v>4160000</v>
      </c>
      <c r="K196" s="782">
        <v>8320000</v>
      </c>
      <c r="L196" s="783">
        <v>8320000</v>
      </c>
      <c r="M196" s="784">
        <v>8320000</v>
      </c>
      <c r="N196" s="785">
        <v>12480000</v>
      </c>
      <c r="O196" s="786">
        <v>12480000</v>
      </c>
      <c r="P196" s="787">
        <v>12480000</v>
      </c>
      <c r="Q196" s="861">
        <v>16640000</v>
      </c>
      <c r="R196" s="778">
        <v>16640000</v>
      </c>
      <c r="S196" s="780">
        <f t="shared" si="23"/>
        <v>9013333.333333334</v>
      </c>
      <c r="T196" s="754"/>
      <c r="U196" s="789"/>
      <c r="V196" s="789"/>
      <c r="W196" s="789"/>
      <c r="X196" s="789"/>
      <c r="Y196" s="767"/>
      <c r="Z196" s="767"/>
    </row>
    <row r="197" spans="1:26">
      <c r="A197" s="774"/>
      <c r="B197" s="774"/>
      <c r="C197" s="775">
        <v>188</v>
      </c>
      <c r="D197" s="879"/>
      <c r="E197" s="777" t="s">
        <v>675</v>
      </c>
      <c r="F197" s="802">
        <f>+F196</f>
        <v>16640000</v>
      </c>
      <c r="G197" s="802">
        <f t="shared" ref="G197:S197" si="32">+G196</f>
        <v>0</v>
      </c>
      <c r="H197" s="802">
        <f t="shared" si="32"/>
        <v>4160000</v>
      </c>
      <c r="I197" s="802">
        <f t="shared" si="32"/>
        <v>4160000</v>
      </c>
      <c r="J197" s="802">
        <f t="shared" si="32"/>
        <v>4160000</v>
      </c>
      <c r="K197" s="802">
        <f t="shared" si="32"/>
        <v>8320000</v>
      </c>
      <c r="L197" s="802">
        <f t="shared" si="32"/>
        <v>8320000</v>
      </c>
      <c r="M197" s="802">
        <f t="shared" si="32"/>
        <v>8320000</v>
      </c>
      <c r="N197" s="802">
        <f t="shared" si="32"/>
        <v>12480000</v>
      </c>
      <c r="O197" s="802">
        <f t="shared" si="32"/>
        <v>12480000</v>
      </c>
      <c r="P197" s="802">
        <f t="shared" si="32"/>
        <v>12480000</v>
      </c>
      <c r="Q197" s="802">
        <f t="shared" si="32"/>
        <v>16640000</v>
      </c>
      <c r="R197" s="802">
        <f t="shared" si="32"/>
        <v>16640000</v>
      </c>
      <c r="S197" s="802">
        <f t="shared" si="32"/>
        <v>9013333.333333334</v>
      </c>
      <c r="T197" s="754"/>
      <c r="U197" s="790">
        <f>S197</f>
        <v>9013333.333333334</v>
      </c>
      <c r="V197" s="789"/>
      <c r="W197" s="789"/>
      <c r="X197" s="790"/>
      <c r="Y197" s="767"/>
      <c r="Z197" s="767"/>
    </row>
    <row r="198" spans="1:26">
      <c r="A198" s="774"/>
      <c r="B198" s="774"/>
      <c r="C198" s="775">
        <v>189</v>
      </c>
      <c r="D198" s="776"/>
      <c r="E198" s="777"/>
      <c r="F198" s="791"/>
      <c r="G198" s="863"/>
      <c r="H198" s="793"/>
      <c r="I198" s="793"/>
      <c r="J198" s="794"/>
      <c r="K198" s="795"/>
      <c r="L198" s="796"/>
      <c r="M198" s="797"/>
      <c r="N198" s="798"/>
      <c r="O198" s="799"/>
      <c r="P198" s="800"/>
      <c r="Q198" s="864"/>
      <c r="R198" s="791"/>
      <c r="S198" s="780">
        <f t="shared" si="23"/>
        <v>0</v>
      </c>
      <c r="T198" s="754"/>
      <c r="U198" s="789"/>
      <c r="V198" s="789"/>
      <c r="W198" s="789"/>
      <c r="X198" s="789"/>
      <c r="Y198" s="767"/>
      <c r="Z198" s="767"/>
    </row>
    <row r="199" spans="1:26" ht="16.5" thickBot="1">
      <c r="A199" s="774"/>
      <c r="B199" s="774"/>
      <c r="C199" s="775">
        <v>190</v>
      </c>
      <c r="D199" s="776"/>
      <c r="E199" s="777" t="s">
        <v>676</v>
      </c>
      <c r="F199" s="880">
        <f>+F197+F194+F182+F173+F164+F159+F155+F153+F147+F132+F124+F109+F107+F106+F104+F100+F90+F81+F49+F39+F33+F29+F45</f>
        <v>957808188.95999992</v>
      </c>
      <c r="G199" s="880">
        <f t="shared" ref="G199:S199" si="33">+G197+G194+G182+G173+G164+G159+G155+G153+G147+G132+G124+G109+G107+G106+G104+G100+G90+G81+G49+G39+G33+G29+G45</f>
        <v>702758578.59000003</v>
      </c>
      <c r="H199" s="880">
        <f t="shared" si="33"/>
        <v>735000254.91000009</v>
      </c>
      <c r="I199" s="880">
        <f t="shared" si="33"/>
        <v>765442960.05999994</v>
      </c>
      <c r="J199" s="880">
        <f t="shared" si="33"/>
        <v>772363559.80999994</v>
      </c>
      <c r="K199" s="880">
        <f t="shared" si="33"/>
        <v>787640044.00999975</v>
      </c>
      <c r="L199" s="880">
        <f t="shared" si="33"/>
        <v>797992253.00999999</v>
      </c>
      <c r="M199" s="880">
        <f t="shared" si="33"/>
        <v>804112169.54999995</v>
      </c>
      <c r="N199" s="880">
        <f t="shared" si="33"/>
        <v>813852966.13999999</v>
      </c>
      <c r="O199" s="880">
        <f t="shared" si="33"/>
        <v>825107690.84000003</v>
      </c>
      <c r="P199" s="880">
        <f t="shared" si="33"/>
        <v>852872870.34000003</v>
      </c>
      <c r="Q199" s="880">
        <f t="shared" si="33"/>
        <v>886611525.82000017</v>
      </c>
      <c r="R199" s="880">
        <f t="shared" si="33"/>
        <v>945811407.76999998</v>
      </c>
      <c r="S199" s="880">
        <f t="shared" si="33"/>
        <v>807963722.62041652</v>
      </c>
      <c r="T199" s="754"/>
      <c r="U199" s="789"/>
      <c r="V199" s="789"/>
      <c r="W199" s="789"/>
      <c r="X199" s="789"/>
      <c r="Y199" s="767"/>
      <c r="Z199" s="767"/>
    </row>
    <row r="200" spans="1:26" ht="16.5" thickTop="1">
      <c r="A200" s="774"/>
      <c r="B200" s="774"/>
      <c r="C200" s="775">
        <v>191</v>
      </c>
      <c r="D200" s="776"/>
      <c r="E200" s="777"/>
      <c r="F200" s="778"/>
      <c r="G200" s="860"/>
      <c r="H200" s="780"/>
      <c r="I200" s="780"/>
      <c r="J200" s="781"/>
      <c r="K200" s="782"/>
      <c r="L200" s="783"/>
      <c r="M200" s="784"/>
      <c r="N200" s="785"/>
      <c r="O200" s="786"/>
      <c r="P200" s="787"/>
      <c r="Q200" s="861"/>
      <c r="R200" s="778"/>
      <c r="S200" s="780">
        <f t="shared" si="23"/>
        <v>0</v>
      </c>
      <c r="T200" s="754"/>
      <c r="U200" s="789"/>
      <c r="V200" s="789"/>
      <c r="W200" s="789"/>
      <c r="X200" s="789"/>
      <c r="Y200" s="767"/>
      <c r="Z200" s="767"/>
    </row>
    <row r="201" spans="1:26">
      <c r="A201" s="774"/>
      <c r="B201" s="774"/>
      <c r="C201" s="775">
        <v>192</v>
      </c>
      <c r="D201" s="776"/>
      <c r="E201" s="777"/>
      <c r="F201" s="778"/>
      <c r="G201" s="860"/>
      <c r="H201" s="780"/>
      <c r="I201" s="780"/>
      <c r="J201" s="781"/>
      <c r="K201" s="782"/>
      <c r="L201" s="783"/>
      <c r="M201" s="784"/>
      <c r="N201" s="785"/>
      <c r="O201" s="786"/>
      <c r="P201" s="787"/>
      <c r="Q201" s="861"/>
      <c r="R201" s="778"/>
      <c r="S201" s="780">
        <f t="shared" si="23"/>
        <v>0</v>
      </c>
      <c r="T201" s="754"/>
      <c r="U201" s="789"/>
      <c r="V201" s="789"/>
      <c r="W201" s="789"/>
      <c r="X201" s="789"/>
      <c r="Y201" s="767"/>
      <c r="Z201" s="767"/>
    </row>
    <row r="202" spans="1:26">
      <c r="A202" s="774" t="s">
        <v>677</v>
      </c>
      <c r="B202" s="774" t="s">
        <v>410</v>
      </c>
      <c r="C202" s="775">
        <v>193</v>
      </c>
      <c r="D202" s="774" t="str">
        <f>+A202</f>
        <v>2010</v>
      </c>
      <c r="E202" s="832" t="s">
        <v>678</v>
      </c>
      <c r="F202" s="778">
        <v>-1000</v>
      </c>
      <c r="G202" s="860">
        <v>-1000</v>
      </c>
      <c r="H202" s="780">
        <v>-1000</v>
      </c>
      <c r="I202" s="780">
        <v>-1000</v>
      </c>
      <c r="J202" s="781">
        <v>-1000</v>
      </c>
      <c r="K202" s="782">
        <v>-1000</v>
      </c>
      <c r="L202" s="783">
        <v>-1000</v>
      </c>
      <c r="M202" s="784">
        <v>-1000</v>
      </c>
      <c r="N202" s="785">
        <v>-1000</v>
      </c>
      <c r="O202" s="786">
        <v>-1000</v>
      </c>
      <c r="P202" s="787">
        <v>-1000</v>
      </c>
      <c r="Q202" s="861">
        <v>-1000</v>
      </c>
      <c r="R202" s="778">
        <v>-1000</v>
      </c>
      <c r="S202" s="780">
        <f t="shared" si="23"/>
        <v>-1000</v>
      </c>
      <c r="T202" s="754"/>
      <c r="U202" s="789"/>
      <c r="V202" s="789"/>
      <c r="W202" s="789"/>
      <c r="X202" s="789"/>
      <c r="Y202" s="767"/>
      <c r="Z202" s="767"/>
    </row>
    <row r="203" spans="1:26">
      <c r="A203" s="774" t="s">
        <v>679</v>
      </c>
      <c r="B203" s="774" t="s">
        <v>627</v>
      </c>
      <c r="C203" s="775">
        <v>194</v>
      </c>
      <c r="D203" s="776" t="str">
        <f>A203&amp;"."&amp;B203</f>
        <v>2160.1</v>
      </c>
      <c r="E203" s="832" t="s">
        <v>680</v>
      </c>
      <c r="F203" s="778">
        <v>-44676389.859999999</v>
      </c>
      <c r="G203" s="860">
        <v>-40209183.609999999</v>
      </c>
      <c r="H203" s="780">
        <v>-40209183.609999999</v>
      </c>
      <c r="I203" s="780">
        <v>-40209183.609999999</v>
      </c>
      <c r="J203" s="781">
        <v>-40205542.240000002</v>
      </c>
      <c r="K203" s="782">
        <v>-40205542.240000002</v>
      </c>
      <c r="L203" s="783">
        <v>-40205542.240000002</v>
      </c>
      <c r="M203" s="784">
        <v>-40205542.240000002</v>
      </c>
      <c r="N203" s="785">
        <v>-40205542.240000002</v>
      </c>
      <c r="O203" s="786">
        <v>-40205542.240000002</v>
      </c>
      <c r="P203" s="787">
        <v>-40205542.240000002</v>
      </c>
      <c r="Q203" s="861">
        <v>-40205542.240000002</v>
      </c>
      <c r="R203" s="778">
        <v>-40205542.240000002</v>
      </c>
      <c r="S203" s="780">
        <f t="shared" si="23"/>
        <v>-40392737.900000006</v>
      </c>
      <c r="T203" s="754"/>
      <c r="U203" s="789"/>
      <c r="V203" s="757"/>
      <c r="W203" s="757"/>
      <c r="X203" s="757"/>
      <c r="Y203" s="767"/>
      <c r="Z203" s="767"/>
    </row>
    <row r="204" spans="1:26">
      <c r="A204" s="774" t="s">
        <v>679</v>
      </c>
      <c r="B204" s="774" t="s">
        <v>681</v>
      </c>
      <c r="C204" s="775">
        <v>195</v>
      </c>
      <c r="D204" s="776" t="str">
        <f>A204&amp;"."&amp;B204</f>
        <v>2160.2</v>
      </c>
      <c r="E204" s="832" t="s">
        <v>682</v>
      </c>
      <c r="F204" s="778">
        <v>3641.37</v>
      </c>
      <c r="G204" s="860">
        <v>3641.37</v>
      </c>
      <c r="H204" s="780">
        <v>3641.37</v>
      </c>
      <c r="I204" s="780">
        <v>3641.37</v>
      </c>
      <c r="J204" s="781">
        <v>0</v>
      </c>
      <c r="K204" s="782">
        <v>0</v>
      </c>
      <c r="L204" s="783">
        <v>0</v>
      </c>
      <c r="M204" s="784">
        <v>0</v>
      </c>
      <c r="N204" s="785">
        <v>0</v>
      </c>
      <c r="O204" s="786">
        <v>0</v>
      </c>
      <c r="P204" s="787">
        <v>0</v>
      </c>
      <c r="Q204" s="861">
        <v>0</v>
      </c>
      <c r="R204" s="778">
        <v>0</v>
      </c>
      <c r="S204" s="780">
        <f t="shared" ref="S204:S267" si="34">((F204+R204)+((G204+H204+I204+J204+K204+L204+M204+N204+O204+P204+Q204)*2))/24</f>
        <v>1062.0662500000001</v>
      </c>
      <c r="T204" s="754"/>
      <c r="U204" s="789"/>
      <c r="V204" s="757"/>
      <c r="W204" s="757"/>
      <c r="X204" s="757"/>
      <c r="Y204" s="767"/>
      <c r="Z204" s="767"/>
    </row>
    <row r="205" spans="1:26">
      <c r="A205" s="774" t="s">
        <v>679</v>
      </c>
      <c r="B205" s="774" t="s">
        <v>683</v>
      </c>
      <c r="C205" s="775">
        <v>196</v>
      </c>
      <c r="D205" s="776" t="str">
        <f>A205&amp;"."&amp;B205</f>
        <v>2160.3</v>
      </c>
      <c r="E205" s="832" t="s">
        <v>684</v>
      </c>
      <c r="F205" s="778">
        <v>7513</v>
      </c>
      <c r="G205" s="860">
        <v>2245</v>
      </c>
      <c r="H205" s="780">
        <v>4490</v>
      </c>
      <c r="I205" s="780">
        <v>6170</v>
      </c>
      <c r="J205" s="781">
        <v>7850</v>
      </c>
      <c r="K205" s="782">
        <v>9530</v>
      </c>
      <c r="L205" s="783">
        <v>11210</v>
      </c>
      <c r="M205" s="784">
        <v>12828</v>
      </c>
      <c r="N205" s="785">
        <v>14446</v>
      </c>
      <c r="O205" s="786">
        <v>16064</v>
      </c>
      <c r="P205" s="787">
        <v>17682</v>
      </c>
      <c r="Q205" s="861">
        <v>19300</v>
      </c>
      <c r="R205" s="778">
        <v>15598</v>
      </c>
      <c r="S205" s="780">
        <f t="shared" si="34"/>
        <v>11114.208333333334</v>
      </c>
      <c r="T205" s="754"/>
      <c r="U205" s="789"/>
      <c r="V205" s="757"/>
      <c r="W205" s="757"/>
      <c r="X205" s="757"/>
      <c r="Y205" s="767"/>
      <c r="Z205" s="767"/>
    </row>
    <row r="206" spans="1:26">
      <c r="A206" s="774" t="s">
        <v>685</v>
      </c>
      <c r="B206" s="774" t="s">
        <v>627</v>
      </c>
      <c r="C206" s="775">
        <v>197</v>
      </c>
      <c r="D206" s="776" t="str">
        <f>A206&amp;"."&amp;B206</f>
        <v>2161.1</v>
      </c>
      <c r="E206" s="832" t="s">
        <v>686</v>
      </c>
      <c r="F206" s="778">
        <v>2000629.64</v>
      </c>
      <c r="G206" s="860">
        <v>2000629.64</v>
      </c>
      <c r="H206" s="780">
        <v>2000629.64</v>
      </c>
      <c r="I206" s="780">
        <v>2000629.64</v>
      </c>
      <c r="J206" s="781">
        <v>2000629.64</v>
      </c>
      <c r="K206" s="782">
        <v>2000629.64</v>
      </c>
      <c r="L206" s="783">
        <v>2000629.64</v>
      </c>
      <c r="M206" s="784">
        <v>2000629.64</v>
      </c>
      <c r="N206" s="785">
        <v>2000629.64</v>
      </c>
      <c r="O206" s="786">
        <v>2000629.64</v>
      </c>
      <c r="P206" s="787">
        <v>2000629.64</v>
      </c>
      <c r="Q206" s="861">
        <v>2000629.64</v>
      </c>
      <c r="R206" s="778">
        <v>2000629.64</v>
      </c>
      <c r="S206" s="780">
        <f t="shared" si="34"/>
        <v>2000629.6400000004</v>
      </c>
      <c r="T206" s="754"/>
      <c r="U206" s="789"/>
      <c r="V206" s="757"/>
      <c r="W206" s="757"/>
      <c r="X206" s="757"/>
      <c r="Y206" s="767"/>
      <c r="Z206" s="767"/>
    </row>
    <row r="207" spans="1:26">
      <c r="A207" s="774" t="s">
        <v>687</v>
      </c>
      <c r="B207" s="774" t="s">
        <v>410</v>
      </c>
      <c r="C207" s="775">
        <v>198</v>
      </c>
      <c r="D207" s="776" t="str">
        <f>+A207</f>
        <v>2071</v>
      </c>
      <c r="E207" s="832" t="s">
        <v>688</v>
      </c>
      <c r="F207" s="778">
        <v>-152703952.19</v>
      </c>
      <c r="G207" s="860">
        <v>-152703952.19</v>
      </c>
      <c r="H207" s="780">
        <v>-152703952.19</v>
      </c>
      <c r="I207" s="780">
        <v>-152698667.75</v>
      </c>
      <c r="J207" s="781">
        <v>-152698667.75</v>
      </c>
      <c r="K207" s="782">
        <v>-152698667.75</v>
      </c>
      <c r="L207" s="783">
        <v>-152698667.75</v>
      </c>
      <c r="M207" s="784">
        <v>-152698667.75</v>
      </c>
      <c r="N207" s="785">
        <v>-152698667.75</v>
      </c>
      <c r="O207" s="786">
        <v>-152698667.75</v>
      </c>
      <c r="P207" s="787">
        <v>-160698667.75</v>
      </c>
      <c r="Q207" s="861">
        <v>-160698667.75</v>
      </c>
      <c r="R207" s="778">
        <v>-160698667.75</v>
      </c>
      <c r="S207" s="780">
        <f t="shared" si="34"/>
        <v>-154366435.34166667</v>
      </c>
      <c r="T207" s="754"/>
      <c r="U207" s="789"/>
      <c r="V207" s="757"/>
      <c r="W207" s="757"/>
      <c r="X207" s="757"/>
      <c r="Y207" s="767"/>
      <c r="Z207" s="767"/>
    </row>
    <row r="208" spans="1:26">
      <c r="A208" s="774" t="s">
        <v>689</v>
      </c>
      <c r="B208" s="774" t="s">
        <v>410</v>
      </c>
      <c r="C208" s="775">
        <v>199</v>
      </c>
      <c r="D208" s="774" t="str">
        <f>+A208</f>
        <v>2100</v>
      </c>
      <c r="E208" s="832" t="s">
        <v>690</v>
      </c>
      <c r="F208" s="778">
        <v>0</v>
      </c>
      <c r="G208" s="860">
        <v>0</v>
      </c>
      <c r="H208" s="780">
        <v>0</v>
      </c>
      <c r="I208" s="780">
        <v>0</v>
      </c>
      <c r="J208" s="781">
        <v>0</v>
      </c>
      <c r="K208" s="782">
        <v>0</v>
      </c>
      <c r="L208" s="783">
        <v>0</v>
      </c>
      <c r="M208" s="784">
        <v>0</v>
      </c>
      <c r="N208" s="785">
        <v>0</v>
      </c>
      <c r="O208" s="786">
        <v>0</v>
      </c>
      <c r="P208" s="787">
        <v>0</v>
      </c>
      <c r="Q208" s="861">
        <v>0</v>
      </c>
      <c r="R208" s="778">
        <v>0</v>
      </c>
      <c r="S208" s="780">
        <f t="shared" si="34"/>
        <v>0</v>
      </c>
      <c r="T208" s="754"/>
      <c r="U208" s="789"/>
      <c r="V208" s="757"/>
      <c r="W208" s="757"/>
      <c r="X208" s="757"/>
      <c r="Y208" s="767"/>
      <c r="Z208" s="767"/>
    </row>
    <row r="209" spans="1:26">
      <c r="A209" s="774" t="s">
        <v>691</v>
      </c>
      <c r="B209" s="774" t="s">
        <v>410</v>
      </c>
      <c r="C209" s="775">
        <v>200</v>
      </c>
      <c r="D209" s="774" t="str">
        <f>+A209</f>
        <v>2110</v>
      </c>
      <c r="E209" s="832" t="s">
        <v>692</v>
      </c>
      <c r="F209" s="778">
        <v>0</v>
      </c>
      <c r="G209" s="860">
        <v>0</v>
      </c>
      <c r="H209" s="780">
        <v>0</v>
      </c>
      <c r="I209" s="780">
        <v>0</v>
      </c>
      <c r="J209" s="781">
        <v>0</v>
      </c>
      <c r="K209" s="782">
        <v>0</v>
      </c>
      <c r="L209" s="783">
        <v>0</v>
      </c>
      <c r="M209" s="784">
        <v>0</v>
      </c>
      <c r="N209" s="785">
        <v>0</v>
      </c>
      <c r="O209" s="786">
        <v>0</v>
      </c>
      <c r="P209" s="787">
        <v>0</v>
      </c>
      <c r="Q209" s="861">
        <v>0</v>
      </c>
      <c r="R209" s="778">
        <v>0</v>
      </c>
      <c r="S209" s="780">
        <f t="shared" si="34"/>
        <v>0</v>
      </c>
      <c r="T209" s="754"/>
      <c r="U209" s="789"/>
      <c r="V209" s="757"/>
      <c r="W209" s="757"/>
      <c r="X209" s="757"/>
      <c r="Y209" s="767"/>
      <c r="Z209" s="767"/>
    </row>
    <row r="210" spans="1:26">
      <c r="A210" s="774" t="s">
        <v>693</v>
      </c>
      <c r="B210" s="774" t="s">
        <v>410</v>
      </c>
      <c r="C210" s="775">
        <v>201</v>
      </c>
      <c r="D210" s="776" t="str">
        <f>+A210</f>
        <v>2190</v>
      </c>
      <c r="E210" s="832" t="s">
        <v>694</v>
      </c>
      <c r="F210" s="778">
        <v>0</v>
      </c>
      <c r="G210" s="860">
        <v>0</v>
      </c>
      <c r="H210" s="780">
        <v>0</v>
      </c>
      <c r="I210" s="780">
        <v>0</v>
      </c>
      <c r="J210" s="781">
        <v>0</v>
      </c>
      <c r="K210" s="782">
        <v>0</v>
      </c>
      <c r="L210" s="783">
        <v>0</v>
      </c>
      <c r="M210" s="784">
        <v>0</v>
      </c>
      <c r="N210" s="785">
        <v>0</v>
      </c>
      <c r="O210" s="786">
        <v>0</v>
      </c>
      <c r="P210" s="787">
        <v>0</v>
      </c>
      <c r="Q210" s="861">
        <v>0</v>
      </c>
      <c r="R210" s="778">
        <v>0</v>
      </c>
      <c r="S210" s="780">
        <f t="shared" si="34"/>
        <v>0</v>
      </c>
      <c r="T210" s="754"/>
      <c r="U210" s="789"/>
      <c r="V210" s="757"/>
      <c r="W210" s="757"/>
      <c r="X210" s="757"/>
      <c r="Y210" s="767"/>
      <c r="Z210" s="767"/>
    </row>
    <row r="211" spans="1:26">
      <c r="A211" s="774" t="s">
        <v>695</v>
      </c>
      <c r="B211" s="774" t="s">
        <v>410</v>
      </c>
      <c r="C211" s="775">
        <v>202</v>
      </c>
      <c r="D211" s="776" t="str">
        <f>+A211</f>
        <v>2141</v>
      </c>
      <c r="E211" s="832" t="s">
        <v>696</v>
      </c>
      <c r="F211" s="778">
        <v>0</v>
      </c>
      <c r="G211" s="860">
        <v>0</v>
      </c>
      <c r="H211" s="780">
        <v>0</v>
      </c>
      <c r="I211" s="780">
        <v>0</v>
      </c>
      <c r="J211" s="781">
        <v>0</v>
      </c>
      <c r="K211" s="782">
        <v>0</v>
      </c>
      <c r="L211" s="783">
        <v>0</v>
      </c>
      <c r="M211" s="784">
        <v>0</v>
      </c>
      <c r="N211" s="785">
        <v>0</v>
      </c>
      <c r="O211" s="786">
        <v>0</v>
      </c>
      <c r="P211" s="787">
        <v>0</v>
      </c>
      <c r="Q211" s="861">
        <v>0</v>
      </c>
      <c r="R211" s="778">
        <v>0</v>
      </c>
      <c r="S211" s="780">
        <f t="shared" si="34"/>
        <v>0</v>
      </c>
      <c r="T211" s="754"/>
      <c r="U211" s="789"/>
      <c r="V211" s="757"/>
      <c r="W211" s="757"/>
      <c r="X211" s="757"/>
      <c r="Y211" s="767"/>
      <c r="Z211" s="767"/>
    </row>
    <row r="212" spans="1:26">
      <c r="A212" s="774"/>
      <c r="B212" s="774"/>
      <c r="C212" s="775">
        <v>203</v>
      </c>
      <c r="D212" s="776"/>
      <c r="E212" s="832"/>
      <c r="F212" s="778"/>
      <c r="G212" s="860"/>
      <c r="H212" s="780"/>
      <c r="I212" s="780"/>
      <c r="J212" s="781"/>
      <c r="K212" s="782"/>
      <c r="L212" s="783"/>
      <c r="M212" s="784"/>
      <c r="N212" s="785"/>
      <c r="O212" s="786"/>
      <c r="P212" s="787"/>
      <c r="Q212" s="861"/>
      <c r="R212" s="778"/>
      <c r="S212" s="780">
        <f t="shared" si="34"/>
        <v>0</v>
      </c>
      <c r="T212" s="754"/>
      <c r="U212" s="789"/>
      <c r="V212" s="757"/>
      <c r="W212" s="757"/>
      <c r="X212" s="757"/>
      <c r="Y212" s="767"/>
      <c r="Z212" s="767"/>
    </row>
    <row r="213" spans="1:26">
      <c r="A213" s="774"/>
      <c r="B213" s="774"/>
      <c r="C213" s="775">
        <v>204</v>
      </c>
      <c r="D213" s="776"/>
      <c r="E213" s="832" t="s">
        <v>697</v>
      </c>
      <c r="F213" s="802">
        <f>SUM(F202:F211)</f>
        <v>-195369558.03999999</v>
      </c>
      <c r="G213" s="802">
        <f t="shared" ref="G213:S213" si="35">SUM(G202:G211)</f>
        <v>-190907619.78999999</v>
      </c>
      <c r="H213" s="802">
        <f t="shared" si="35"/>
        <v>-190905374.78999999</v>
      </c>
      <c r="I213" s="802">
        <f t="shared" si="35"/>
        <v>-190898410.34999999</v>
      </c>
      <c r="J213" s="802">
        <f t="shared" si="35"/>
        <v>-190896730.34999999</v>
      </c>
      <c r="K213" s="802">
        <f t="shared" si="35"/>
        <v>-190895050.34999999</v>
      </c>
      <c r="L213" s="802">
        <f t="shared" si="35"/>
        <v>-190893370.34999999</v>
      </c>
      <c r="M213" s="802">
        <f t="shared" si="35"/>
        <v>-190891752.34999999</v>
      </c>
      <c r="N213" s="802">
        <f t="shared" si="35"/>
        <v>-190890134.34999999</v>
      </c>
      <c r="O213" s="802">
        <f t="shared" si="35"/>
        <v>-190888516.34999999</v>
      </c>
      <c r="P213" s="802">
        <f t="shared" si="35"/>
        <v>-198886898.34999999</v>
      </c>
      <c r="Q213" s="802">
        <f t="shared" si="35"/>
        <v>-198885280.34999999</v>
      </c>
      <c r="R213" s="802">
        <f t="shared" si="35"/>
        <v>-198888982.34999999</v>
      </c>
      <c r="S213" s="802">
        <f t="shared" si="35"/>
        <v>-192747367.32708335</v>
      </c>
      <c r="T213" s="754"/>
      <c r="U213" s="790">
        <f>S213</f>
        <v>-192747367.32708335</v>
      </c>
      <c r="V213" s="757"/>
      <c r="W213" s="757"/>
      <c r="X213" s="757"/>
      <c r="Y213" s="767"/>
      <c r="Z213" s="767"/>
    </row>
    <row r="214" spans="1:26">
      <c r="A214" s="774"/>
      <c r="B214" s="774"/>
      <c r="C214" s="775">
        <v>205</v>
      </c>
      <c r="D214" s="776"/>
      <c r="E214" s="832"/>
      <c r="F214" s="807"/>
      <c r="G214" s="871"/>
      <c r="H214" s="809"/>
      <c r="I214" s="809"/>
      <c r="J214" s="810"/>
      <c r="K214" s="811"/>
      <c r="L214" s="812"/>
      <c r="M214" s="813"/>
      <c r="N214" s="814"/>
      <c r="O214" s="815"/>
      <c r="P214" s="816"/>
      <c r="Q214" s="866"/>
      <c r="R214" s="807"/>
      <c r="S214" s="780">
        <f t="shared" si="34"/>
        <v>0</v>
      </c>
      <c r="T214" s="754"/>
      <c r="U214" s="789"/>
      <c r="V214" s="757"/>
      <c r="W214" s="757"/>
      <c r="X214" s="757"/>
      <c r="Y214" s="767"/>
      <c r="Z214" s="767"/>
    </row>
    <row r="215" spans="1:26">
      <c r="A215" s="774" t="s">
        <v>698</v>
      </c>
      <c r="B215" s="774" t="s">
        <v>541</v>
      </c>
      <c r="C215" s="775">
        <v>206</v>
      </c>
      <c r="D215" s="776" t="str">
        <f t="shared" ref="D215:D233" si="36">A215&amp;"."&amp;B215</f>
        <v>2240.12</v>
      </c>
      <c r="E215" s="881" t="s">
        <v>699</v>
      </c>
      <c r="F215" s="778">
        <v>-20000000</v>
      </c>
      <c r="G215" s="860">
        <v>-20000000</v>
      </c>
      <c r="H215" s="780">
        <v>-20000000</v>
      </c>
      <c r="I215" s="780">
        <v>-20000000</v>
      </c>
      <c r="J215" s="781">
        <v>-20000000</v>
      </c>
      <c r="K215" s="782">
        <v>-20000000</v>
      </c>
      <c r="L215" s="783">
        <v>-20000000</v>
      </c>
      <c r="M215" s="784">
        <v>-20000000</v>
      </c>
      <c r="N215" s="785">
        <v>-20000000</v>
      </c>
      <c r="O215" s="786">
        <v>-20000000</v>
      </c>
      <c r="P215" s="787">
        <v>-20000000</v>
      </c>
      <c r="Q215" s="861">
        <v>-20000000</v>
      </c>
      <c r="R215" s="778">
        <v>-20000000</v>
      </c>
      <c r="S215" s="780">
        <f t="shared" si="34"/>
        <v>-20000000</v>
      </c>
      <c r="T215" s="754"/>
      <c r="U215" s="789"/>
      <c r="V215" s="757"/>
      <c r="W215" s="757"/>
      <c r="X215" s="757"/>
      <c r="Y215" s="767"/>
      <c r="Z215" s="767"/>
    </row>
    <row r="216" spans="1:26">
      <c r="A216" s="774" t="s">
        <v>698</v>
      </c>
      <c r="B216" s="774" t="s">
        <v>543</v>
      </c>
      <c r="C216" s="775">
        <v>207</v>
      </c>
      <c r="D216" s="776" t="str">
        <f t="shared" si="36"/>
        <v>2240.13</v>
      </c>
      <c r="E216" s="881" t="s">
        <v>700</v>
      </c>
      <c r="F216" s="778">
        <v>-15000000</v>
      </c>
      <c r="G216" s="860">
        <v>-15000000</v>
      </c>
      <c r="H216" s="780">
        <v>-15000000</v>
      </c>
      <c r="I216" s="780">
        <v>-15000000</v>
      </c>
      <c r="J216" s="781">
        <v>-15000000</v>
      </c>
      <c r="K216" s="782">
        <v>-15000000</v>
      </c>
      <c r="L216" s="783">
        <v>-15000000</v>
      </c>
      <c r="M216" s="784">
        <v>-15000000</v>
      </c>
      <c r="N216" s="785">
        <v>-15000000</v>
      </c>
      <c r="O216" s="786">
        <v>-15000000</v>
      </c>
      <c r="P216" s="787">
        <v>-15000000</v>
      </c>
      <c r="Q216" s="861">
        <v>-15000000</v>
      </c>
      <c r="R216" s="778">
        <v>-15000000</v>
      </c>
      <c r="S216" s="780">
        <f t="shared" si="34"/>
        <v>-15000000</v>
      </c>
      <c r="T216" s="754"/>
      <c r="U216" s="789"/>
      <c r="V216" s="757"/>
      <c r="W216" s="757"/>
      <c r="X216" s="757"/>
      <c r="Y216" s="767"/>
      <c r="Z216" s="767"/>
    </row>
    <row r="217" spans="1:26" ht="31.5">
      <c r="A217" s="774" t="s">
        <v>698</v>
      </c>
      <c r="B217" s="774" t="s">
        <v>545</v>
      </c>
      <c r="C217" s="775">
        <v>208</v>
      </c>
      <c r="D217" s="776" t="str">
        <f t="shared" si="36"/>
        <v>2240.17</v>
      </c>
      <c r="E217" s="881" t="s">
        <v>701</v>
      </c>
      <c r="F217" s="778">
        <v>-24589000</v>
      </c>
      <c r="G217" s="860">
        <v>-24589000</v>
      </c>
      <c r="H217" s="780">
        <v>-24539000</v>
      </c>
      <c r="I217" s="780">
        <v>-24539000</v>
      </c>
      <c r="J217" s="781">
        <v>-24539000</v>
      </c>
      <c r="K217" s="782">
        <v>-24489000</v>
      </c>
      <c r="L217" s="783">
        <v>-24489000</v>
      </c>
      <c r="M217" s="784">
        <v>-24489000</v>
      </c>
      <c r="N217" s="785">
        <v>-24471000</v>
      </c>
      <c r="O217" s="786">
        <v>-24471000</v>
      </c>
      <c r="P217" s="787">
        <v>-24471000</v>
      </c>
      <c r="Q217" s="861">
        <v>-24471000</v>
      </c>
      <c r="R217" s="778">
        <v>-24471000</v>
      </c>
      <c r="S217" s="780">
        <f t="shared" si="34"/>
        <v>-24507250</v>
      </c>
      <c r="T217" s="754"/>
      <c r="U217" s="789"/>
      <c r="V217" s="757"/>
      <c r="W217" s="757"/>
      <c r="X217" s="757"/>
      <c r="Y217" s="767"/>
      <c r="Z217" s="767"/>
    </row>
    <row r="218" spans="1:26">
      <c r="A218" s="774" t="s">
        <v>698</v>
      </c>
      <c r="B218" s="774" t="s">
        <v>547</v>
      </c>
      <c r="C218" s="775">
        <v>209</v>
      </c>
      <c r="D218" s="776" t="str">
        <f t="shared" si="36"/>
        <v>2240.18</v>
      </c>
      <c r="E218" s="881" t="s">
        <v>702</v>
      </c>
      <c r="F218" s="778">
        <v>-15000000</v>
      </c>
      <c r="G218" s="860">
        <v>-15000000</v>
      </c>
      <c r="H218" s="780">
        <v>-15000000</v>
      </c>
      <c r="I218" s="780">
        <v>-15000000</v>
      </c>
      <c r="J218" s="781">
        <v>-15000000</v>
      </c>
      <c r="K218" s="782">
        <v>-15000000</v>
      </c>
      <c r="L218" s="783">
        <v>-15000000</v>
      </c>
      <c r="M218" s="784">
        <v>-15000000</v>
      </c>
      <c r="N218" s="785">
        <v>-15000000</v>
      </c>
      <c r="O218" s="786">
        <v>-15000000</v>
      </c>
      <c r="P218" s="787">
        <v>-15000000</v>
      </c>
      <c r="Q218" s="861">
        <v>-15000000</v>
      </c>
      <c r="R218" s="778">
        <v>-15000000</v>
      </c>
      <c r="S218" s="780">
        <f t="shared" si="34"/>
        <v>-15000000</v>
      </c>
      <c r="T218" s="754"/>
      <c r="U218" s="789"/>
      <c r="V218" s="757"/>
      <c r="W218" s="757"/>
      <c r="X218" s="757"/>
      <c r="Y218" s="767"/>
      <c r="Z218" s="767"/>
    </row>
    <row r="219" spans="1:26">
      <c r="A219" s="774" t="s">
        <v>698</v>
      </c>
      <c r="B219" s="774" t="s">
        <v>549</v>
      </c>
      <c r="C219" s="775">
        <v>210</v>
      </c>
      <c r="D219" s="776" t="str">
        <f t="shared" si="36"/>
        <v>2240.19</v>
      </c>
      <c r="E219" s="881" t="s">
        <v>703</v>
      </c>
      <c r="F219" s="778">
        <v>-40000000</v>
      </c>
      <c r="G219" s="860">
        <v>-40000000</v>
      </c>
      <c r="H219" s="780">
        <v>-40000000</v>
      </c>
      <c r="I219" s="780">
        <v>-40000000</v>
      </c>
      <c r="J219" s="781">
        <v>-40000000</v>
      </c>
      <c r="K219" s="782">
        <v>-40000000</v>
      </c>
      <c r="L219" s="783">
        <v>-40000000</v>
      </c>
      <c r="M219" s="784">
        <v>-40000000</v>
      </c>
      <c r="N219" s="785">
        <v>-40000000</v>
      </c>
      <c r="O219" s="786">
        <v>-40000000</v>
      </c>
      <c r="P219" s="787">
        <v>-40000000</v>
      </c>
      <c r="Q219" s="861">
        <v>-40000000</v>
      </c>
      <c r="R219" s="778">
        <v>-40000000</v>
      </c>
      <c r="S219" s="780">
        <f t="shared" si="34"/>
        <v>-40000000</v>
      </c>
      <c r="T219" s="754"/>
      <c r="U219" s="789"/>
      <c r="V219" s="757"/>
      <c r="W219" s="757"/>
      <c r="X219" s="757"/>
      <c r="Y219" s="767"/>
      <c r="Z219" s="767"/>
    </row>
    <row r="220" spans="1:26">
      <c r="A220" s="774" t="s">
        <v>698</v>
      </c>
      <c r="B220" s="774" t="s">
        <v>551</v>
      </c>
      <c r="C220" s="775">
        <v>211</v>
      </c>
      <c r="D220" s="776" t="str">
        <f t="shared" si="36"/>
        <v>2240.20</v>
      </c>
      <c r="E220" s="882" t="s">
        <v>704</v>
      </c>
      <c r="F220" s="778">
        <v>-25000000</v>
      </c>
      <c r="G220" s="860">
        <v>-25000000</v>
      </c>
      <c r="H220" s="780">
        <v>-25000000</v>
      </c>
      <c r="I220" s="780">
        <v>-25000000</v>
      </c>
      <c r="J220" s="781">
        <v>-25000000</v>
      </c>
      <c r="K220" s="782">
        <v>-25000000</v>
      </c>
      <c r="L220" s="783">
        <v>-25000000</v>
      </c>
      <c r="M220" s="784">
        <v>-25000000</v>
      </c>
      <c r="N220" s="785">
        <v>-25000000</v>
      </c>
      <c r="O220" s="786">
        <v>-25000000</v>
      </c>
      <c r="P220" s="787">
        <v>-25000000</v>
      </c>
      <c r="Q220" s="861">
        <v>-25000000</v>
      </c>
      <c r="R220" s="778">
        <v>-25000000</v>
      </c>
      <c r="S220" s="780">
        <f t="shared" si="34"/>
        <v>-25000000</v>
      </c>
      <c r="T220" s="754"/>
      <c r="U220" s="789"/>
      <c r="V220" s="757"/>
      <c r="W220" s="757"/>
      <c r="X220" s="757"/>
      <c r="Y220" s="767"/>
      <c r="Z220" s="767"/>
    </row>
    <row r="221" spans="1:26">
      <c r="A221" s="774" t="s">
        <v>698</v>
      </c>
      <c r="B221" s="774" t="s">
        <v>553</v>
      </c>
      <c r="C221" s="775">
        <v>212</v>
      </c>
      <c r="D221" s="776" t="str">
        <f t="shared" si="36"/>
        <v>2240.21</v>
      </c>
      <c r="E221" s="882" t="s">
        <v>705</v>
      </c>
      <c r="F221" s="778">
        <v>-25000000</v>
      </c>
      <c r="G221" s="860">
        <v>-25000000</v>
      </c>
      <c r="H221" s="780">
        <v>-25000000</v>
      </c>
      <c r="I221" s="780">
        <v>-25000000</v>
      </c>
      <c r="J221" s="781">
        <v>-25000000</v>
      </c>
      <c r="K221" s="782">
        <v>-25000000</v>
      </c>
      <c r="L221" s="783">
        <v>-25000000</v>
      </c>
      <c r="M221" s="784">
        <v>-25000000</v>
      </c>
      <c r="N221" s="785">
        <v>-25000000</v>
      </c>
      <c r="O221" s="786">
        <v>-25000000</v>
      </c>
      <c r="P221" s="787">
        <v>-25000000</v>
      </c>
      <c r="Q221" s="861">
        <v>-25000000</v>
      </c>
      <c r="R221" s="778">
        <v>-25000000</v>
      </c>
      <c r="S221" s="780">
        <f t="shared" si="34"/>
        <v>-25000000</v>
      </c>
      <c r="T221" s="754"/>
      <c r="U221" s="789"/>
      <c r="V221" s="757"/>
      <c r="W221" s="757"/>
      <c r="X221" s="757"/>
      <c r="Y221" s="767"/>
      <c r="Z221" s="767"/>
    </row>
    <row r="222" spans="1:26">
      <c r="A222" s="774" t="s">
        <v>698</v>
      </c>
      <c r="B222" s="774" t="s">
        <v>556</v>
      </c>
      <c r="C222" s="775">
        <v>213</v>
      </c>
      <c r="D222" s="776" t="str">
        <f t="shared" si="36"/>
        <v>2240.23</v>
      </c>
      <c r="E222" s="882" t="s">
        <v>706</v>
      </c>
      <c r="F222" s="786">
        <v>-12500000</v>
      </c>
      <c r="G222" s="786">
        <v>-12500000</v>
      </c>
      <c r="H222" s="786">
        <v>-12500000</v>
      </c>
      <c r="I222" s="786">
        <v>-12500000</v>
      </c>
      <c r="J222" s="855">
        <v>-12500000</v>
      </c>
      <c r="K222" s="855">
        <v>-12500000</v>
      </c>
      <c r="L222" s="786">
        <v>-12500000</v>
      </c>
      <c r="M222" s="786">
        <v>-12500000</v>
      </c>
      <c r="N222" s="786">
        <v>-12500000</v>
      </c>
      <c r="O222" s="786">
        <v>-12500000</v>
      </c>
      <c r="P222" s="786">
        <v>-12500000</v>
      </c>
      <c r="Q222" s="786">
        <v>-12500000</v>
      </c>
      <c r="R222" s="786">
        <v>-12500000</v>
      </c>
      <c r="S222" s="780">
        <f t="shared" si="34"/>
        <v>-12500000</v>
      </c>
      <c r="T222" s="754"/>
      <c r="U222" s="789"/>
      <c r="V222" s="757"/>
      <c r="W222" s="757"/>
      <c r="X222" s="757"/>
      <c r="Y222" s="767"/>
      <c r="Z222" s="767"/>
    </row>
    <row r="223" spans="1:26">
      <c r="A223" s="774" t="s">
        <v>698</v>
      </c>
      <c r="B223" s="774" t="s">
        <v>558</v>
      </c>
      <c r="C223" s="775">
        <v>214</v>
      </c>
      <c r="D223" s="776" t="str">
        <f t="shared" si="36"/>
        <v>2240.24</v>
      </c>
      <c r="E223" s="882" t="s">
        <v>707</v>
      </c>
      <c r="F223" s="786">
        <v>-12500000</v>
      </c>
      <c r="G223" s="786">
        <v>-12500000</v>
      </c>
      <c r="H223" s="786">
        <v>-12500000</v>
      </c>
      <c r="I223" s="786">
        <v>-12500000</v>
      </c>
      <c r="J223" s="855">
        <v>-12500000</v>
      </c>
      <c r="K223" s="855">
        <v>-12500000</v>
      </c>
      <c r="L223" s="786">
        <v>-12500000</v>
      </c>
      <c r="M223" s="786">
        <v>-12500000</v>
      </c>
      <c r="N223" s="786">
        <v>-12500000</v>
      </c>
      <c r="O223" s="786">
        <v>-12500000</v>
      </c>
      <c r="P223" s="786">
        <v>-12500000</v>
      </c>
      <c r="Q223" s="786">
        <v>-12500000</v>
      </c>
      <c r="R223" s="786">
        <v>-12500000</v>
      </c>
      <c r="S223" s="780">
        <f t="shared" si="34"/>
        <v>-12500000</v>
      </c>
      <c r="T223" s="754"/>
      <c r="U223" s="789"/>
      <c r="V223" s="757"/>
      <c r="W223" s="757"/>
      <c r="X223" s="757"/>
      <c r="Y223" s="767"/>
      <c r="Z223" s="767"/>
    </row>
    <row r="224" spans="1:26">
      <c r="A224" s="774" t="s">
        <v>698</v>
      </c>
      <c r="B224" s="774" t="s">
        <v>560</v>
      </c>
      <c r="C224" s="775">
        <v>215</v>
      </c>
      <c r="D224" s="776" t="str">
        <f t="shared" si="36"/>
        <v>2240.25</v>
      </c>
      <c r="E224" s="882" t="s">
        <v>707</v>
      </c>
      <c r="F224" s="786">
        <v>-12500000</v>
      </c>
      <c r="G224" s="786">
        <v>-12500000</v>
      </c>
      <c r="H224" s="786">
        <v>-12500000</v>
      </c>
      <c r="I224" s="786">
        <v>-12500000</v>
      </c>
      <c r="J224" s="855">
        <v>-12500000</v>
      </c>
      <c r="K224" s="855">
        <v>-12500000</v>
      </c>
      <c r="L224" s="786">
        <v>-12500000</v>
      </c>
      <c r="M224" s="786">
        <v>-12500000</v>
      </c>
      <c r="N224" s="786">
        <v>-12500000</v>
      </c>
      <c r="O224" s="786">
        <v>-12500000</v>
      </c>
      <c r="P224" s="786">
        <v>-12500000</v>
      </c>
      <c r="Q224" s="786">
        <v>-12500000</v>
      </c>
      <c r="R224" s="786">
        <v>-12500000</v>
      </c>
      <c r="S224" s="780">
        <f t="shared" si="34"/>
        <v>-12500000</v>
      </c>
      <c r="T224" s="754"/>
      <c r="U224" s="789"/>
      <c r="V224" s="757"/>
      <c r="W224" s="757"/>
      <c r="X224" s="757"/>
      <c r="Y224" s="767"/>
      <c r="Z224" s="767"/>
    </row>
    <row r="225" spans="1:26">
      <c r="A225" s="774" t="s">
        <v>698</v>
      </c>
      <c r="B225" s="774" t="s">
        <v>561</v>
      </c>
      <c r="C225" s="775">
        <v>216</v>
      </c>
      <c r="D225" s="776" t="str">
        <f t="shared" si="36"/>
        <v>2240.26</v>
      </c>
      <c r="E225" s="882" t="s">
        <v>707</v>
      </c>
      <c r="F225" s="786">
        <v>-12500000</v>
      </c>
      <c r="G225" s="786">
        <v>-12500000</v>
      </c>
      <c r="H225" s="786">
        <v>-12500000</v>
      </c>
      <c r="I225" s="786">
        <v>-12500000</v>
      </c>
      <c r="J225" s="855">
        <v>-12500000</v>
      </c>
      <c r="K225" s="855">
        <v>-12500000</v>
      </c>
      <c r="L225" s="786">
        <v>-12500000</v>
      </c>
      <c r="M225" s="786">
        <v>-12500000</v>
      </c>
      <c r="N225" s="786">
        <v>-12500000</v>
      </c>
      <c r="O225" s="786">
        <v>-12500000</v>
      </c>
      <c r="P225" s="786">
        <v>-12500000</v>
      </c>
      <c r="Q225" s="786">
        <v>-12500000</v>
      </c>
      <c r="R225" s="786">
        <v>-12500000</v>
      </c>
      <c r="S225" s="780">
        <f t="shared" si="34"/>
        <v>-12500000</v>
      </c>
      <c r="T225" s="754"/>
      <c r="U225" s="789"/>
      <c r="V225" s="757"/>
      <c r="W225" s="757"/>
      <c r="X225" s="757"/>
      <c r="Y225" s="767"/>
      <c r="Z225" s="767"/>
    </row>
    <row r="226" spans="1:26">
      <c r="A226" s="774" t="s">
        <v>698</v>
      </c>
      <c r="B226" s="774" t="s">
        <v>1009</v>
      </c>
      <c r="C226" s="775">
        <v>217</v>
      </c>
      <c r="D226" s="776" t="str">
        <f t="shared" si="36"/>
        <v>2240.99</v>
      </c>
      <c r="E226" s="882" t="s">
        <v>1011</v>
      </c>
      <c r="F226" s="786"/>
      <c r="G226" s="786">
        <v>2104120.19</v>
      </c>
      <c r="H226" s="786">
        <v>2093227.2</v>
      </c>
      <c r="I226" s="786">
        <v>2077862.81</v>
      </c>
      <c r="J226" s="855">
        <v>2066981.14</v>
      </c>
      <c r="K226" s="855">
        <v>2056099.47</v>
      </c>
      <c r="L226" s="786">
        <v>2045217.8</v>
      </c>
      <c r="M226" s="786">
        <v>2034336.13</v>
      </c>
      <c r="N226" s="786">
        <v>2023454.46</v>
      </c>
      <c r="O226" s="786">
        <v>2012572.79</v>
      </c>
      <c r="P226" s="786">
        <v>2001691.12</v>
      </c>
      <c r="Q226" s="786">
        <v>1990809.45</v>
      </c>
      <c r="R226" s="786">
        <v>1979927.78</v>
      </c>
      <c r="S226" s="780">
        <f t="shared" si="34"/>
        <v>1958028.0374999999</v>
      </c>
      <c r="T226" s="754"/>
      <c r="U226" s="789"/>
      <c r="V226" s="757"/>
      <c r="W226" s="757"/>
      <c r="X226" s="757"/>
      <c r="Y226" s="767"/>
      <c r="Z226" s="767"/>
    </row>
    <row r="227" spans="1:26" ht="31.5">
      <c r="A227" s="774" t="s">
        <v>708</v>
      </c>
      <c r="B227" s="774" t="s">
        <v>504</v>
      </c>
      <c r="C227" s="775">
        <v>218</v>
      </c>
      <c r="D227" s="776" t="str">
        <f t="shared" si="36"/>
        <v>2241.02</v>
      </c>
      <c r="E227" s="883" t="s">
        <v>709</v>
      </c>
      <c r="F227" s="778">
        <v>0</v>
      </c>
      <c r="G227" s="860">
        <v>0</v>
      </c>
      <c r="H227" s="780">
        <v>0</v>
      </c>
      <c r="I227" s="780">
        <v>0</v>
      </c>
      <c r="J227" s="781">
        <v>0</v>
      </c>
      <c r="K227" s="782">
        <v>0</v>
      </c>
      <c r="L227" s="783">
        <v>0</v>
      </c>
      <c r="M227" s="784">
        <v>0</v>
      </c>
      <c r="N227" s="785">
        <v>0</v>
      </c>
      <c r="O227" s="786">
        <v>0</v>
      </c>
      <c r="P227" s="787">
        <v>0</v>
      </c>
      <c r="Q227" s="861">
        <v>0</v>
      </c>
      <c r="R227" s="778">
        <v>0</v>
      </c>
      <c r="S227" s="780">
        <f t="shared" si="34"/>
        <v>0</v>
      </c>
      <c r="T227" s="754"/>
      <c r="U227" s="789"/>
      <c r="V227" s="757"/>
      <c r="W227" s="757"/>
      <c r="X227" s="757"/>
      <c r="Y227" s="767"/>
      <c r="Z227" s="767"/>
    </row>
    <row r="228" spans="1:26" ht="31.5">
      <c r="A228" s="774" t="s">
        <v>708</v>
      </c>
      <c r="B228" s="774" t="s">
        <v>566</v>
      </c>
      <c r="C228" s="775">
        <v>219</v>
      </c>
      <c r="D228" s="776" t="str">
        <f t="shared" si="36"/>
        <v>2241.03</v>
      </c>
      <c r="E228" s="883" t="s">
        <v>710</v>
      </c>
      <c r="F228" s="778">
        <v>0</v>
      </c>
      <c r="G228" s="860">
        <v>0</v>
      </c>
      <c r="H228" s="780">
        <v>0</v>
      </c>
      <c r="I228" s="780">
        <v>0</v>
      </c>
      <c r="J228" s="781">
        <v>0</v>
      </c>
      <c r="K228" s="782">
        <v>0</v>
      </c>
      <c r="L228" s="783">
        <v>0</v>
      </c>
      <c r="M228" s="784">
        <v>0</v>
      </c>
      <c r="N228" s="785">
        <v>0</v>
      </c>
      <c r="O228" s="786">
        <v>0</v>
      </c>
      <c r="P228" s="787">
        <v>0</v>
      </c>
      <c r="Q228" s="861">
        <v>0</v>
      </c>
      <c r="R228" s="778">
        <v>0</v>
      </c>
      <c r="S228" s="780">
        <f t="shared" si="34"/>
        <v>0</v>
      </c>
      <c r="T228" s="754"/>
      <c r="U228" s="789"/>
      <c r="V228" s="757"/>
      <c r="W228" s="757"/>
      <c r="X228" s="757"/>
      <c r="Y228" s="767"/>
      <c r="Z228" s="767"/>
    </row>
    <row r="229" spans="1:26" ht="31.5">
      <c r="A229" s="774" t="s">
        <v>708</v>
      </c>
      <c r="B229" s="774" t="s">
        <v>568</v>
      </c>
      <c r="C229" s="775">
        <v>220</v>
      </c>
      <c r="D229" s="776" t="str">
        <f t="shared" si="36"/>
        <v>2241.04</v>
      </c>
      <c r="E229" s="883" t="s">
        <v>711</v>
      </c>
      <c r="F229" s="778">
        <v>0</v>
      </c>
      <c r="G229" s="860">
        <v>0</v>
      </c>
      <c r="H229" s="780">
        <v>0</v>
      </c>
      <c r="I229" s="780">
        <v>0</v>
      </c>
      <c r="J229" s="781">
        <v>0</v>
      </c>
      <c r="K229" s="782">
        <v>0</v>
      </c>
      <c r="L229" s="783">
        <v>0</v>
      </c>
      <c r="M229" s="784">
        <v>0</v>
      </c>
      <c r="N229" s="785">
        <v>0</v>
      </c>
      <c r="O229" s="786">
        <v>0</v>
      </c>
      <c r="P229" s="787">
        <v>0</v>
      </c>
      <c r="Q229" s="861">
        <v>0</v>
      </c>
      <c r="R229" s="778">
        <v>0</v>
      </c>
      <c r="S229" s="780">
        <f t="shared" si="34"/>
        <v>0</v>
      </c>
      <c r="T229" s="754"/>
      <c r="U229" s="789"/>
      <c r="V229" s="757"/>
      <c r="W229" s="757"/>
      <c r="X229" s="757"/>
      <c r="Y229" s="767"/>
      <c r="Z229" s="767"/>
    </row>
    <row r="230" spans="1:26" ht="31.5">
      <c r="A230" s="774" t="s">
        <v>708</v>
      </c>
      <c r="B230" s="774" t="s">
        <v>712</v>
      </c>
      <c r="C230" s="775">
        <v>221</v>
      </c>
      <c r="D230" s="776" t="str">
        <f t="shared" si="36"/>
        <v>2241.06</v>
      </c>
      <c r="E230" s="883" t="s">
        <v>713</v>
      </c>
      <c r="F230" s="778">
        <v>0</v>
      </c>
      <c r="G230" s="860">
        <v>0</v>
      </c>
      <c r="H230" s="780">
        <v>0</v>
      </c>
      <c r="I230" s="780">
        <v>0</v>
      </c>
      <c r="J230" s="781">
        <v>0</v>
      </c>
      <c r="K230" s="782">
        <v>0</v>
      </c>
      <c r="L230" s="783">
        <v>0</v>
      </c>
      <c r="M230" s="784">
        <v>0</v>
      </c>
      <c r="N230" s="785">
        <v>0</v>
      </c>
      <c r="O230" s="786">
        <v>0</v>
      </c>
      <c r="P230" s="787">
        <v>0</v>
      </c>
      <c r="Q230" s="861">
        <v>0</v>
      </c>
      <c r="R230" s="778">
        <v>0</v>
      </c>
      <c r="S230" s="780">
        <f t="shared" si="34"/>
        <v>0</v>
      </c>
      <c r="T230" s="754"/>
      <c r="U230" s="789"/>
      <c r="V230" s="757"/>
      <c r="W230" s="757"/>
      <c r="X230" s="757"/>
      <c r="Y230" s="767"/>
      <c r="Z230" s="767"/>
    </row>
    <row r="231" spans="1:26" ht="31.5">
      <c r="A231" s="774" t="s">
        <v>708</v>
      </c>
      <c r="B231" s="774" t="s">
        <v>714</v>
      </c>
      <c r="C231" s="775">
        <v>222</v>
      </c>
      <c r="D231" s="776" t="str">
        <f t="shared" si="36"/>
        <v>2241.07</v>
      </c>
      <c r="E231" s="883" t="s">
        <v>715</v>
      </c>
      <c r="F231" s="778">
        <v>0</v>
      </c>
      <c r="G231" s="860">
        <v>0</v>
      </c>
      <c r="H231" s="780">
        <v>0</v>
      </c>
      <c r="I231" s="780">
        <v>0</v>
      </c>
      <c r="J231" s="781">
        <v>0</v>
      </c>
      <c r="K231" s="782">
        <v>0</v>
      </c>
      <c r="L231" s="783">
        <v>0</v>
      </c>
      <c r="M231" s="784">
        <v>0</v>
      </c>
      <c r="N231" s="785">
        <v>0</v>
      </c>
      <c r="O231" s="786">
        <v>0</v>
      </c>
      <c r="P231" s="787">
        <v>0</v>
      </c>
      <c r="Q231" s="861">
        <v>0</v>
      </c>
      <c r="R231" s="778">
        <v>0</v>
      </c>
      <c r="S231" s="780">
        <f t="shared" si="34"/>
        <v>0</v>
      </c>
      <c r="T231" s="754"/>
      <c r="U231" s="789"/>
      <c r="V231" s="757"/>
      <c r="W231" s="757"/>
      <c r="X231" s="757"/>
      <c r="Y231" s="767"/>
      <c r="Z231" s="767"/>
    </row>
    <row r="232" spans="1:26" ht="31.5">
      <c r="A232" s="774" t="s">
        <v>708</v>
      </c>
      <c r="B232" s="774" t="s">
        <v>716</v>
      </c>
      <c r="C232" s="775">
        <v>223</v>
      </c>
      <c r="D232" s="776" t="str">
        <f t="shared" si="36"/>
        <v>2241.08</v>
      </c>
      <c r="E232" s="883" t="s">
        <v>717</v>
      </c>
      <c r="F232" s="778">
        <v>0</v>
      </c>
      <c r="G232" s="860">
        <v>0</v>
      </c>
      <c r="H232" s="780">
        <v>0</v>
      </c>
      <c r="I232" s="780">
        <v>0</v>
      </c>
      <c r="J232" s="781">
        <v>0</v>
      </c>
      <c r="K232" s="782">
        <v>0</v>
      </c>
      <c r="L232" s="783">
        <v>0</v>
      </c>
      <c r="M232" s="784">
        <v>0</v>
      </c>
      <c r="N232" s="785">
        <v>0</v>
      </c>
      <c r="O232" s="855">
        <v>0</v>
      </c>
      <c r="P232" s="787">
        <v>0</v>
      </c>
      <c r="Q232" s="861">
        <v>0</v>
      </c>
      <c r="R232" s="778">
        <v>0</v>
      </c>
      <c r="S232" s="780">
        <f t="shared" si="34"/>
        <v>0</v>
      </c>
      <c r="T232" s="754"/>
      <c r="U232" s="789"/>
      <c r="V232" s="757"/>
      <c r="W232" s="757"/>
      <c r="X232" s="757"/>
      <c r="Y232" s="767"/>
      <c r="Z232" s="767"/>
    </row>
    <row r="233" spans="1:26">
      <c r="A233" s="774" t="s">
        <v>718</v>
      </c>
      <c r="B233" s="774" t="s">
        <v>524</v>
      </c>
      <c r="C233" s="775">
        <v>224</v>
      </c>
      <c r="D233" s="776" t="str">
        <f t="shared" si="36"/>
        <v>2242.01</v>
      </c>
      <c r="E233" s="774" t="s">
        <v>719</v>
      </c>
      <c r="F233" s="786">
        <v>0</v>
      </c>
      <c r="G233" s="786">
        <v>0</v>
      </c>
      <c r="H233" s="786">
        <v>0</v>
      </c>
      <c r="I233" s="786">
        <v>0</v>
      </c>
      <c r="J233" s="855">
        <v>0</v>
      </c>
      <c r="K233" s="855">
        <v>0</v>
      </c>
      <c r="L233" s="786">
        <v>0</v>
      </c>
      <c r="M233" s="786">
        <v>0</v>
      </c>
      <c r="N233" s="786">
        <v>0</v>
      </c>
      <c r="O233" s="786">
        <v>0</v>
      </c>
      <c r="P233" s="786">
        <v>0</v>
      </c>
      <c r="Q233" s="786">
        <v>0</v>
      </c>
      <c r="R233" s="786">
        <v>0</v>
      </c>
      <c r="S233" s="780">
        <f t="shared" si="34"/>
        <v>0</v>
      </c>
      <c r="T233" s="754"/>
      <c r="U233" s="789"/>
      <c r="V233" s="757"/>
      <c r="W233" s="757"/>
      <c r="X233" s="757"/>
      <c r="Y233" s="767"/>
      <c r="Z233" s="767"/>
    </row>
    <row r="234" spans="1:26">
      <c r="A234" s="774"/>
      <c r="B234" s="774"/>
      <c r="C234" s="775">
        <v>225</v>
      </c>
      <c r="D234" s="776"/>
      <c r="E234" s="832" t="s">
        <v>720</v>
      </c>
      <c r="F234" s="802">
        <f>SUM(F215:F233)</f>
        <v>-214589000</v>
      </c>
      <c r="G234" s="802">
        <f t="shared" ref="G234:S234" si="37">SUM(G215:G233)</f>
        <v>-212484879.81</v>
      </c>
      <c r="H234" s="802">
        <f t="shared" si="37"/>
        <v>-212445772.80000001</v>
      </c>
      <c r="I234" s="802">
        <f t="shared" si="37"/>
        <v>-212461137.19</v>
      </c>
      <c r="J234" s="802">
        <f t="shared" si="37"/>
        <v>-212472018.86000001</v>
      </c>
      <c r="K234" s="802">
        <f t="shared" si="37"/>
        <v>-212432900.53</v>
      </c>
      <c r="L234" s="802">
        <f t="shared" si="37"/>
        <v>-212443782.19999999</v>
      </c>
      <c r="M234" s="802">
        <f t="shared" si="37"/>
        <v>-212454663.87</v>
      </c>
      <c r="N234" s="802">
        <f t="shared" si="37"/>
        <v>-212447545.53999999</v>
      </c>
      <c r="O234" s="802">
        <f t="shared" si="37"/>
        <v>-212458427.21000001</v>
      </c>
      <c r="P234" s="802">
        <f t="shared" si="37"/>
        <v>-212469308.88</v>
      </c>
      <c r="Q234" s="802">
        <f t="shared" si="37"/>
        <v>-212480190.55000001</v>
      </c>
      <c r="R234" s="802">
        <f t="shared" si="37"/>
        <v>-212491072.22</v>
      </c>
      <c r="S234" s="802">
        <f t="shared" si="37"/>
        <v>-212549221.96250001</v>
      </c>
      <c r="T234" s="754"/>
      <c r="U234" s="790">
        <f>S234</f>
        <v>-212549221.96250001</v>
      </c>
      <c r="V234" s="757"/>
      <c r="W234" s="757"/>
      <c r="X234" s="757"/>
      <c r="Y234" s="767"/>
      <c r="Z234" s="767"/>
    </row>
    <row r="235" spans="1:26">
      <c r="A235" s="774"/>
      <c r="B235" s="774"/>
      <c r="C235" s="775">
        <v>226</v>
      </c>
      <c r="D235" s="776"/>
      <c r="E235" s="832"/>
      <c r="F235" s="778"/>
      <c r="G235" s="860"/>
      <c r="H235" s="780"/>
      <c r="I235" s="780"/>
      <c r="J235" s="781"/>
      <c r="K235" s="782"/>
      <c r="L235" s="783"/>
      <c r="M235" s="784"/>
      <c r="N235" s="785"/>
      <c r="O235" s="786"/>
      <c r="P235" s="787"/>
      <c r="Q235" s="861"/>
      <c r="R235" s="778"/>
      <c r="S235" s="780">
        <f t="shared" si="34"/>
        <v>0</v>
      </c>
      <c r="T235" s="754"/>
      <c r="U235" s="789"/>
      <c r="V235" s="757"/>
      <c r="W235" s="757"/>
      <c r="X235" s="757"/>
      <c r="Y235" s="767"/>
      <c r="Z235" s="767"/>
    </row>
    <row r="236" spans="1:26">
      <c r="A236" s="774" t="s">
        <v>721</v>
      </c>
      <c r="B236" s="774" t="s">
        <v>410</v>
      </c>
      <c r="C236" s="775">
        <v>227</v>
      </c>
      <c r="D236" s="774" t="str">
        <f>+A236</f>
        <v>2310</v>
      </c>
      <c r="E236" s="832" t="s">
        <v>722</v>
      </c>
      <c r="F236" s="778">
        <v>0</v>
      </c>
      <c r="G236" s="860">
        <v>0</v>
      </c>
      <c r="H236" s="780">
        <v>0</v>
      </c>
      <c r="I236" s="780">
        <v>0</v>
      </c>
      <c r="J236" s="781">
        <v>0</v>
      </c>
      <c r="K236" s="782">
        <v>0</v>
      </c>
      <c r="L236" s="783">
        <v>0</v>
      </c>
      <c r="M236" s="784">
        <v>0</v>
      </c>
      <c r="N236" s="785">
        <v>0</v>
      </c>
      <c r="O236" s="786">
        <v>0</v>
      </c>
      <c r="P236" s="787">
        <v>0</v>
      </c>
      <c r="Q236" s="861">
        <v>0</v>
      </c>
      <c r="R236" s="778">
        <v>0</v>
      </c>
      <c r="S236" s="780">
        <f t="shared" si="34"/>
        <v>0</v>
      </c>
      <c r="T236" s="754"/>
      <c r="U236" s="790">
        <f>S236</f>
        <v>0</v>
      </c>
      <c r="V236" s="789"/>
      <c r="W236" s="789"/>
      <c r="X236" s="790"/>
      <c r="Y236" s="767"/>
      <c r="Z236" s="767"/>
    </row>
    <row r="237" spans="1:26">
      <c r="A237" s="774" t="s">
        <v>723</v>
      </c>
      <c r="B237" s="774" t="s">
        <v>724</v>
      </c>
      <c r="C237" s="775">
        <v>228</v>
      </c>
      <c r="D237" s="752" t="str">
        <f>A237&amp;"."&amp;B237</f>
        <v>2330.045</v>
      </c>
      <c r="E237" s="774" t="s">
        <v>725</v>
      </c>
      <c r="F237" s="778">
        <v>0</v>
      </c>
      <c r="G237" s="860">
        <v>0</v>
      </c>
      <c r="H237" s="780">
        <v>0</v>
      </c>
      <c r="I237" s="780">
        <v>0</v>
      </c>
      <c r="J237" s="781">
        <v>0</v>
      </c>
      <c r="K237" s="782">
        <v>0</v>
      </c>
      <c r="L237" s="783">
        <v>0</v>
      </c>
      <c r="M237" s="784">
        <v>0</v>
      </c>
      <c r="N237" s="785">
        <v>0</v>
      </c>
      <c r="O237" s="786">
        <v>0</v>
      </c>
      <c r="P237" s="787">
        <v>0</v>
      </c>
      <c r="Q237" s="861">
        <v>0</v>
      </c>
      <c r="R237" s="778">
        <v>0</v>
      </c>
      <c r="S237" s="780">
        <f t="shared" si="34"/>
        <v>0</v>
      </c>
      <c r="T237" s="754"/>
      <c r="U237" s="789"/>
      <c r="V237" s="789"/>
      <c r="W237" s="789"/>
      <c r="X237" s="789"/>
      <c r="Y237" s="767"/>
      <c r="Z237" s="767"/>
    </row>
    <row r="238" spans="1:26">
      <c r="A238" s="774"/>
      <c r="B238" s="774"/>
      <c r="C238" s="775">
        <v>229</v>
      </c>
      <c r="D238" s="776"/>
      <c r="E238" s="832"/>
      <c r="F238" s="778"/>
      <c r="G238" s="860"/>
      <c r="H238" s="780"/>
      <c r="I238" s="780"/>
      <c r="J238" s="781"/>
      <c r="K238" s="782"/>
      <c r="L238" s="783"/>
      <c r="M238" s="784"/>
      <c r="N238" s="785"/>
      <c r="O238" s="786"/>
      <c r="P238" s="787"/>
      <c r="Q238" s="861"/>
      <c r="R238" s="778"/>
      <c r="S238" s="780">
        <f t="shared" si="34"/>
        <v>0</v>
      </c>
      <c r="T238" s="754"/>
      <c r="U238" s="789"/>
      <c r="V238" s="789"/>
      <c r="W238" s="789"/>
      <c r="X238" s="789"/>
      <c r="Y238" s="767"/>
      <c r="Z238" s="767"/>
    </row>
    <row r="239" spans="1:26">
      <c r="A239" s="774" t="s">
        <v>726</v>
      </c>
      <c r="B239" s="774" t="s">
        <v>410</v>
      </c>
      <c r="C239" s="775">
        <v>230</v>
      </c>
      <c r="D239" s="774" t="str">
        <f>+A239</f>
        <v>2321</v>
      </c>
      <c r="E239" s="832" t="s">
        <v>727</v>
      </c>
      <c r="F239" s="778">
        <v>-2632243.14</v>
      </c>
      <c r="G239" s="860">
        <v>-932061.88</v>
      </c>
      <c r="H239" s="780">
        <v>-1268442.46</v>
      </c>
      <c r="I239" s="780">
        <v>-1261061.97</v>
      </c>
      <c r="J239" s="781">
        <v>-2118018.4300000002</v>
      </c>
      <c r="K239" s="782">
        <v>-2776132.13</v>
      </c>
      <c r="L239" s="783">
        <v>-1910577.14</v>
      </c>
      <c r="M239" s="784">
        <v>-1163398.6100000001</v>
      </c>
      <c r="N239" s="785">
        <v>-2492662.4</v>
      </c>
      <c r="O239" s="786">
        <v>-2252485.5099999998</v>
      </c>
      <c r="P239" s="787">
        <v>-1248713.28</v>
      </c>
      <c r="Q239" s="861">
        <v>-1464995.91</v>
      </c>
      <c r="R239" s="778">
        <v>-3872593.05</v>
      </c>
      <c r="S239" s="780">
        <f t="shared" si="34"/>
        <v>-1845080.6512499999</v>
      </c>
      <c r="T239" s="754"/>
      <c r="U239" s="789"/>
      <c r="V239" s="789"/>
      <c r="W239" s="789"/>
      <c r="X239" s="790">
        <f>S239</f>
        <v>-1845080.6512499999</v>
      </c>
      <c r="Y239" s="767"/>
      <c r="Z239" s="767"/>
    </row>
    <row r="240" spans="1:26">
      <c r="A240" s="750" t="s">
        <v>728</v>
      </c>
      <c r="B240" s="774" t="s">
        <v>1012</v>
      </c>
      <c r="C240" s="775">
        <v>231</v>
      </c>
      <c r="D240" s="774" t="s">
        <v>728</v>
      </c>
      <c r="E240" s="795" t="s">
        <v>1013</v>
      </c>
      <c r="F240" s="778">
        <v>0</v>
      </c>
      <c r="G240" s="860">
        <v>0</v>
      </c>
      <c r="H240" s="780">
        <v>0</v>
      </c>
      <c r="I240" s="780">
        <v>0</v>
      </c>
      <c r="J240" s="781">
        <v>0</v>
      </c>
      <c r="K240" s="782">
        <v>-7174.24</v>
      </c>
      <c r="L240" s="783">
        <v>-47647.49</v>
      </c>
      <c r="M240" s="784">
        <v>-13364.19</v>
      </c>
      <c r="N240" s="785">
        <v>-123251.5</v>
      </c>
      <c r="O240" s="786">
        <v>-116359</v>
      </c>
      <c r="P240" s="787">
        <v>-110921.31</v>
      </c>
      <c r="Q240" s="861">
        <v>-20605.52</v>
      </c>
      <c r="R240" s="778">
        <v>-196293.75</v>
      </c>
      <c r="S240" s="780">
        <f t="shared" si="34"/>
        <v>-44789.177083333336</v>
      </c>
      <c r="T240" s="754"/>
      <c r="U240" s="789"/>
      <c r="V240" s="789"/>
      <c r="W240" s="789"/>
      <c r="X240" s="790">
        <f>S240</f>
        <v>-44789.177083333336</v>
      </c>
      <c r="Y240" s="767"/>
      <c r="Z240" s="767"/>
    </row>
    <row r="241" spans="1:26">
      <c r="A241" s="750" t="s">
        <v>728</v>
      </c>
      <c r="B241" s="750" t="s">
        <v>446</v>
      </c>
      <c r="C241" s="775">
        <v>232</v>
      </c>
      <c r="D241" s="752" t="str">
        <f>A241&amp;"."&amp;B241</f>
        <v>2322.1*</v>
      </c>
      <c r="E241" s="832" t="s">
        <v>729</v>
      </c>
      <c r="F241" s="778">
        <v>-18234135.59</v>
      </c>
      <c r="G241" s="860">
        <v>-19391764.940000001</v>
      </c>
      <c r="H241" s="780">
        <v>-13030468.84</v>
      </c>
      <c r="I241" s="780">
        <v>-11601271.02</v>
      </c>
      <c r="J241" s="781">
        <v>-8766764.0800000001</v>
      </c>
      <c r="K241" s="782">
        <v>-7374700.1100000003</v>
      </c>
      <c r="L241" s="783">
        <v>-6311789.5599999996</v>
      </c>
      <c r="M241" s="784">
        <v>-7758729.8399999999</v>
      </c>
      <c r="N241" s="785">
        <v>-8119312.1200000001</v>
      </c>
      <c r="O241" s="786">
        <v>-8761209.8200000003</v>
      </c>
      <c r="P241" s="787">
        <v>-9979998.6999999993</v>
      </c>
      <c r="Q241" s="861">
        <v>-14927334.35</v>
      </c>
      <c r="R241" s="778">
        <v>-22858356.27</v>
      </c>
      <c r="S241" s="780">
        <f t="shared" si="34"/>
        <v>-11380799.109166667</v>
      </c>
      <c r="T241" s="754"/>
      <c r="U241" s="789"/>
      <c r="V241" s="789"/>
      <c r="W241" s="789"/>
      <c r="X241" s="790">
        <f>S241</f>
        <v>-11380799.109166667</v>
      </c>
      <c r="Y241" s="767"/>
      <c r="Z241" s="767"/>
    </row>
    <row r="242" spans="1:26">
      <c r="A242" s="750" t="s">
        <v>728</v>
      </c>
      <c r="B242" s="750" t="s">
        <v>730</v>
      </c>
      <c r="C242" s="775">
        <v>233</v>
      </c>
      <c r="D242" s="752" t="str">
        <f>A242&amp;"."&amp;B242</f>
        <v>2322.[2*,/217]</v>
      </c>
      <c r="E242" s="750" t="s">
        <v>731</v>
      </c>
      <c r="F242" s="778">
        <v>0</v>
      </c>
      <c r="G242" s="860">
        <v>0</v>
      </c>
      <c r="H242" s="780">
        <v>0</v>
      </c>
      <c r="I242" s="780">
        <v>0</v>
      </c>
      <c r="J242" s="781">
        <v>0</v>
      </c>
      <c r="K242" s="782">
        <v>0</v>
      </c>
      <c r="L242" s="783">
        <v>0</v>
      </c>
      <c r="M242" s="784">
        <v>0</v>
      </c>
      <c r="N242" s="785">
        <v>0</v>
      </c>
      <c r="O242" s="786">
        <v>0</v>
      </c>
      <c r="P242" s="787">
        <v>0</v>
      </c>
      <c r="Q242" s="861">
        <v>0</v>
      </c>
      <c r="R242" s="778">
        <v>0</v>
      </c>
      <c r="S242" s="780">
        <f t="shared" si="34"/>
        <v>0</v>
      </c>
      <c r="T242" s="754"/>
      <c r="U242" s="789"/>
      <c r="V242" s="789"/>
      <c r="W242" s="789"/>
      <c r="X242" s="789"/>
      <c r="Y242" s="767"/>
      <c r="Z242" s="767"/>
    </row>
    <row r="243" spans="1:26">
      <c r="A243" s="750" t="s">
        <v>728</v>
      </c>
      <c r="B243" s="750" t="s">
        <v>732</v>
      </c>
      <c r="C243" s="775">
        <v>234</v>
      </c>
      <c r="D243" s="752" t="str">
        <f>A243&amp;"."&amp;B243</f>
        <v>2322.[217*]</v>
      </c>
      <c r="E243" s="750" t="s">
        <v>733</v>
      </c>
      <c r="F243" s="778"/>
      <c r="G243" s="860"/>
      <c r="H243" s="780"/>
      <c r="I243" s="780"/>
      <c r="J243" s="781"/>
      <c r="K243" s="782"/>
      <c r="L243" s="783"/>
      <c r="M243" s="784"/>
      <c r="N243" s="785"/>
      <c r="O243" s="786"/>
      <c r="P243" s="787"/>
      <c r="Q243" s="861"/>
      <c r="R243" s="778">
        <v>-1209848.1399999999</v>
      </c>
      <c r="S243" s="780">
        <f t="shared" si="34"/>
        <v>-50410.339166666665</v>
      </c>
      <c r="T243" s="754"/>
      <c r="U243" s="789"/>
      <c r="V243" s="789"/>
      <c r="W243" s="789"/>
      <c r="X243" s="790">
        <f>+S243</f>
        <v>-50410.339166666665</v>
      </c>
      <c r="Y243" s="767"/>
      <c r="Z243" s="767"/>
    </row>
    <row r="244" spans="1:26">
      <c r="A244" s="750" t="s">
        <v>728</v>
      </c>
      <c r="B244" s="750" t="s">
        <v>734</v>
      </c>
      <c r="C244" s="775">
        <v>235</v>
      </c>
      <c r="D244" s="752" t="str">
        <f>A244&amp;"."&amp;B244</f>
        <v>2322.[4*,009]</v>
      </c>
      <c r="E244" s="832" t="s">
        <v>735</v>
      </c>
      <c r="F244" s="778">
        <v>-1438.53</v>
      </c>
      <c r="G244" s="860">
        <v>0</v>
      </c>
      <c r="H244" s="780">
        <v>-3313.53</v>
      </c>
      <c r="I244" s="780">
        <v>-2109.54</v>
      </c>
      <c r="J244" s="781">
        <v>0</v>
      </c>
      <c r="K244" s="782">
        <v>-3496.21</v>
      </c>
      <c r="L244" s="783">
        <v>-2220.6</v>
      </c>
      <c r="M244" s="784">
        <v>-4.5474735088646402E-13</v>
      </c>
      <c r="N244" s="785">
        <v>-8836.08</v>
      </c>
      <c r="O244" s="786">
        <v>-5388.41</v>
      </c>
      <c r="P244" s="787">
        <v>-4445.25</v>
      </c>
      <c r="Q244" s="861">
        <v>-22386.65</v>
      </c>
      <c r="R244" s="778">
        <v>-359559.65</v>
      </c>
      <c r="S244" s="780">
        <f t="shared" si="34"/>
        <v>-19391.280000000002</v>
      </c>
      <c r="T244" s="754"/>
      <c r="U244" s="789"/>
      <c r="V244" s="789"/>
      <c r="W244" s="789"/>
      <c r="X244" s="790">
        <f>S244</f>
        <v>-19391.280000000002</v>
      </c>
      <c r="Y244" s="767"/>
      <c r="Z244" s="767"/>
    </row>
    <row r="245" spans="1:26">
      <c r="A245" s="750" t="s">
        <v>728</v>
      </c>
      <c r="B245" s="750" t="s">
        <v>736</v>
      </c>
      <c r="C245" s="775">
        <v>236</v>
      </c>
      <c r="D245" s="752" t="str">
        <f>A245&amp;"."&amp;B245</f>
        <v>2322.3*</v>
      </c>
      <c r="E245" s="832" t="s">
        <v>737</v>
      </c>
      <c r="F245" s="778">
        <v>-5893.5800000000199</v>
      </c>
      <c r="G245" s="860">
        <v>-7031.79</v>
      </c>
      <c r="H245" s="780">
        <v>10476.73</v>
      </c>
      <c r="I245" s="780">
        <v>-112571.75</v>
      </c>
      <c r="J245" s="781">
        <v>-108695.88</v>
      </c>
      <c r="K245" s="782">
        <v>12333.46</v>
      </c>
      <c r="L245" s="783">
        <v>14294.76</v>
      </c>
      <c r="M245" s="784">
        <v>11550.38</v>
      </c>
      <c r="N245" s="785">
        <v>-116783.52</v>
      </c>
      <c r="O245" s="786">
        <v>-118590.76</v>
      </c>
      <c r="P245" s="787">
        <v>-3146.2200000000198</v>
      </c>
      <c r="Q245" s="861">
        <v>-7857.6400000000203</v>
      </c>
      <c r="R245" s="778">
        <v>-13011.26</v>
      </c>
      <c r="S245" s="780">
        <f t="shared" si="34"/>
        <v>-36289.554166666669</v>
      </c>
      <c r="T245" s="754"/>
      <c r="U245" s="789"/>
      <c r="V245" s="789"/>
      <c r="W245" s="789"/>
      <c r="X245" s="790">
        <f>S245</f>
        <v>-36289.554166666669</v>
      </c>
      <c r="Y245" s="767"/>
      <c r="Z245" s="767"/>
    </row>
    <row r="246" spans="1:26">
      <c r="A246" s="774" t="s">
        <v>738</v>
      </c>
      <c r="B246" s="774" t="s">
        <v>410</v>
      </c>
      <c r="C246" s="775">
        <v>237</v>
      </c>
      <c r="D246" s="774" t="str">
        <f>+A246</f>
        <v>2323</v>
      </c>
      <c r="E246" s="832" t="s">
        <v>739</v>
      </c>
      <c r="F246" s="778">
        <v>-145487</v>
      </c>
      <c r="G246" s="860">
        <v>-76962.429999999993</v>
      </c>
      <c r="H246" s="780">
        <v>-199193.18</v>
      </c>
      <c r="I246" s="780">
        <v>-540960.78</v>
      </c>
      <c r="J246" s="781">
        <v>-479413.69</v>
      </c>
      <c r="K246" s="782">
        <v>-230955.63</v>
      </c>
      <c r="L246" s="783">
        <v>-394986.89</v>
      </c>
      <c r="M246" s="784">
        <v>-261650.2</v>
      </c>
      <c r="N246" s="785">
        <v>-142219.95000000001</v>
      </c>
      <c r="O246" s="786">
        <v>-620952.82999999996</v>
      </c>
      <c r="P246" s="787">
        <v>-390564.37</v>
      </c>
      <c r="Q246" s="861">
        <v>-307623.27</v>
      </c>
      <c r="R246" s="778">
        <v>-253348.6</v>
      </c>
      <c r="S246" s="780">
        <f t="shared" si="34"/>
        <v>-320408.41833333339</v>
      </c>
      <c r="T246" s="754"/>
      <c r="U246" s="789"/>
      <c r="V246" s="789"/>
      <c r="W246" s="789"/>
      <c r="X246" s="790">
        <f>S246</f>
        <v>-320408.41833333339</v>
      </c>
      <c r="Y246" s="767"/>
      <c r="Z246" s="767"/>
    </row>
    <row r="247" spans="1:26">
      <c r="A247" s="774"/>
      <c r="B247" s="774"/>
      <c r="C247" s="775">
        <v>238</v>
      </c>
      <c r="D247" s="776"/>
      <c r="E247" s="832"/>
      <c r="F247" s="778"/>
      <c r="G247" s="860"/>
      <c r="H247" s="780"/>
      <c r="I247" s="780"/>
      <c r="J247" s="781"/>
      <c r="K247" s="782"/>
      <c r="L247" s="783"/>
      <c r="M247" s="784"/>
      <c r="N247" s="785"/>
      <c r="O247" s="786"/>
      <c r="P247" s="787"/>
      <c r="Q247" s="861"/>
      <c r="R247" s="778"/>
      <c r="S247" s="780">
        <f t="shared" si="34"/>
        <v>0</v>
      </c>
      <c r="T247" s="754"/>
      <c r="U247" s="789"/>
      <c r="V247" s="789"/>
      <c r="W247" s="789"/>
      <c r="X247" s="789"/>
      <c r="Y247" s="767"/>
      <c r="Z247" s="767"/>
    </row>
    <row r="248" spans="1:26">
      <c r="A248" s="774" t="s">
        <v>740</v>
      </c>
      <c r="B248" s="884" t="s">
        <v>741</v>
      </c>
      <c r="C248" s="775">
        <v>239</v>
      </c>
      <c r="D248" s="776" t="str">
        <f t="shared" ref="D248:D258" si="38">A248&amp;"."&amp;B248</f>
        <v>2340.[000,001]</v>
      </c>
      <c r="E248" s="885" t="s">
        <v>742</v>
      </c>
      <c r="F248" s="778">
        <v>-1402673.36</v>
      </c>
      <c r="G248" s="860">
        <v>-1464534.48</v>
      </c>
      <c r="H248" s="780">
        <v>-1369348.79</v>
      </c>
      <c r="I248" s="780">
        <v>-1023239.36</v>
      </c>
      <c r="J248" s="781">
        <v>-717549.77</v>
      </c>
      <c r="K248" s="782">
        <v>-1269623.98</v>
      </c>
      <c r="L248" s="783">
        <v>-1166708.32</v>
      </c>
      <c r="M248" s="784">
        <v>-995927.74</v>
      </c>
      <c r="N248" s="785">
        <v>-1394534.21</v>
      </c>
      <c r="O248" s="786">
        <v>-1382782.44</v>
      </c>
      <c r="P248" s="787">
        <v>-1355123.03</v>
      </c>
      <c r="Q248" s="861">
        <v>-1250012.98</v>
      </c>
      <c r="R248" s="778">
        <v>-1360877.86</v>
      </c>
      <c r="S248" s="780">
        <f t="shared" si="34"/>
        <v>-1230930.0591666668</v>
      </c>
      <c r="T248" s="754"/>
      <c r="U248" s="789"/>
      <c r="V248" s="789"/>
      <c r="W248" s="789"/>
      <c r="X248" s="789"/>
      <c r="Y248" s="767"/>
      <c r="Z248" s="767"/>
    </row>
    <row r="249" spans="1:26">
      <c r="A249" s="774" t="s">
        <v>740</v>
      </c>
      <c r="B249" s="884" t="s">
        <v>743</v>
      </c>
      <c r="C249" s="775">
        <v>240</v>
      </c>
      <c r="D249" s="776" t="str">
        <f t="shared" si="38"/>
        <v>2340.005</v>
      </c>
      <c r="E249" s="832" t="s">
        <v>744</v>
      </c>
      <c r="F249" s="778">
        <v>-53</v>
      </c>
      <c r="G249" s="860">
        <v>-69984.800000000003</v>
      </c>
      <c r="H249" s="780">
        <v>-1668.96000000001</v>
      </c>
      <c r="I249" s="780">
        <v>-20311.650000000001</v>
      </c>
      <c r="J249" s="781">
        <v>-16.1500000000051</v>
      </c>
      <c r="K249" s="782">
        <v>-166.51000000000499</v>
      </c>
      <c r="L249" s="783">
        <v>-36005.4</v>
      </c>
      <c r="M249" s="784">
        <v>-200</v>
      </c>
      <c r="N249" s="785">
        <v>-1627.61</v>
      </c>
      <c r="O249" s="786">
        <v>-37814.57</v>
      </c>
      <c r="P249" s="787">
        <v>-10.75</v>
      </c>
      <c r="Q249" s="861">
        <v>-169061.22</v>
      </c>
      <c r="R249" s="778">
        <v>-13112.75</v>
      </c>
      <c r="S249" s="780">
        <f t="shared" si="34"/>
        <v>-28620.874583333334</v>
      </c>
      <c r="T249" s="754"/>
      <c r="U249" s="789"/>
      <c r="V249" s="789"/>
      <c r="W249" s="789"/>
      <c r="X249" s="789"/>
      <c r="Y249" s="767"/>
      <c r="Z249" s="767"/>
    </row>
    <row r="250" spans="1:26">
      <c r="A250" s="774" t="s">
        <v>740</v>
      </c>
      <c r="B250" s="884" t="s">
        <v>745</v>
      </c>
      <c r="C250" s="775">
        <v>241</v>
      </c>
      <c r="D250" s="776" t="str">
        <f t="shared" si="38"/>
        <v>2340.008</v>
      </c>
      <c r="E250" s="832" t="s">
        <v>746</v>
      </c>
      <c r="F250" s="778">
        <v>-4.5474735088646402E-13</v>
      </c>
      <c r="G250" s="860">
        <v>0</v>
      </c>
      <c r="H250" s="780">
        <v>0</v>
      </c>
      <c r="I250" s="780">
        <v>0</v>
      </c>
      <c r="J250" s="781">
        <v>0</v>
      </c>
      <c r="K250" s="782">
        <v>-1848.77</v>
      </c>
      <c r="L250" s="783">
        <v>-660</v>
      </c>
      <c r="M250" s="784">
        <v>0</v>
      </c>
      <c r="N250" s="785">
        <v>-68.540000000000006</v>
      </c>
      <c r="O250" s="786">
        <v>-11829.4</v>
      </c>
      <c r="P250" s="787">
        <v>-8160</v>
      </c>
      <c r="Q250" s="861">
        <v>-1.8189894035458601E-12</v>
      </c>
      <c r="R250" s="778">
        <v>-1.8189894035458601E-12</v>
      </c>
      <c r="S250" s="780">
        <f t="shared" si="34"/>
        <v>-1880.5591666666667</v>
      </c>
      <c r="T250" s="754"/>
      <c r="U250" s="789"/>
      <c r="V250" s="789"/>
      <c r="W250" s="789"/>
      <c r="X250" s="789"/>
      <c r="Y250" s="767"/>
      <c r="Z250" s="767"/>
    </row>
    <row r="251" spans="1:26">
      <c r="A251" s="774" t="s">
        <v>740</v>
      </c>
      <c r="B251" s="884" t="s">
        <v>747</v>
      </c>
      <c r="C251" s="775">
        <v>242</v>
      </c>
      <c r="D251" s="776" t="str">
        <f t="shared" si="38"/>
        <v>2340.0620</v>
      </c>
      <c r="E251" s="885" t="s">
        <v>748</v>
      </c>
      <c r="F251" s="778">
        <v>-7399.48</v>
      </c>
      <c r="G251" s="860">
        <v>-306.61</v>
      </c>
      <c r="H251" s="780">
        <v>-386.41</v>
      </c>
      <c r="I251" s="780">
        <v>-1679.64</v>
      </c>
      <c r="J251" s="781">
        <v>4.5474735088646402E-13</v>
      </c>
      <c r="K251" s="782">
        <v>-1189.6500000000001</v>
      </c>
      <c r="L251" s="783">
        <v>4.5474735088646402E-13</v>
      </c>
      <c r="M251" s="784">
        <v>-562.83000000000004</v>
      </c>
      <c r="N251" s="785">
        <v>4.5474735088646402E-13</v>
      </c>
      <c r="O251" s="786">
        <v>-1156.43</v>
      </c>
      <c r="P251" s="787">
        <v>4.5474735088646402E-13</v>
      </c>
      <c r="Q251" s="861">
        <v>-1869.12</v>
      </c>
      <c r="R251" s="778">
        <v>4.5474735088646402E-13</v>
      </c>
      <c r="S251" s="780">
        <f t="shared" si="34"/>
        <v>-904.20249999999999</v>
      </c>
      <c r="T251" s="754"/>
      <c r="U251" s="789"/>
      <c r="V251" s="789"/>
      <c r="W251" s="789"/>
      <c r="X251" s="789"/>
      <c r="Y251" s="767"/>
      <c r="Z251" s="767"/>
    </row>
    <row r="252" spans="1:26">
      <c r="A252" s="774" t="s">
        <v>740</v>
      </c>
      <c r="B252" s="884" t="s">
        <v>749</v>
      </c>
      <c r="C252" s="775">
        <v>243</v>
      </c>
      <c r="D252" s="776" t="str">
        <f t="shared" si="38"/>
        <v>2340.0670</v>
      </c>
      <c r="E252" s="885" t="s">
        <v>750</v>
      </c>
      <c r="F252" s="778">
        <v>0</v>
      </c>
      <c r="G252" s="860">
        <v>-6479.78</v>
      </c>
      <c r="H252" s="780">
        <v>-6479.78</v>
      </c>
      <c r="I252" s="780">
        <v>-6479.78</v>
      </c>
      <c r="J252" s="781">
        <v>-6479.78</v>
      </c>
      <c r="K252" s="782">
        <v>-6479.78</v>
      </c>
      <c r="L252" s="783">
        <v>0</v>
      </c>
      <c r="M252" s="784">
        <v>0</v>
      </c>
      <c r="N252" s="785">
        <v>0</v>
      </c>
      <c r="O252" s="861">
        <v>0</v>
      </c>
      <c r="P252" s="861">
        <v>0</v>
      </c>
      <c r="Q252" s="861">
        <v>0</v>
      </c>
      <c r="R252" s="778">
        <v>0</v>
      </c>
      <c r="S252" s="780">
        <f t="shared" si="34"/>
        <v>-2699.9083333333333</v>
      </c>
      <c r="T252" s="754"/>
      <c r="U252" s="789"/>
      <c r="V252" s="789"/>
      <c r="W252" s="789"/>
      <c r="X252" s="789"/>
      <c r="Y252" s="767"/>
      <c r="Z252" s="767"/>
    </row>
    <row r="253" spans="1:26">
      <c r="A253" s="774" t="s">
        <v>740</v>
      </c>
      <c r="B253" s="884" t="s">
        <v>751</v>
      </c>
      <c r="C253" s="775">
        <v>244</v>
      </c>
      <c r="D253" s="776" t="str">
        <f t="shared" si="38"/>
        <v>2340.043</v>
      </c>
      <c r="E253" s="885" t="s">
        <v>752</v>
      </c>
      <c r="F253" s="778">
        <v>0</v>
      </c>
      <c r="G253" s="860">
        <v>0</v>
      </c>
      <c r="H253" s="780">
        <v>0</v>
      </c>
      <c r="I253" s="780">
        <v>0</v>
      </c>
      <c r="J253" s="781">
        <v>0</v>
      </c>
      <c r="K253" s="782">
        <v>0</v>
      </c>
      <c r="L253" s="783">
        <v>0</v>
      </c>
      <c r="M253" s="784">
        <v>0</v>
      </c>
      <c r="N253" s="785">
        <v>0</v>
      </c>
      <c r="O253" s="786">
        <v>0</v>
      </c>
      <c r="P253" s="787">
        <v>0</v>
      </c>
      <c r="Q253" s="861">
        <v>0</v>
      </c>
      <c r="R253" s="778">
        <v>0</v>
      </c>
      <c r="S253" s="780">
        <f t="shared" si="34"/>
        <v>0</v>
      </c>
      <c r="T253" s="754"/>
      <c r="U253" s="789"/>
      <c r="V253" s="789"/>
      <c r="W253" s="789"/>
      <c r="X253" s="789"/>
      <c r="Y253" s="767"/>
      <c r="Z253" s="767"/>
    </row>
    <row r="254" spans="1:26">
      <c r="A254" s="774" t="s">
        <v>740</v>
      </c>
      <c r="B254" s="884" t="s">
        <v>753</v>
      </c>
      <c r="C254" s="775">
        <v>245</v>
      </c>
      <c r="D254" s="776" t="str">
        <f t="shared" si="38"/>
        <v>2340.044</v>
      </c>
      <c r="E254" s="832" t="s">
        <v>754</v>
      </c>
      <c r="F254" s="778">
        <v>0</v>
      </c>
      <c r="G254" s="860">
        <v>0</v>
      </c>
      <c r="H254" s="780">
        <v>0</v>
      </c>
      <c r="I254" s="780">
        <v>0</v>
      </c>
      <c r="J254" s="781">
        <v>0</v>
      </c>
      <c r="K254" s="782">
        <v>0</v>
      </c>
      <c r="L254" s="783">
        <v>0</v>
      </c>
      <c r="M254" s="784">
        <v>0</v>
      </c>
      <c r="N254" s="785">
        <v>0</v>
      </c>
      <c r="O254" s="786">
        <v>0</v>
      </c>
      <c r="P254" s="787">
        <v>0</v>
      </c>
      <c r="Q254" s="861">
        <v>0</v>
      </c>
      <c r="R254" s="778">
        <v>0</v>
      </c>
      <c r="S254" s="780">
        <f t="shared" si="34"/>
        <v>0</v>
      </c>
      <c r="T254" s="754"/>
      <c r="U254" s="789"/>
      <c r="V254" s="789"/>
      <c r="W254" s="789"/>
      <c r="X254" s="789"/>
      <c r="Y254" s="767"/>
      <c r="Z254" s="767"/>
    </row>
    <row r="255" spans="1:26">
      <c r="A255" s="774" t="s">
        <v>740</v>
      </c>
      <c r="B255" s="884" t="s">
        <v>724</v>
      </c>
      <c r="C255" s="775">
        <v>246</v>
      </c>
      <c r="D255" s="776" t="str">
        <f t="shared" si="38"/>
        <v>2340.045</v>
      </c>
      <c r="E255" s="774" t="s">
        <v>755</v>
      </c>
      <c r="F255" s="778">
        <v>0</v>
      </c>
      <c r="G255" s="860">
        <v>0</v>
      </c>
      <c r="H255" s="780">
        <v>0</v>
      </c>
      <c r="I255" s="780">
        <v>0</v>
      </c>
      <c r="J255" s="781">
        <v>0</v>
      </c>
      <c r="K255" s="782">
        <v>0</v>
      </c>
      <c r="L255" s="783">
        <v>0</v>
      </c>
      <c r="M255" s="784">
        <v>0</v>
      </c>
      <c r="N255" s="785">
        <v>0</v>
      </c>
      <c r="O255" s="786">
        <v>0</v>
      </c>
      <c r="P255" s="787">
        <v>0</v>
      </c>
      <c r="Q255" s="861">
        <v>0</v>
      </c>
      <c r="R255" s="778">
        <v>0</v>
      </c>
      <c r="S255" s="780">
        <f t="shared" si="34"/>
        <v>0</v>
      </c>
      <c r="T255" s="754"/>
      <c r="U255" s="789"/>
      <c r="V255" s="789"/>
      <c r="W255" s="789"/>
      <c r="X255" s="789"/>
      <c r="Y255" s="767"/>
      <c r="Z255" s="767"/>
    </row>
    <row r="256" spans="1:26">
      <c r="A256" s="774" t="s">
        <v>740</v>
      </c>
      <c r="B256" s="774" t="s">
        <v>756</v>
      </c>
      <c r="C256" s="775">
        <v>247</v>
      </c>
      <c r="D256" s="776" t="str">
        <f t="shared" si="38"/>
        <v>2340.046</v>
      </c>
      <c r="E256" s="832" t="s">
        <v>757</v>
      </c>
      <c r="F256" s="778">
        <v>0</v>
      </c>
      <c r="G256" s="860">
        <v>0</v>
      </c>
      <c r="H256" s="780">
        <v>0</v>
      </c>
      <c r="I256" s="780">
        <v>0</v>
      </c>
      <c r="J256" s="781">
        <v>0</v>
      </c>
      <c r="K256" s="782">
        <v>0</v>
      </c>
      <c r="L256" s="783">
        <v>0</v>
      </c>
      <c r="M256" s="784">
        <v>0</v>
      </c>
      <c r="N256" s="785">
        <v>0</v>
      </c>
      <c r="O256" s="786">
        <v>0</v>
      </c>
      <c r="P256" s="787">
        <v>0</v>
      </c>
      <c r="Q256" s="861">
        <v>0</v>
      </c>
      <c r="R256" s="778">
        <v>0</v>
      </c>
      <c r="S256" s="780">
        <f t="shared" si="34"/>
        <v>0</v>
      </c>
      <c r="T256" s="754"/>
      <c r="U256" s="789"/>
      <c r="V256" s="789"/>
      <c r="W256" s="789"/>
      <c r="X256" s="789"/>
      <c r="Y256" s="767"/>
      <c r="Z256" s="767"/>
    </row>
    <row r="257" spans="1:26">
      <c r="A257" s="750" t="s">
        <v>740</v>
      </c>
      <c r="B257" s="750" t="s">
        <v>758</v>
      </c>
      <c r="C257" s="775">
        <v>248</v>
      </c>
      <c r="D257" s="752" t="str">
        <f t="shared" si="38"/>
        <v>2340.047</v>
      </c>
      <c r="E257" s="832" t="s">
        <v>759</v>
      </c>
      <c r="F257" s="778">
        <v>0</v>
      </c>
      <c r="G257" s="860">
        <v>0</v>
      </c>
      <c r="H257" s="780">
        <v>0</v>
      </c>
      <c r="I257" s="780">
        <v>0</v>
      </c>
      <c r="J257" s="781">
        <v>0</v>
      </c>
      <c r="K257" s="782">
        <v>0</v>
      </c>
      <c r="L257" s="783">
        <v>0</v>
      </c>
      <c r="M257" s="784">
        <v>0</v>
      </c>
      <c r="N257" s="785">
        <v>0</v>
      </c>
      <c r="O257" s="786">
        <v>0</v>
      </c>
      <c r="P257" s="787">
        <v>0</v>
      </c>
      <c r="Q257" s="861">
        <v>0</v>
      </c>
      <c r="R257" s="778">
        <v>0</v>
      </c>
      <c r="S257" s="780">
        <f t="shared" si="34"/>
        <v>0</v>
      </c>
      <c r="T257" s="754"/>
      <c r="U257" s="789"/>
      <c r="V257" s="789"/>
      <c r="W257" s="789"/>
      <c r="X257" s="789"/>
      <c r="Y257" s="767"/>
      <c r="Z257" s="767"/>
    </row>
    <row r="258" spans="1:26">
      <c r="A258" s="774" t="s">
        <v>740</v>
      </c>
      <c r="B258" s="774" t="s">
        <v>760</v>
      </c>
      <c r="C258" s="775">
        <v>249</v>
      </c>
      <c r="D258" s="776" t="str">
        <f t="shared" si="38"/>
        <v>2340.048</v>
      </c>
      <c r="E258" s="832" t="s">
        <v>761</v>
      </c>
      <c r="F258" s="778">
        <v>-204518.47</v>
      </c>
      <c r="G258" s="860">
        <v>-202024.22</v>
      </c>
      <c r="H258" s="780">
        <v>-217632.66</v>
      </c>
      <c r="I258" s="780">
        <v>-170887.72</v>
      </c>
      <c r="J258" s="781">
        <v>-373661.5</v>
      </c>
      <c r="K258" s="782">
        <v>-197038.37</v>
      </c>
      <c r="L258" s="783">
        <v>-245944.09</v>
      </c>
      <c r="M258" s="784">
        <v>-440497.85</v>
      </c>
      <c r="N258" s="785">
        <v>-217565.91</v>
      </c>
      <c r="O258" s="786">
        <v>-203928.55</v>
      </c>
      <c r="P258" s="787">
        <v>-170616.66</v>
      </c>
      <c r="Q258" s="861">
        <v>-205381.4</v>
      </c>
      <c r="R258" s="778">
        <v>-232776.9</v>
      </c>
      <c r="S258" s="780">
        <f t="shared" si="34"/>
        <v>-238652.21791666668</v>
      </c>
      <c r="T258" s="754"/>
      <c r="U258" s="789"/>
      <c r="V258" s="789"/>
      <c r="W258" s="789"/>
      <c r="X258" s="789"/>
      <c r="Y258" s="767"/>
      <c r="Z258" s="767"/>
    </row>
    <row r="259" spans="1:26">
      <c r="A259" s="774"/>
      <c r="B259" s="774"/>
      <c r="C259" s="775">
        <v>250</v>
      </c>
      <c r="D259" s="776"/>
      <c r="E259" s="832" t="s">
        <v>762</v>
      </c>
      <c r="F259" s="802">
        <f>SUM(F248:F258)</f>
        <v>-1614644.31</v>
      </c>
      <c r="G259" s="802">
        <f t="shared" ref="G259:S259" si="39">SUM(G248:G258)</f>
        <v>-1743329.8900000001</v>
      </c>
      <c r="H259" s="802">
        <f t="shared" si="39"/>
        <v>-1595516.5999999999</v>
      </c>
      <c r="I259" s="802">
        <f t="shared" si="39"/>
        <v>-1222598.1499999999</v>
      </c>
      <c r="J259" s="802">
        <f t="shared" si="39"/>
        <v>-1097707.2000000002</v>
      </c>
      <c r="K259" s="802">
        <f t="shared" si="39"/>
        <v>-1476347.06</v>
      </c>
      <c r="L259" s="802">
        <f t="shared" si="39"/>
        <v>-1449317.81</v>
      </c>
      <c r="M259" s="802">
        <f t="shared" si="39"/>
        <v>-1437188.42</v>
      </c>
      <c r="N259" s="802">
        <f t="shared" si="39"/>
        <v>-1613796.27</v>
      </c>
      <c r="O259" s="802">
        <f t="shared" si="39"/>
        <v>-1637511.39</v>
      </c>
      <c r="P259" s="802">
        <f t="shared" si="39"/>
        <v>-1533910.44</v>
      </c>
      <c r="Q259" s="802">
        <f t="shared" si="39"/>
        <v>-1626324.72</v>
      </c>
      <c r="R259" s="802">
        <f t="shared" si="39"/>
        <v>-1606767.51</v>
      </c>
      <c r="S259" s="802">
        <f t="shared" si="39"/>
        <v>-1503687.8216666668</v>
      </c>
      <c r="T259" s="754"/>
      <c r="U259" s="789"/>
      <c r="V259" s="789"/>
      <c r="W259" s="790">
        <f>S259</f>
        <v>-1503687.8216666668</v>
      </c>
      <c r="X259" s="789"/>
      <c r="Y259" s="767"/>
      <c r="Z259" s="767"/>
    </row>
    <row r="260" spans="1:26">
      <c r="A260" s="774"/>
      <c r="B260" s="774"/>
      <c r="C260" s="775">
        <v>251</v>
      </c>
      <c r="D260" s="776"/>
      <c r="E260" s="832"/>
      <c r="F260" s="778"/>
      <c r="G260" s="860"/>
      <c r="H260" s="780"/>
      <c r="I260" s="780"/>
      <c r="J260" s="781"/>
      <c r="K260" s="782"/>
      <c r="L260" s="783"/>
      <c r="M260" s="784"/>
      <c r="N260" s="785"/>
      <c r="O260" s="786"/>
      <c r="P260" s="787"/>
      <c r="Q260" s="861"/>
      <c r="R260" s="778"/>
      <c r="S260" s="780">
        <f t="shared" si="34"/>
        <v>0</v>
      </c>
      <c r="T260" s="754"/>
      <c r="U260" s="789"/>
      <c r="V260" s="789"/>
      <c r="W260" s="789"/>
      <c r="X260" s="789"/>
      <c r="Y260" s="767"/>
      <c r="Z260" s="767"/>
    </row>
    <row r="261" spans="1:26">
      <c r="A261" s="875" t="s">
        <v>763</v>
      </c>
      <c r="B261" s="774" t="s">
        <v>410</v>
      </c>
      <c r="C261" s="775">
        <v>252</v>
      </c>
      <c r="D261" s="875" t="str">
        <f>+A261</f>
        <v>2412</v>
      </c>
      <c r="E261" s="832" t="s">
        <v>764</v>
      </c>
      <c r="F261" s="778">
        <v>0</v>
      </c>
      <c r="G261" s="860">
        <v>0</v>
      </c>
      <c r="H261" s="780">
        <v>0</v>
      </c>
      <c r="I261" s="780">
        <v>0</v>
      </c>
      <c r="J261" s="781">
        <v>0</v>
      </c>
      <c r="K261" s="782">
        <v>-699.14</v>
      </c>
      <c r="L261" s="783">
        <v>0</v>
      </c>
      <c r="M261" s="784">
        <v>0</v>
      </c>
      <c r="N261" s="785">
        <v>0</v>
      </c>
      <c r="O261" s="786">
        <v>-77.599999999999994</v>
      </c>
      <c r="P261" s="787">
        <v>0</v>
      </c>
      <c r="Q261" s="861">
        <v>-53.98</v>
      </c>
      <c r="R261" s="778">
        <v>-754.83</v>
      </c>
      <c r="S261" s="780">
        <f t="shared" si="34"/>
        <v>-100.67791666666666</v>
      </c>
      <c r="T261" s="754"/>
      <c r="U261" s="789"/>
      <c r="V261" s="789"/>
      <c r="W261" s="789"/>
      <c r="X261" s="789"/>
      <c r="Y261" s="767"/>
      <c r="Z261" s="767"/>
    </row>
    <row r="262" spans="1:26">
      <c r="A262" s="774" t="s">
        <v>765</v>
      </c>
      <c r="B262" s="774" t="s">
        <v>410</v>
      </c>
      <c r="C262" s="775">
        <v>253</v>
      </c>
      <c r="D262" s="774" t="str">
        <f>+A262</f>
        <v>2411</v>
      </c>
      <c r="E262" s="832" t="s">
        <v>766</v>
      </c>
      <c r="F262" s="778">
        <v>1.1823431123048099E-11</v>
      </c>
      <c r="G262" s="860">
        <v>0</v>
      </c>
      <c r="H262" s="780">
        <v>-695.44</v>
      </c>
      <c r="I262" s="780">
        <v>0</v>
      </c>
      <c r="J262" s="781">
        <v>0</v>
      </c>
      <c r="K262" s="782">
        <v>-2601</v>
      </c>
      <c r="L262" s="783">
        <v>0</v>
      </c>
      <c r="M262" s="784">
        <v>379.49</v>
      </c>
      <c r="N262" s="785">
        <v>0</v>
      </c>
      <c r="O262" s="786">
        <v>-217.41</v>
      </c>
      <c r="P262" s="787">
        <v>-137.08000000000001</v>
      </c>
      <c r="Q262" s="861">
        <v>-351.9</v>
      </c>
      <c r="R262" s="778">
        <v>-2787.11</v>
      </c>
      <c r="S262" s="780">
        <f t="shared" si="34"/>
        <v>-418.07458333333284</v>
      </c>
      <c r="T262" s="754"/>
      <c r="U262" s="789"/>
      <c r="V262" s="789"/>
      <c r="W262" s="789"/>
      <c r="X262" s="789"/>
      <c r="Y262" s="767"/>
      <c r="Z262" s="767"/>
    </row>
    <row r="263" spans="1:26">
      <c r="A263" s="875" t="s">
        <v>767</v>
      </c>
      <c r="B263" s="774" t="s">
        <v>410</v>
      </c>
      <c r="C263" s="775">
        <v>254</v>
      </c>
      <c r="D263" s="876" t="s">
        <v>768</v>
      </c>
      <c r="E263" s="832" t="s">
        <v>769</v>
      </c>
      <c r="F263" s="778">
        <v>0</v>
      </c>
      <c r="G263" s="860">
        <v>0</v>
      </c>
      <c r="H263" s="780">
        <v>0</v>
      </c>
      <c r="I263" s="780">
        <v>0</v>
      </c>
      <c r="J263" s="781">
        <v>0</v>
      </c>
      <c r="K263" s="782">
        <v>0</v>
      </c>
      <c r="L263" s="783">
        <v>0</v>
      </c>
      <c r="M263" s="784">
        <v>0</v>
      </c>
      <c r="N263" s="785">
        <v>0</v>
      </c>
      <c r="O263" s="786">
        <v>0</v>
      </c>
      <c r="P263" s="787">
        <v>0</v>
      </c>
      <c r="Q263" s="861">
        <v>0</v>
      </c>
      <c r="R263" s="778">
        <v>0</v>
      </c>
      <c r="S263" s="780">
        <f t="shared" si="34"/>
        <v>0</v>
      </c>
      <c r="T263" s="754"/>
      <c r="U263" s="789"/>
      <c r="V263" s="789"/>
      <c r="W263" s="789"/>
      <c r="X263" s="789"/>
      <c r="Y263" s="767"/>
      <c r="Z263" s="767"/>
    </row>
    <row r="264" spans="1:26">
      <c r="A264" s="774"/>
      <c r="B264" s="774"/>
      <c r="C264" s="775">
        <v>255</v>
      </c>
      <c r="D264" s="776"/>
      <c r="E264" s="832" t="s">
        <v>770</v>
      </c>
      <c r="F264" s="802">
        <f>SUM(F261:F263)</f>
        <v>1.1823431123048099E-11</v>
      </c>
      <c r="G264" s="802">
        <f t="shared" ref="G264:S264" si="40">SUM(G261:G263)</f>
        <v>0</v>
      </c>
      <c r="H264" s="802">
        <f t="shared" si="40"/>
        <v>-695.44</v>
      </c>
      <c r="I264" s="802">
        <f t="shared" si="40"/>
        <v>0</v>
      </c>
      <c r="J264" s="802">
        <f t="shared" si="40"/>
        <v>0</v>
      </c>
      <c r="K264" s="802">
        <f t="shared" si="40"/>
        <v>-3300.14</v>
      </c>
      <c r="L264" s="802">
        <f t="shared" si="40"/>
        <v>0</v>
      </c>
      <c r="M264" s="802">
        <f t="shared" si="40"/>
        <v>379.49</v>
      </c>
      <c r="N264" s="802">
        <f t="shared" si="40"/>
        <v>0</v>
      </c>
      <c r="O264" s="802">
        <f t="shared" si="40"/>
        <v>-295.01</v>
      </c>
      <c r="P264" s="802">
        <f t="shared" si="40"/>
        <v>-137.08000000000001</v>
      </c>
      <c r="Q264" s="802">
        <f t="shared" si="40"/>
        <v>-405.88</v>
      </c>
      <c r="R264" s="802">
        <f t="shared" si="40"/>
        <v>-3541.94</v>
      </c>
      <c r="S264" s="802">
        <f t="shared" si="40"/>
        <v>-518.75249999999949</v>
      </c>
      <c r="T264" s="754"/>
      <c r="U264" s="789"/>
      <c r="V264" s="789"/>
      <c r="W264" s="789"/>
      <c r="X264" s="790">
        <f>S264</f>
        <v>-518.75249999999949</v>
      </c>
      <c r="Y264" s="767"/>
      <c r="Z264" s="767"/>
    </row>
    <row r="265" spans="1:26">
      <c r="A265" s="774"/>
      <c r="B265" s="774"/>
      <c r="C265" s="775">
        <v>256</v>
      </c>
      <c r="D265" s="776"/>
      <c r="E265" s="832"/>
      <c r="F265" s="778"/>
      <c r="G265" s="860"/>
      <c r="H265" s="780"/>
      <c r="I265" s="780"/>
      <c r="J265" s="781"/>
      <c r="K265" s="782"/>
      <c r="L265" s="783"/>
      <c r="M265" s="784"/>
      <c r="N265" s="785"/>
      <c r="O265" s="786"/>
      <c r="P265" s="787"/>
      <c r="Q265" s="861"/>
      <c r="R265" s="778"/>
      <c r="S265" s="780">
        <f t="shared" si="34"/>
        <v>0</v>
      </c>
      <c r="T265" s="754"/>
      <c r="U265" s="789"/>
      <c r="V265" s="789"/>
      <c r="W265" s="789"/>
      <c r="X265" s="789"/>
      <c r="Y265" s="767"/>
      <c r="Z265" s="767"/>
    </row>
    <row r="266" spans="1:26">
      <c r="A266" s="774"/>
      <c r="B266" s="774"/>
      <c r="C266" s="775">
        <v>257</v>
      </c>
      <c r="D266" s="776"/>
      <c r="E266" s="832" t="s">
        <v>771</v>
      </c>
      <c r="F266" s="802">
        <f>SUM(F236:F246)+F259+F264</f>
        <v>-22633842.149999999</v>
      </c>
      <c r="G266" s="802">
        <f t="shared" ref="G266:S266" si="41">SUM(G236:G246)+G259+G264</f>
        <v>-22151150.93</v>
      </c>
      <c r="H266" s="802">
        <f t="shared" si="41"/>
        <v>-16087153.319999998</v>
      </c>
      <c r="I266" s="802">
        <f t="shared" si="41"/>
        <v>-14740573.209999999</v>
      </c>
      <c r="J266" s="802">
        <f t="shared" si="41"/>
        <v>-12570599.280000001</v>
      </c>
      <c r="K266" s="802">
        <f t="shared" si="41"/>
        <v>-11859772.060000002</v>
      </c>
      <c r="L266" s="802">
        <f t="shared" si="41"/>
        <v>-10102244.73</v>
      </c>
      <c r="M266" s="802">
        <f t="shared" si="41"/>
        <v>-10622401.389999999</v>
      </c>
      <c r="N266" s="802">
        <f t="shared" si="41"/>
        <v>-12616861.839999998</v>
      </c>
      <c r="O266" s="802">
        <f t="shared" si="41"/>
        <v>-13512792.73</v>
      </c>
      <c r="P266" s="802">
        <f t="shared" si="41"/>
        <v>-13271836.649999999</v>
      </c>
      <c r="Q266" s="802">
        <f t="shared" si="41"/>
        <v>-18377533.939999998</v>
      </c>
      <c r="R266" s="802">
        <f t="shared" si="41"/>
        <v>-30373320.170000006</v>
      </c>
      <c r="S266" s="802">
        <f t="shared" si="41"/>
        <v>-15201375.103333334</v>
      </c>
      <c r="T266" s="754"/>
      <c r="U266" s="789"/>
      <c r="V266" s="789"/>
      <c r="W266" s="789"/>
      <c r="X266" s="789"/>
      <c r="Y266" s="767"/>
      <c r="Z266" s="767"/>
    </row>
    <row r="267" spans="1:26">
      <c r="A267" s="774"/>
      <c r="B267" s="774"/>
      <c r="C267" s="775">
        <v>258</v>
      </c>
      <c r="D267" s="776"/>
      <c r="E267" s="832"/>
      <c r="F267" s="778"/>
      <c r="G267" s="860"/>
      <c r="H267" s="780"/>
      <c r="I267" s="780"/>
      <c r="J267" s="781"/>
      <c r="K267" s="782"/>
      <c r="L267" s="783"/>
      <c r="M267" s="784"/>
      <c r="N267" s="785"/>
      <c r="O267" s="786"/>
      <c r="P267" s="787"/>
      <c r="Q267" s="861"/>
      <c r="R267" s="778"/>
      <c r="S267" s="780">
        <f t="shared" si="34"/>
        <v>0</v>
      </c>
      <c r="T267" s="754"/>
      <c r="U267" s="789"/>
      <c r="V267" s="789"/>
      <c r="W267" s="789"/>
      <c r="X267" s="789"/>
      <c r="Y267" s="767"/>
      <c r="Z267" s="767"/>
    </row>
    <row r="268" spans="1:26">
      <c r="A268" s="875" t="s">
        <v>772</v>
      </c>
      <c r="B268" s="774" t="s">
        <v>410</v>
      </c>
      <c r="C268" s="775">
        <v>259</v>
      </c>
      <c r="D268" s="774" t="str">
        <f>+A268</f>
        <v>2360</v>
      </c>
      <c r="E268" s="832" t="s">
        <v>773</v>
      </c>
      <c r="F268" s="778">
        <v>0</v>
      </c>
      <c r="G268" s="860">
        <v>0</v>
      </c>
      <c r="H268" s="780">
        <v>0</v>
      </c>
      <c r="I268" s="780">
        <v>0</v>
      </c>
      <c r="J268" s="781">
        <v>0</v>
      </c>
      <c r="K268" s="782">
        <v>0</v>
      </c>
      <c r="L268" s="783">
        <v>0</v>
      </c>
      <c r="M268" s="784">
        <v>0</v>
      </c>
      <c r="N268" s="785">
        <v>0</v>
      </c>
      <c r="O268" s="786">
        <v>0</v>
      </c>
      <c r="P268" s="787">
        <v>0</v>
      </c>
      <c r="Q268" s="861">
        <v>0</v>
      </c>
      <c r="R268" s="778">
        <v>0</v>
      </c>
      <c r="S268" s="780">
        <f t="shared" ref="S268:S331" si="42">((F268+R268)+((G268+H268+I268+J268+K268+L268+M268+N268+O268+P268+Q268)*2))/24</f>
        <v>0</v>
      </c>
      <c r="T268" s="754"/>
      <c r="U268" s="789"/>
      <c r="V268" s="789"/>
      <c r="W268" s="789"/>
      <c r="X268" s="789"/>
      <c r="Y268" s="767"/>
      <c r="Z268" s="767"/>
    </row>
    <row r="269" spans="1:26">
      <c r="A269" s="774" t="s">
        <v>774</v>
      </c>
      <c r="B269" s="774" t="s">
        <v>775</v>
      </c>
      <c r="C269" s="775">
        <v>260</v>
      </c>
      <c r="D269" s="776" t="str">
        <f>A269&amp;"."&amp;B269</f>
        <v>2361.[*,/42]</v>
      </c>
      <c r="E269" s="832" t="s">
        <v>773</v>
      </c>
      <c r="F269" s="778">
        <v>-3146070.65</v>
      </c>
      <c r="G269" s="860">
        <v>-5705128.3399999999</v>
      </c>
      <c r="H269" s="780">
        <v>-7218842.3799999999</v>
      </c>
      <c r="I269" s="780">
        <v>-8753908.4600000009</v>
      </c>
      <c r="J269" s="781">
        <v>-7336181.04</v>
      </c>
      <c r="K269" s="782">
        <v>-6717155.0099999998</v>
      </c>
      <c r="L269" s="783">
        <v>-4016331.79</v>
      </c>
      <c r="M269" s="784">
        <v>-3363136.22</v>
      </c>
      <c r="N269" s="785">
        <v>-2384259.7599999998</v>
      </c>
      <c r="O269" s="786">
        <v>-9.3132257461547893E-10</v>
      </c>
      <c r="P269" s="787">
        <v>-9.3132257461547893E-10</v>
      </c>
      <c r="Q269" s="861">
        <v>-9.3132257461547893E-10</v>
      </c>
      <c r="R269" s="778">
        <v>-1288737.78</v>
      </c>
      <c r="S269" s="780">
        <f t="shared" si="42"/>
        <v>-3976028.9345833324</v>
      </c>
      <c r="T269" s="754"/>
      <c r="U269" s="789"/>
      <c r="V269" s="789"/>
      <c r="W269" s="789"/>
      <c r="X269" s="790">
        <f>S269</f>
        <v>-3976028.9345833324</v>
      </c>
      <c r="Y269" s="767"/>
      <c r="Z269" s="767"/>
    </row>
    <row r="270" spans="1:26">
      <c r="A270" s="875" t="s">
        <v>774</v>
      </c>
      <c r="B270" s="774" t="s">
        <v>776</v>
      </c>
      <c r="C270" s="775">
        <v>261</v>
      </c>
      <c r="D270" s="776" t="str">
        <f>A270&amp;"."&amp;B270</f>
        <v>2361.[42*]</v>
      </c>
      <c r="E270" s="774" t="s">
        <v>777</v>
      </c>
      <c r="F270" s="778">
        <v>0</v>
      </c>
      <c r="G270" s="860">
        <v>0</v>
      </c>
      <c r="H270" s="780">
        <v>0</v>
      </c>
      <c r="I270" s="780">
        <v>0</v>
      </c>
      <c r="J270" s="781">
        <v>0</v>
      </c>
      <c r="K270" s="782">
        <v>0</v>
      </c>
      <c r="L270" s="783">
        <v>0</v>
      </c>
      <c r="M270" s="784">
        <v>0</v>
      </c>
      <c r="N270" s="785">
        <v>0</v>
      </c>
      <c r="O270" s="786">
        <v>0</v>
      </c>
      <c r="P270" s="787">
        <v>0</v>
      </c>
      <c r="Q270" s="861">
        <v>0</v>
      </c>
      <c r="R270" s="778">
        <v>0</v>
      </c>
      <c r="S270" s="780">
        <f t="shared" si="42"/>
        <v>0</v>
      </c>
      <c r="T270" s="754"/>
      <c r="U270" s="789"/>
      <c r="V270" s="789"/>
      <c r="W270" s="789"/>
      <c r="X270" s="789"/>
      <c r="Y270" s="767"/>
      <c r="Z270" s="767"/>
    </row>
    <row r="271" spans="1:26">
      <c r="A271" s="774" t="s">
        <v>778</v>
      </c>
      <c r="B271" s="774" t="s">
        <v>410</v>
      </c>
      <c r="C271" s="775">
        <v>262</v>
      </c>
      <c r="D271" s="886" t="str">
        <f t="shared" ref="D271:D279" si="43">+A271</f>
        <v>2362</v>
      </c>
      <c r="E271" s="832" t="s">
        <v>779</v>
      </c>
      <c r="F271" s="778">
        <v>-122306.54</v>
      </c>
      <c r="G271" s="860">
        <v>-180888.21</v>
      </c>
      <c r="H271" s="780">
        <v>-240693.32</v>
      </c>
      <c r="I271" s="780">
        <v>-246824.67</v>
      </c>
      <c r="J271" s="781">
        <v>-235163.68</v>
      </c>
      <c r="K271" s="782">
        <v>-253498.68</v>
      </c>
      <c r="L271" s="783">
        <v>-277379.96000000002</v>
      </c>
      <c r="M271" s="784">
        <v>-92035.25</v>
      </c>
      <c r="N271" s="785">
        <v>-54725.34</v>
      </c>
      <c r="O271" s="786">
        <v>-72074.740000000005</v>
      </c>
      <c r="P271" s="787">
        <v>-76481.72</v>
      </c>
      <c r="Q271" s="861">
        <v>-84109.16</v>
      </c>
      <c r="R271" s="778">
        <v>-118694.05</v>
      </c>
      <c r="S271" s="780">
        <f t="shared" si="42"/>
        <v>-161197.91874999998</v>
      </c>
      <c r="T271" s="754"/>
      <c r="U271" s="789"/>
      <c r="V271" s="789"/>
      <c r="W271" s="789"/>
      <c r="X271" s="790">
        <f>S271</f>
        <v>-161197.91874999998</v>
      </c>
      <c r="Y271" s="767"/>
      <c r="Z271" s="767"/>
    </row>
    <row r="272" spans="1:26">
      <c r="A272" s="774" t="s">
        <v>780</v>
      </c>
      <c r="B272" s="774" t="s">
        <v>410</v>
      </c>
      <c r="C272" s="775">
        <v>263</v>
      </c>
      <c r="D272" s="886" t="str">
        <f t="shared" si="43"/>
        <v>2363</v>
      </c>
      <c r="E272" s="832" t="s">
        <v>781</v>
      </c>
      <c r="F272" s="778">
        <v>-18648.22</v>
      </c>
      <c r="G272" s="860">
        <v>-25906.68</v>
      </c>
      <c r="H272" s="780">
        <v>-24929.919999999998</v>
      </c>
      <c r="I272" s="780">
        <v>-36510.44</v>
      </c>
      <c r="J272" s="781">
        <v>-25525.56</v>
      </c>
      <c r="K272" s="782">
        <v>-11675.53</v>
      </c>
      <c r="L272" s="783">
        <v>-27399.52</v>
      </c>
      <c r="M272" s="784">
        <v>-14856.45</v>
      </c>
      <c r="N272" s="785">
        <v>-66036.5</v>
      </c>
      <c r="O272" s="786">
        <v>-23630.07</v>
      </c>
      <c r="P272" s="787">
        <v>-16631.990000000002</v>
      </c>
      <c r="Q272" s="861">
        <v>-18980.849999999999</v>
      </c>
      <c r="R272" s="778">
        <v>-20818.02</v>
      </c>
      <c r="S272" s="780">
        <f t="shared" si="42"/>
        <v>-25984.719166666666</v>
      </c>
      <c r="T272" s="754"/>
      <c r="U272" s="789"/>
      <c r="V272" s="789"/>
      <c r="W272" s="789"/>
      <c r="X272" s="790">
        <f>S272</f>
        <v>-25984.719166666666</v>
      </c>
      <c r="Y272" s="767"/>
      <c r="Z272" s="767"/>
    </row>
    <row r="273" spans="1:26">
      <c r="A273" s="774" t="s">
        <v>782</v>
      </c>
      <c r="B273" s="774" t="s">
        <v>410</v>
      </c>
      <c r="C273" s="775">
        <v>264</v>
      </c>
      <c r="D273" s="886" t="str">
        <f t="shared" si="43"/>
        <v>2364</v>
      </c>
      <c r="E273" s="832" t="s">
        <v>783</v>
      </c>
      <c r="F273" s="778">
        <v>-7203684.0999999996</v>
      </c>
      <c r="G273" s="860">
        <v>-7861630.9900000002</v>
      </c>
      <c r="H273" s="780">
        <v>-7668156.0499999998</v>
      </c>
      <c r="I273" s="780">
        <v>-7460719.6799999997</v>
      </c>
      <c r="J273" s="781">
        <v>-4502549.17</v>
      </c>
      <c r="K273" s="782">
        <v>-4299002.71</v>
      </c>
      <c r="L273" s="783">
        <v>-4545677.1399999997</v>
      </c>
      <c r="M273" s="784">
        <v>-4296397.0999999996</v>
      </c>
      <c r="N273" s="785">
        <v>-3299189.06</v>
      </c>
      <c r="O273" s="786">
        <v>-3817457.33</v>
      </c>
      <c r="P273" s="787">
        <v>-4325709.76</v>
      </c>
      <c r="Q273" s="861">
        <v>-4854347.59</v>
      </c>
      <c r="R273" s="778">
        <v>-6990642.5199999996</v>
      </c>
      <c r="S273" s="780">
        <f t="shared" si="42"/>
        <v>-5335666.6574999997</v>
      </c>
      <c r="T273" s="754"/>
      <c r="U273" s="789"/>
      <c r="V273" s="789"/>
      <c r="W273" s="789"/>
      <c r="X273" s="790">
        <f>S273</f>
        <v>-5335666.6574999997</v>
      </c>
      <c r="Y273" s="767"/>
      <c r="Z273" s="767"/>
    </row>
    <row r="274" spans="1:26">
      <c r="A274" s="774" t="s">
        <v>784</v>
      </c>
      <c r="B274" s="774" t="s">
        <v>410</v>
      </c>
      <c r="C274" s="775">
        <v>265</v>
      </c>
      <c r="D274" s="774" t="str">
        <f t="shared" si="43"/>
        <v>2380</v>
      </c>
      <c r="E274" s="832" t="s">
        <v>785</v>
      </c>
      <c r="F274" s="778">
        <v>-4160000</v>
      </c>
      <c r="G274" s="860">
        <v>0</v>
      </c>
      <c r="H274" s="780">
        <v>-4160000</v>
      </c>
      <c r="I274" s="780">
        <v>-4160000</v>
      </c>
      <c r="J274" s="781">
        <v>0</v>
      </c>
      <c r="K274" s="782">
        <v>-4160000</v>
      </c>
      <c r="L274" s="783">
        <v>-4160000</v>
      </c>
      <c r="M274" s="784">
        <v>0</v>
      </c>
      <c r="N274" s="785">
        <v>-4160000</v>
      </c>
      <c r="O274" s="786">
        <v>-4160000</v>
      </c>
      <c r="P274" s="787">
        <v>0</v>
      </c>
      <c r="Q274" s="861">
        <v>-4160000</v>
      </c>
      <c r="R274" s="778">
        <v>-4160000</v>
      </c>
      <c r="S274" s="780">
        <f t="shared" si="42"/>
        <v>-2773333.3333333335</v>
      </c>
      <c r="T274" s="754"/>
      <c r="U274" s="790"/>
      <c r="V274" s="789"/>
      <c r="W274" s="789"/>
      <c r="X274" s="790">
        <f>+S274</f>
        <v>-2773333.3333333335</v>
      </c>
      <c r="Y274" s="767"/>
      <c r="Z274" s="767"/>
    </row>
    <row r="275" spans="1:26">
      <c r="A275" s="774" t="s">
        <v>786</v>
      </c>
      <c r="B275" s="774" t="s">
        <v>410</v>
      </c>
      <c r="C275" s="775">
        <v>266</v>
      </c>
      <c r="D275" s="774" t="str">
        <f t="shared" si="43"/>
        <v>2351</v>
      </c>
      <c r="E275" s="832" t="s">
        <v>787</v>
      </c>
      <c r="F275" s="778">
        <v>-1061068.4099999999</v>
      </c>
      <c r="G275" s="860">
        <v>-1036223.43</v>
      </c>
      <c r="H275" s="780">
        <v>-1033621.39</v>
      </c>
      <c r="I275" s="780">
        <v>-998194.75</v>
      </c>
      <c r="J275" s="781">
        <v>-975157.17</v>
      </c>
      <c r="K275" s="782">
        <v>-947442.57</v>
      </c>
      <c r="L275" s="783">
        <v>-899116.73</v>
      </c>
      <c r="M275" s="784">
        <v>-884343.3</v>
      </c>
      <c r="N275" s="785">
        <v>-871879.41</v>
      </c>
      <c r="O275" s="786">
        <v>-834316.95</v>
      </c>
      <c r="P275" s="787">
        <v>-846708.09</v>
      </c>
      <c r="Q275" s="861">
        <v>-863050.89</v>
      </c>
      <c r="R275" s="778">
        <v>-874939.13</v>
      </c>
      <c r="S275" s="780">
        <f t="shared" si="42"/>
        <v>-929838.20416666672</v>
      </c>
      <c r="T275" s="754"/>
      <c r="U275" s="789"/>
      <c r="V275" s="789"/>
      <c r="W275" s="790">
        <f>S275</f>
        <v>-929838.20416666672</v>
      </c>
      <c r="X275" s="789"/>
      <c r="Y275" s="767"/>
      <c r="Z275" s="767"/>
    </row>
    <row r="276" spans="1:26">
      <c r="A276" s="774" t="s">
        <v>788</v>
      </c>
      <c r="B276" s="774" t="s">
        <v>410</v>
      </c>
      <c r="C276" s="775">
        <v>267</v>
      </c>
      <c r="D276" s="774" t="str">
        <f t="shared" si="43"/>
        <v>2370</v>
      </c>
      <c r="E276" s="832" t="s">
        <v>789</v>
      </c>
      <c r="F276" s="778">
        <v>0</v>
      </c>
      <c r="G276" s="860">
        <v>0</v>
      </c>
      <c r="H276" s="780">
        <v>0</v>
      </c>
      <c r="I276" s="780">
        <v>0</v>
      </c>
      <c r="J276" s="781">
        <v>0</v>
      </c>
      <c r="K276" s="782">
        <v>0</v>
      </c>
      <c r="L276" s="783">
        <v>0</v>
      </c>
      <c r="M276" s="784">
        <v>0</v>
      </c>
      <c r="N276" s="785">
        <v>0</v>
      </c>
      <c r="O276" s="786">
        <v>0</v>
      </c>
      <c r="P276" s="787">
        <v>0</v>
      </c>
      <c r="Q276" s="861">
        <v>0</v>
      </c>
      <c r="R276" s="778">
        <v>0</v>
      </c>
      <c r="S276" s="780">
        <f t="shared" si="42"/>
        <v>0</v>
      </c>
      <c r="T276" s="754"/>
      <c r="U276" s="789"/>
      <c r="V276" s="789"/>
      <c r="W276" s="789"/>
      <c r="X276" s="789"/>
      <c r="Y276" s="767"/>
      <c r="Z276" s="767"/>
    </row>
    <row r="277" spans="1:26">
      <c r="A277" s="774" t="s">
        <v>790</v>
      </c>
      <c r="B277" s="774" t="s">
        <v>410</v>
      </c>
      <c r="C277" s="775">
        <v>268</v>
      </c>
      <c r="D277" s="774" t="str">
        <f t="shared" si="43"/>
        <v>2371</v>
      </c>
      <c r="E277" s="832" t="s">
        <v>791</v>
      </c>
      <c r="F277" s="778">
        <v>0</v>
      </c>
      <c r="G277" s="860">
        <v>0</v>
      </c>
      <c r="H277" s="780">
        <v>0</v>
      </c>
      <c r="I277" s="780">
        <v>0</v>
      </c>
      <c r="J277" s="781">
        <v>0</v>
      </c>
      <c r="K277" s="782">
        <v>0</v>
      </c>
      <c r="L277" s="783">
        <v>0</v>
      </c>
      <c r="M277" s="784">
        <v>0</v>
      </c>
      <c r="N277" s="785">
        <v>0</v>
      </c>
      <c r="O277" s="786">
        <v>0</v>
      </c>
      <c r="P277" s="787">
        <v>0</v>
      </c>
      <c r="Q277" s="861">
        <v>0</v>
      </c>
      <c r="R277" s="778">
        <v>0</v>
      </c>
      <c r="S277" s="780">
        <f t="shared" si="42"/>
        <v>0</v>
      </c>
      <c r="T277" s="754"/>
      <c r="U277" s="789"/>
      <c r="V277" s="789"/>
      <c r="W277" s="789"/>
      <c r="X277" s="789"/>
      <c r="Y277" s="767"/>
      <c r="Z277" s="767"/>
    </row>
    <row r="278" spans="1:26">
      <c r="A278" s="774" t="s">
        <v>792</v>
      </c>
      <c r="B278" s="774" t="s">
        <v>410</v>
      </c>
      <c r="C278" s="775">
        <v>269</v>
      </c>
      <c r="D278" s="774" t="str">
        <f t="shared" si="43"/>
        <v>2372</v>
      </c>
      <c r="E278" s="832" t="s">
        <v>793</v>
      </c>
      <c r="F278" s="778">
        <v>-3114287.11</v>
      </c>
      <c r="G278" s="860">
        <v>-3522755.65</v>
      </c>
      <c r="H278" s="780">
        <v>-3070149.83</v>
      </c>
      <c r="I278" s="780">
        <v>-2450274.6</v>
      </c>
      <c r="J278" s="781">
        <v>-2098799.39</v>
      </c>
      <c r="K278" s="782">
        <v>-2184756.06</v>
      </c>
      <c r="L278" s="783">
        <v>-3113412.11</v>
      </c>
      <c r="M278" s="784">
        <v>-3521443.15</v>
      </c>
      <c r="N278" s="785">
        <v>-3069852.31</v>
      </c>
      <c r="O278" s="786">
        <v>-2449679.61</v>
      </c>
      <c r="P278" s="787">
        <v>-2097906.89</v>
      </c>
      <c r="Q278" s="861">
        <v>-2184677.31</v>
      </c>
      <c r="R278" s="778">
        <v>-3113254.61</v>
      </c>
      <c r="S278" s="780">
        <f t="shared" si="42"/>
        <v>-2739789.8141666665</v>
      </c>
      <c r="T278" s="754"/>
      <c r="U278" s="789"/>
      <c r="V278" s="789"/>
      <c r="W278" s="789"/>
      <c r="X278" s="790">
        <f t="shared" ref="X278:X284" si="44">S278</f>
        <v>-2739789.8141666665</v>
      </c>
      <c r="Y278" s="767"/>
      <c r="Z278" s="767"/>
    </row>
    <row r="279" spans="1:26">
      <c r="A279" s="774" t="s">
        <v>794</v>
      </c>
      <c r="B279" s="774" t="s">
        <v>410</v>
      </c>
      <c r="C279" s="775">
        <v>270</v>
      </c>
      <c r="D279" s="774" t="str">
        <f t="shared" si="43"/>
        <v>2422</v>
      </c>
      <c r="E279" s="832" t="s">
        <v>795</v>
      </c>
      <c r="F279" s="778">
        <v>-1093655.54</v>
      </c>
      <c r="G279" s="860">
        <v>-1299704.98</v>
      </c>
      <c r="H279" s="780">
        <v>-1498001.43</v>
      </c>
      <c r="I279" s="780">
        <v>-901051.54</v>
      </c>
      <c r="J279" s="781">
        <v>-1108004.83</v>
      </c>
      <c r="K279" s="782">
        <v>-1391174.36</v>
      </c>
      <c r="L279" s="783">
        <v>-1751963.37</v>
      </c>
      <c r="M279" s="784">
        <v>-1779240.85</v>
      </c>
      <c r="N279" s="785">
        <v>-1312978.69</v>
      </c>
      <c r="O279" s="786">
        <v>-1570905.58</v>
      </c>
      <c r="P279" s="787">
        <v>-1805079.83</v>
      </c>
      <c r="Q279" s="861">
        <v>-2157913.0099999998</v>
      </c>
      <c r="R279" s="778">
        <v>-2518715.25</v>
      </c>
      <c r="S279" s="780">
        <f t="shared" si="42"/>
        <v>-1531850.3220833335</v>
      </c>
      <c r="T279" s="754"/>
      <c r="U279" s="789"/>
      <c r="V279" s="789"/>
      <c r="W279" s="789"/>
      <c r="X279" s="790">
        <f t="shared" si="44"/>
        <v>-1531850.3220833335</v>
      </c>
      <c r="Y279" s="767"/>
      <c r="Z279" s="767"/>
    </row>
    <row r="280" spans="1:26">
      <c r="A280" s="774" t="s">
        <v>796</v>
      </c>
      <c r="B280" s="774" t="s">
        <v>730</v>
      </c>
      <c r="C280" s="775">
        <v>271</v>
      </c>
      <c r="D280" s="776" t="str">
        <f>A280&amp;"."&amp;B280</f>
        <v>2420.[2*,/217]</v>
      </c>
      <c r="E280" s="832" t="s">
        <v>797</v>
      </c>
      <c r="F280" s="778">
        <v>-10188969.5</v>
      </c>
      <c r="G280" s="860">
        <v>-6937069.1699999999</v>
      </c>
      <c r="H280" s="780">
        <v>-6250877.6799999997</v>
      </c>
      <c r="I280" s="780">
        <v>-5763303.1699999999</v>
      </c>
      <c r="J280" s="781">
        <v>-5782032.4199999999</v>
      </c>
      <c r="K280" s="782">
        <v>-6585683.3399999999</v>
      </c>
      <c r="L280" s="783">
        <v>-8962969.2899999991</v>
      </c>
      <c r="M280" s="784">
        <v>-10237086.550000001</v>
      </c>
      <c r="N280" s="785">
        <v>-9826250.1699999999</v>
      </c>
      <c r="O280" s="786">
        <v>-11151490.91</v>
      </c>
      <c r="P280" s="787">
        <v>-14648505.33</v>
      </c>
      <c r="Q280" s="861">
        <v>-11549414.300000001</v>
      </c>
      <c r="R280" s="778">
        <v>-8845744.0899999999</v>
      </c>
      <c r="S280" s="780">
        <f t="shared" si="42"/>
        <v>-8934336.5937499981</v>
      </c>
      <c r="T280" s="754"/>
      <c r="U280" s="789"/>
      <c r="V280" s="789"/>
      <c r="W280" s="789"/>
      <c r="X280" s="790">
        <f t="shared" si="44"/>
        <v>-8934336.5937499981</v>
      </c>
      <c r="Y280" s="767"/>
      <c r="Z280" s="767"/>
    </row>
    <row r="281" spans="1:26">
      <c r="A281" s="774" t="s">
        <v>796</v>
      </c>
      <c r="B281" s="774" t="s">
        <v>732</v>
      </c>
      <c r="C281" s="775">
        <v>272</v>
      </c>
      <c r="D281" s="776" t="str">
        <f>A281&amp;"."&amp;B281</f>
        <v>2420.[217*]</v>
      </c>
      <c r="E281" s="832" t="s">
        <v>505</v>
      </c>
      <c r="F281" s="778">
        <v>-601131.21</v>
      </c>
      <c r="G281" s="860">
        <v>-108778.56</v>
      </c>
      <c r="H281" s="780">
        <v>-132781.67000000001</v>
      </c>
      <c r="I281" s="780">
        <v>8.7311491370201098E-11</v>
      </c>
      <c r="J281" s="781">
        <v>-118681.95</v>
      </c>
      <c r="K281" s="782">
        <v>-38588.779999999897</v>
      </c>
      <c r="L281" s="783">
        <v>-730937.53</v>
      </c>
      <c r="M281" s="784">
        <v>-475031.73</v>
      </c>
      <c r="N281" s="785">
        <v>-505192.28</v>
      </c>
      <c r="O281" s="786">
        <v>-89030.549999999901</v>
      </c>
      <c r="P281" s="787">
        <v>-520709.52</v>
      </c>
      <c r="Q281" s="861">
        <v>-95607.389999999898</v>
      </c>
      <c r="R281" s="778">
        <v>-1551284.94</v>
      </c>
      <c r="S281" s="780">
        <f t="shared" si="42"/>
        <v>-324295.66958333337</v>
      </c>
      <c r="T281" s="754"/>
      <c r="U281" s="789"/>
      <c r="V281" s="789"/>
      <c r="W281" s="789"/>
      <c r="X281" s="790">
        <f t="shared" si="44"/>
        <v>-324295.66958333337</v>
      </c>
      <c r="Y281" s="767"/>
      <c r="Z281" s="767"/>
    </row>
    <row r="282" spans="1:26">
      <c r="A282" s="774" t="s">
        <v>798</v>
      </c>
      <c r="B282" s="774" t="s">
        <v>410</v>
      </c>
      <c r="C282" s="775">
        <v>273</v>
      </c>
      <c r="D282" s="774" t="str">
        <f>+A282</f>
        <v>2423</v>
      </c>
      <c r="E282" s="832" t="s">
        <v>799</v>
      </c>
      <c r="F282" s="778">
        <v>-1830287.74</v>
      </c>
      <c r="G282" s="860">
        <v>-1830287.74</v>
      </c>
      <c r="H282" s="780">
        <v>-1830287.74</v>
      </c>
      <c r="I282" s="780">
        <v>-1832155.73</v>
      </c>
      <c r="J282" s="781">
        <v>-1832155.73</v>
      </c>
      <c r="K282" s="782">
        <v>-1832155.73</v>
      </c>
      <c r="L282" s="783">
        <v>-1835522.18</v>
      </c>
      <c r="M282" s="784">
        <v>-1835522.18</v>
      </c>
      <c r="N282" s="785">
        <v>-1835522.18</v>
      </c>
      <c r="O282" s="786">
        <v>-1921571.95</v>
      </c>
      <c r="P282" s="787">
        <v>-1921571.95</v>
      </c>
      <c r="Q282" s="861">
        <v>-1921571.95</v>
      </c>
      <c r="R282" s="778">
        <v>-1970912.73</v>
      </c>
      <c r="S282" s="780">
        <f t="shared" si="42"/>
        <v>-1860743.7745833332</v>
      </c>
      <c r="T282" s="754"/>
      <c r="U282" s="789"/>
      <c r="V282" s="789"/>
      <c r="W282" s="789"/>
      <c r="X282" s="790">
        <f t="shared" si="44"/>
        <v>-1860743.7745833332</v>
      </c>
      <c r="Y282" s="767"/>
      <c r="Z282" s="767"/>
    </row>
    <row r="283" spans="1:26">
      <c r="A283" s="875" t="s">
        <v>800</v>
      </c>
      <c r="B283" s="774" t="s">
        <v>801</v>
      </c>
      <c r="C283" s="775">
        <v>274</v>
      </c>
      <c r="D283" s="776" t="str">
        <f>A283&amp;"."&amp;B283</f>
        <v>2429.[4*,00*,01*,02*,03*]</v>
      </c>
      <c r="E283" s="832" t="s">
        <v>802</v>
      </c>
      <c r="F283" s="778">
        <v>-1180759.56</v>
      </c>
      <c r="G283" s="860">
        <v>-986886.47</v>
      </c>
      <c r="H283" s="780">
        <v>-978653.47</v>
      </c>
      <c r="I283" s="780">
        <v>-878433.12</v>
      </c>
      <c r="J283" s="781">
        <v>-722250.99</v>
      </c>
      <c r="K283" s="782">
        <v>-619284.56999999995</v>
      </c>
      <c r="L283" s="783">
        <v>-506661.02</v>
      </c>
      <c r="M283" s="784">
        <v>-509078.11</v>
      </c>
      <c r="N283" s="785">
        <v>-564258.21</v>
      </c>
      <c r="O283" s="786">
        <v>-562936.53</v>
      </c>
      <c r="P283" s="787">
        <v>-678941.44</v>
      </c>
      <c r="Q283" s="861">
        <v>-787284.31</v>
      </c>
      <c r="R283" s="778">
        <v>-1160406.48</v>
      </c>
      <c r="S283" s="780">
        <f t="shared" si="42"/>
        <v>-747104.27166666661</v>
      </c>
      <c r="T283" s="754"/>
      <c r="U283" s="789"/>
      <c r="V283" s="789"/>
      <c r="W283" s="789"/>
      <c r="X283" s="790">
        <f t="shared" si="44"/>
        <v>-747104.27166666661</v>
      </c>
      <c r="Y283" s="767"/>
      <c r="Z283" s="767"/>
    </row>
    <row r="284" spans="1:26">
      <c r="A284" s="875" t="s">
        <v>800</v>
      </c>
      <c r="B284" s="774" t="s">
        <v>736</v>
      </c>
      <c r="C284" s="775">
        <v>275</v>
      </c>
      <c r="D284" s="776" t="str">
        <f>A284&amp;"."&amp;B284</f>
        <v>2429.3*</v>
      </c>
      <c r="E284" s="832" t="s">
        <v>803</v>
      </c>
      <c r="F284" s="778">
        <v>-1104283.72</v>
      </c>
      <c r="G284" s="860">
        <v>-1246645.97</v>
      </c>
      <c r="H284" s="780">
        <v>-354050.45</v>
      </c>
      <c r="I284" s="780">
        <v>-525583.57999999996</v>
      </c>
      <c r="J284" s="781">
        <v>-686452.22</v>
      </c>
      <c r="K284" s="782">
        <v>-825247.08</v>
      </c>
      <c r="L284" s="783">
        <v>-988608.68</v>
      </c>
      <c r="M284" s="784">
        <v>-1129967.48</v>
      </c>
      <c r="N284" s="785">
        <v>-485123.15</v>
      </c>
      <c r="O284" s="786">
        <v>-652733.34</v>
      </c>
      <c r="P284" s="787">
        <v>-790626.09</v>
      </c>
      <c r="Q284" s="861">
        <v>-1012338.01</v>
      </c>
      <c r="R284" s="778">
        <v>-1195571.69</v>
      </c>
      <c r="S284" s="780">
        <f t="shared" si="42"/>
        <v>-820608.64624999987</v>
      </c>
      <c r="T284" s="754"/>
      <c r="U284" s="789"/>
      <c r="V284" s="789"/>
      <c r="W284" s="789"/>
      <c r="X284" s="790">
        <f t="shared" si="44"/>
        <v>-820608.64624999987</v>
      </c>
      <c r="Y284" s="767"/>
      <c r="Z284" s="767"/>
    </row>
    <row r="285" spans="1:26">
      <c r="A285" s="875" t="s">
        <v>800</v>
      </c>
      <c r="B285" s="774" t="s">
        <v>112</v>
      </c>
      <c r="C285" s="775">
        <v>276</v>
      </c>
      <c r="D285" s="776" t="str">
        <f>A285&amp;"."&amp;B285</f>
        <v>2429.WA</v>
      </c>
      <c r="E285" s="832" t="s">
        <v>804</v>
      </c>
      <c r="F285" s="778">
        <v>0</v>
      </c>
      <c r="G285" s="860">
        <v>0</v>
      </c>
      <c r="H285" s="780">
        <v>0</v>
      </c>
      <c r="I285" s="780">
        <v>0</v>
      </c>
      <c r="J285" s="781">
        <v>0</v>
      </c>
      <c r="K285" s="782">
        <v>0</v>
      </c>
      <c r="L285" s="783">
        <v>0</v>
      </c>
      <c r="M285" s="784">
        <v>0</v>
      </c>
      <c r="N285" s="785">
        <v>0</v>
      </c>
      <c r="O285" s="786">
        <v>0</v>
      </c>
      <c r="P285" s="787">
        <v>0</v>
      </c>
      <c r="Q285" s="861">
        <v>0</v>
      </c>
      <c r="R285" s="778">
        <v>0</v>
      </c>
      <c r="S285" s="780">
        <f t="shared" si="42"/>
        <v>0</v>
      </c>
      <c r="T285" s="754"/>
      <c r="U285" s="789"/>
      <c r="V285" s="789"/>
      <c r="W285" s="789"/>
      <c r="X285" s="789"/>
      <c r="Y285" s="767"/>
      <c r="Z285" s="767"/>
    </row>
    <row r="286" spans="1:26">
      <c r="A286" s="875" t="s">
        <v>800</v>
      </c>
      <c r="B286" s="774" t="s">
        <v>86</v>
      </c>
      <c r="C286" s="775">
        <v>277</v>
      </c>
      <c r="D286" s="776" t="str">
        <f>A286&amp;"."&amp;B286</f>
        <v>2429.OR</v>
      </c>
      <c r="E286" s="832" t="s">
        <v>805</v>
      </c>
      <c r="F286" s="778">
        <v>0</v>
      </c>
      <c r="G286" s="860">
        <v>0</v>
      </c>
      <c r="H286" s="780">
        <v>0</v>
      </c>
      <c r="I286" s="780">
        <v>0</v>
      </c>
      <c r="J286" s="781">
        <v>0</v>
      </c>
      <c r="K286" s="782">
        <v>0</v>
      </c>
      <c r="L286" s="783">
        <v>0</v>
      </c>
      <c r="M286" s="784">
        <v>0</v>
      </c>
      <c r="N286" s="785">
        <v>0</v>
      </c>
      <c r="O286" s="786">
        <v>0</v>
      </c>
      <c r="P286" s="787">
        <v>0</v>
      </c>
      <c r="Q286" s="861">
        <v>0</v>
      </c>
      <c r="R286" s="778">
        <v>0</v>
      </c>
      <c r="S286" s="780">
        <f t="shared" si="42"/>
        <v>0</v>
      </c>
      <c r="T286" s="754"/>
      <c r="U286" s="789"/>
      <c r="V286" s="789"/>
      <c r="W286" s="789"/>
      <c r="X286" s="789"/>
      <c r="Y286" s="767"/>
      <c r="Z286" s="767"/>
    </row>
    <row r="287" spans="1:26">
      <c r="A287" s="750" t="s">
        <v>806</v>
      </c>
      <c r="B287" s="750" t="s">
        <v>807</v>
      </c>
      <c r="C287" s="775">
        <v>278</v>
      </c>
      <c r="D287" s="750" t="str">
        <f>+A287</f>
        <v>2282</v>
      </c>
      <c r="E287" s="832" t="s">
        <v>808</v>
      </c>
      <c r="F287" s="778">
        <v>0</v>
      </c>
      <c r="G287" s="860">
        <v>0</v>
      </c>
      <c r="H287" s="780">
        <v>0</v>
      </c>
      <c r="I287" s="780">
        <v>0</v>
      </c>
      <c r="J287" s="781">
        <v>0</v>
      </c>
      <c r="K287" s="782">
        <v>0</v>
      </c>
      <c r="L287" s="783">
        <v>0</v>
      </c>
      <c r="M287" s="784">
        <v>0</v>
      </c>
      <c r="N287" s="785">
        <v>0</v>
      </c>
      <c r="O287" s="855">
        <v>-250000</v>
      </c>
      <c r="P287" s="787">
        <v>-1000000</v>
      </c>
      <c r="Q287" s="861">
        <v>-1000000</v>
      </c>
      <c r="R287" s="778">
        <v>-1400000</v>
      </c>
      <c r="S287" s="780">
        <f t="shared" si="42"/>
        <v>-245833.33333333334</v>
      </c>
      <c r="T287" s="754"/>
      <c r="U287" s="789"/>
      <c r="V287" s="789"/>
      <c r="W287" s="790"/>
      <c r="X287" s="790">
        <f>S287</f>
        <v>-245833.33333333334</v>
      </c>
      <c r="Y287" s="757"/>
      <c r="Z287" s="757"/>
    </row>
    <row r="288" spans="1:26">
      <c r="A288" s="750" t="s">
        <v>809</v>
      </c>
      <c r="B288" s="750" t="s">
        <v>810</v>
      </c>
      <c r="C288" s="775">
        <v>279</v>
      </c>
      <c r="D288" s="876" t="str">
        <f>A288&amp;"."&amp;B288</f>
        <v>2284.02*</v>
      </c>
      <c r="E288" s="832" t="s">
        <v>811</v>
      </c>
      <c r="F288" s="778">
        <v>0</v>
      </c>
      <c r="G288" s="860">
        <v>0</v>
      </c>
      <c r="H288" s="780">
        <v>0</v>
      </c>
      <c r="I288" s="780">
        <v>0</v>
      </c>
      <c r="J288" s="781">
        <v>0</v>
      </c>
      <c r="K288" s="782">
        <v>0</v>
      </c>
      <c r="L288" s="783">
        <v>0</v>
      </c>
      <c r="M288" s="784">
        <v>0</v>
      </c>
      <c r="N288" s="785">
        <v>0</v>
      </c>
      <c r="O288" s="855">
        <v>0</v>
      </c>
      <c r="P288" s="787">
        <v>0</v>
      </c>
      <c r="Q288" s="861">
        <v>0</v>
      </c>
      <c r="R288" s="778">
        <v>0</v>
      </c>
      <c r="S288" s="780">
        <f t="shared" si="42"/>
        <v>0</v>
      </c>
      <c r="T288" s="754"/>
      <c r="U288" s="789"/>
      <c r="V288" s="789"/>
      <c r="W288" s="789"/>
      <c r="X288" s="789"/>
      <c r="Y288" s="757"/>
      <c r="Z288" s="757"/>
    </row>
    <row r="289" spans="1:26">
      <c r="A289" s="774" t="s">
        <v>809</v>
      </c>
      <c r="B289" s="774" t="s">
        <v>812</v>
      </c>
      <c r="C289" s="775">
        <v>280</v>
      </c>
      <c r="D289" s="876" t="str">
        <f>A289&amp;"."&amp;B289</f>
        <v>2284.03*</v>
      </c>
      <c r="E289" s="832" t="s">
        <v>813</v>
      </c>
      <c r="F289" s="778">
        <v>-24135</v>
      </c>
      <c r="G289" s="860">
        <v>-24135</v>
      </c>
      <c r="H289" s="780">
        <v>-24135</v>
      </c>
      <c r="I289" s="780">
        <v>-24135</v>
      </c>
      <c r="J289" s="781">
        <v>-24135</v>
      </c>
      <c r="K289" s="782">
        <v>-24135</v>
      </c>
      <c r="L289" s="783">
        <v>-24135</v>
      </c>
      <c r="M289" s="784">
        <v>-24135</v>
      </c>
      <c r="N289" s="785">
        <v>-24135</v>
      </c>
      <c r="O289" s="855">
        <v>-48270</v>
      </c>
      <c r="P289" s="787">
        <v>-24135</v>
      </c>
      <c r="Q289" s="861">
        <v>-24135</v>
      </c>
      <c r="R289" s="778">
        <v>-24135</v>
      </c>
      <c r="S289" s="780">
        <f t="shared" si="42"/>
        <v>-26146.25</v>
      </c>
      <c r="T289" s="754"/>
      <c r="U289" s="789"/>
      <c r="V289" s="789"/>
      <c r="W289" s="789"/>
      <c r="X289" s="790">
        <f>S289</f>
        <v>-26146.25</v>
      </c>
      <c r="Y289" s="757"/>
      <c r="Z289" s="757"/>
    </row>
    <row r="290" spans="1:26">
      <c r="A290" s="875" t="s">
        <v>814</v>
      </c>
      <c r="B290" s="774" t="s">
        <v>410</v>
      </c>
      <c r="C290" s="775">
        <v>281</v>
      </c>
      <c r="D290" s="875" t="str">
        <f>+A290</f>
        <v>2292</v>
      </c>
      <c r="E290" s="832" t="s">
        <v>815</v>
      </c>
      <c r="F290" s="778">
        <v>0</v>
      </c>
      <c r="G290" s="860">
        <v>0</v>
      </c>
      <c r="H290" s="780">
        <v>0</v>
      </c>
      <c r="I290" s="780">
        <v>0</v>
      </c>
      <c r="J290" s="781">
        <v>0</v>
      </c>
      <c r="K290" s="782">
        <v>0</v>
      </c>
      <c r="L290" s="783">
        <v>0</v>
      </c>
      <c r="M290" s="784">
        <v>0</v>
      </c>
      <c r="N290" s="785">
        <v>0</v>
      </c>
      <c r="O290" s="786">
        <v>0</v>
      </c>
      <c r="P290" s="787">
        <v>0</v>
      </c>
      <c r="Q290" s="861">
        <v>0</v>
      </c>
      <c r="R290" s="778">
        <v>0</v>
      </c>
      <c r="S290" s="780">
        <f t="shared" si="42"/>
        <v>0</v>
      </c>
      <c r="T290" s="754"/>
      <c r="U290" s="789"/>
      <c r="V290" s="789"/>
      <c r="W290" s="789"/>
      <c r="X290" s="789"/>
      <c r="Y290" s="757"/>
      <c r="Z290" s="757"/>
    </row>
    <row r="291" spans="1:26">
      <c r="A291" s="774" t="s">
        <v>816</v>
      </c>
      <c r="B291" s="774" t="s">
        <v>817</v>
      </c>
      <c r="C291" s="775">
        <v>282</v>
      </c>
      <c r="D291" s="876" t="str">
        <f>A291&amp;"."&amp;B291</f>
        <v>2530.01*</v>
      </c>
      <c r="E291" s="832" t="s">
        <v>818</v>
      </c>
      <c r="F291" s="778">
        <v>-5668916.5</v>
      </c>
      <c r="G291" s="860">
        <v>-11779253.52</v>
      </c>
      <c r="H291" s="780">
        <v>-14855188.869999999</v>
      </c>
      <c r="I291" s="780">
        <v>-17538968.100000001</v>
      </c>
      <c r="J291" s="781">
        <v>-17813475.629999999</v>
      </c>
      <c r="K291" s="782">
        <v>-17139166.859999999</v>
      </c>
      <c r="L291" s="783">
        <v>-15535204.800000001</v>
      </c>
      <c r="M291" s="784">
        <v>-13449776.59</v>
      </c>
      <c r="N291" s="785">
        <v>-10889858.210000001</v>
      </c>
      <c r="O291" s="786">
        <v>-8799904.3399999999</v>
      </c>
      <c r="P291" s="787">
        <v>-8185007.1600000001</v>
      </c>
      <c r="Q291" s="861">
        <v>-6330404.5300000003</v>
      </c>
      <c r="R291" s="778">
        <v>-5627226.9299999997</v>
      </c>
      <c r="S291" s="780">
        <f t="shared" si="42"/>
        <v>-12330356.693750001</v>
      </c>
      <c r="T291" s="754"/>
      <c r="U291" s="789"/>
      <c r="V291" s="789"/>
      <c r="W291" s="789"/>
      <c r="X291" s="790">
        <f>S291</f>
        <v>-12330356.693750001</v>
      </c>
      <c r="Y291" s="767"/>
      <c r="Z291" s="767"/>
    </row>
    <row r="292" spans="1:26">
      <c r="A292" s="750" t="s">
        <v>816</v>
      </c>
      <c r="B292" s="750" t="s">
        <v>819</v>
      </c>
      <c r="C292" s="775">
        <v>283</v>
      </c>
      <c r="D292" s="887" t="str">
        <f>A292&amp;"."&amp;B292</f>
        <v>2530.[02008,02009]</v>
      </c>
      <c r="E292" s="832" t="s">
        <v>820</v>
      </c>
      <c r="F292" s="778">
        <v>0</v>
      </c>
      <c r="G292" s="860">
        <v>0</v>
      </c>
      <c r="H292" s="780">
        <v>0</v>
      </c>
      <c r="I292" s="780">
        <v>0</v>
      </c>
      <c r="J292" s="781">
        <v>0</v>
      </c>
      <c r="K292" s="782">
        <v>0</v>
      </c>
      <c r="L292" s="783">
        <v>0</v>
      </c>
      <c r="M292" s="784">
        <v>0</v>
      </c>
      <c r="N292" s="785">
        <v>0</v>
      </c>
      <c r="O292" s="786">
        <v>0</v>
      </c>
      <c r="P292" s="787">
        <v>0</v>
      </c>
      <c r="Q292" s="861">
        <v>0</v>
      </c>
      <c r="R292" s="778">
        <v>0</v>
      </c>
      <c r="S292" s="780">
        <f t="shared" si="42"/>
        <v>0</v>
      </c>
      <c r="T292" s="754"/>
      <c r="U292" s="789"/>
      <c r="V292" s="789"/>
      <c r="W292" s="789"/>
      <c r="X292" s="789"/>
      <c r="Y292" s="767"/>
      <c r="Z292" s="767"/>
    </row>
    <row r="293" spans="1:26">
      <c r="A293" s="774" t="s">
        <v>821</v>
      </c>
      <c r="B293" s="774" t="s">
        <v>627</v>
      </c>
      <c r="C293" s="775">
        <v>284</v>
      </c>
      <c r="D293" s="776" t="str">
        <f>A293&amp;"."&amp;B293</f>
        <v>2440.1</v>
      </c>
      <c r="E293" s="832" t="s">
        <v>526</v>
      </c>
      <c r="F293" s="778">
        <v>0</v>
      </c>
      <c r="G293" s="860">
        <v>0</v>
      </c>
      <c r="H293" s="780">
        <v>0</v>
      </c>
      <c r="I293" s="780">
        <v>0</v>
      </c>
      <c r="J293" s="781">
        <v>0</v>
      </c>
      <c r="K293" s="782">
        <v>0</v>
      </c>
      <c r="L293" s="783">
        <v>0</v>
      </c>
      <c r="M293" s="784">
        <v>0</v>
      </c>
      <c r="N293" s="785">
        <v>0</v>
      </c>
      <c r="O293" s="786">
        <v>0</v>
      </c>
      <c r="P293" s="787">
        <v>0</v>
      </c>
      <c r="Q293" s="861">
        <v>0</v>
      </c>
      <c r="R293" s="778">
        <v>0</v>
      </c>
      <c r="S293" s="780">
        <f t="shared" si="42"/>
        <v>0</v>
      </c>
      <c r="T293" s="754"/>
      <c r="U293" s="789"/>
      <c r="V293" s="789"/>
      <c r="W293" s="789"/>
      <c r="X293" s="789"/>
      <c r="Y293" s="767"/>
      <c r="Z293" s="767"/>
    </row>
    <row r="294" spans="1:26">
      <c r="A294" s="774"/>
      <c r="B294" s="774"/>
      <c r="C294" s="775">
        <v>285</v>
      </c>
      <c r="D294" s="774"/>
      <c r="E294" s="832"/>
      <c r="F294" s="778"/>
      <c r="G294" s="860"/>
      <c r="H294" s="780"/>
      <c r="I294" s="780"/>
      <c r="J294" s="781"/>
      <c r="K294" s="782"/>
      <c r="L294" s="783"/>
      <c r="M294" s="784"/>
      <c r="N294" s="785"/>
      <c r="O294" s="786"/>
      <c r="P294" s="787"/>
      <c r="Q294" s="861"/>
      <c r="R294" s="778"/>
      <c r="S294" s="780">
        <f t="shared" si="42"/>
        <v>0</v>
      </c>
      <c r="T294" s="754"/>
      <c r="U294" s="789"/>
      <c r="V294" s="789"/>
      <c r="W294" s="789"/>
      <c r="X294" s="789"/>
      <c r="Y294" s="767"/>
      <c r="Z294" s="767"/>
    </row>
    <row r="295" spans="1:26">
      <c r="A295" s="774"/>
      <c r="B295" s="774"/>
      <c r="C295" s="775">
        <v>286</v>
      </c>
      <c r="D295" s="774"/>
      <c r="E295" s="832" t="s">
        <v>822</v>
      </c>
      <c r="F295" s="802">
        <f>SUM(F276:F293)</f>
        <v>-24806425.879999995</v>
      </c>
      <c r="G295" s="802">
        <f t="shared" ref="G295:S295" si="45">SUM(G276:G293)</f>
        <v>-27735517.060000002</v>
      </c>
      <c r="H295" s="802">
        <f t="shared" si="45"/>
        <v>-28994126.140000001</v>
      </c>
      <c r="I295" s="802">
        <f t="shared" si="45"/>
        <v>-29913904.840000004</v>
      </c>
      <c r="J295" s="802">
        <f t="shared" si="45"/>
        <v>-30185988.16</v>
      </c>
      <c r="K295" s="802">
        <f t="shared" si="45"/>
        <v>-30640191.780000001</v>
      </c>
      <c r="L295" s="802">
        <f t="shared" si="45"/>
        <v>-33449413.98</v>
      </c>
      <c r="M295" s="802">
        <f t="shared" si="45"/>
        <v>-32961281.640000001</v>
      </c>
      <c r="N295" s="802">
        <f t="shared" si="45"/>
        <v>-28513170.199999999</v>
      </c>
      <c r="O295" s="802">
        <f t="shared" si="45"/>
        <v>-27496522.810000002</v>
      </c>
      <c r="P295" s="802">
        <f t="shared" si="45"/>
        <v>-31672483.210000001</v>
      </c>
      <c r="Q295" s="802">
        <f t="shared" si="45"/>
        <v>-27063345.810000002</v>
      </c>
      <c r="R295" s="802">
        <f t="shared" si="45"/>
        <v>-27407251.719999999</v>
      </c>
      <c r="S295" s="802">
        <f t="shared" si="45"/>
        <v>-29561065.369166665</v>
      </c>
      <c r="T295" s="754"/>
      <c r="U295" s="789"/>
      <c r="V295" s="789"/>
      <c r="W295" s="789"/>
      <c r="X295" s="789"/>
      <c r="Y295" s="767"/>
      <c r="Z295" s="767"/>
    </row>
    <row r="296" spans="1:26">
      <c r="A296" s="774"/>
      <c r="B296" s="774"/>
      <c r="C296" s="775">
        <v>287</v>
      </c>
      <c r="D296" s="774"/>
      <c r="E296" s="832"/>
      <c r="F296" s="778"/>
      <c r="G296" s="860"/>
      <c r="H296" s="780"/>
      <c r="I296" s="780"/>
      <c r="J296" s="781"/>
      <c r="K296" s="782"/>
      <c r="L296" s="783"/>
      <c r="M296" s="784"/>
      <c r="N296" s="785"/>
      <c r="O296" s="786"/>
      <c r="P296" s="787"/>
      <c r="Q296" s="861"/>
      <c r="R296" s="778"/>
      <c r="S296" s="780">
        <f t="shared" si="42"/>
        <v>0</v>
      </c>
      <c r="T296" s="754"/>
      <c r="U296" s="789"/>
      <c r="V296" s="789"/>
      <c r="W296" s="789"/>
      <c r="X296" s="789"/>
      <c r="Y296" s="767"/>
      <c r="Z296" s="767"/>
    </row>
    <row r="297" spans="1:26">
      <c r="A297" s="750" t="s">
        <v>806</v>
      </c>
      <c r="B297" s="750" t="s">
        <v>823</v>
      </c>
      <c r="C297" s="775">
        <v>288</v>
      </c>
      <c r="D297" s="750" t="str">
        <f>+A297</f>
        <v>2282</v>
      </c>
      <c r="E297" s="832" t="s">
        <v>824</v>
      </c>
      <c r="F297" s="778">
        <v>-14631486.57</v>
      </c>
      <c r="G297" s="805">
        <v>-14584574.82</v>
      </c>
      <c r="H297" s="780">
        <v>-14583283.07</v>
      </c>
      <c r="I297" s="780">
        <v>-14528667.300000001</v>
      </c>
      <c r="J297" s="781">
        <v>-14517823.48</v>
      </c>
      <c r="K297" s="782">
        <v>-14464666.35</v>
      </c>
      <c r="L297" s="783">
        <v>-14447941.59</v>
      </c>
      <c r="M297" s="784">
        <v>-14426749.779999999</v>
      </c>
      <c r="N297" s="785">
        <v>-14320900.5</v>
      </c>
      <c r="O297" s="855">
        <v>-14318635</v>
      </c>
      <c r="P297" s="787">
        <v>-14279202.43</v>
      </c>
      <c r="Q297" s="861">
        <v>-14167518.460000001</v>
      </c>
      <c r="R297" s="778">
        <v>-14098767.550000001</v>
      </c>
      <c r="S297" s="780">
        <f t="shared" si="42"/>
        <v>-14417090.82</v>
      </c>
      <c r="T297" s="754"/>
      <c r="U297" s="789"/>
      <c r="V297" s="789"/>
      <c r="W297" s="789"/>
      <c r="X297" s="789"/>
      <c r="Y297" s="767"/>
      <c r="Z297" s="767"/>
    </row>
    <row r="298" spans="1:26">
      <c r="A298" s="750" t="s">
        <v>825</v>
      </c>
      <c r="B298" s="750" t="s">
        <v>410</v>
      </c>
      <c r="C298" s="775">
        <v>289</v>
      </c>
      <c r="D298" s="750" t="str">
        <f>+A298</f>
        <v>2283</v>
      </c>
      <c r="E298" s="832" t="s">
        <v>826</v>
      </c>
      <c r="F298" s="778">
        <v>-7657939.1200000001</v>
      </c>
      <c r="G298" s="860">
        <v>-7717374.6200000001</v>
      </c>
      <c r="H298" s="780">
        <v>-7776810.1200000001</v>
      </c>
      <c r="I298" s="780">
        <v>-7836245.6200000001</v>
      </c>
      <c r="J298" s="781">
        <v>-7895681.1200000001</v>
      </c>
      <c r="K298" s="782">
        <v>-7960544.96</v>
      </c>
      <c r="L298" s="783">
        <v>-8021066.1200000001</v>
      </c>
      <c r="M298" s="784">
        <v>-8081587.29</v>
      </c>
      <c r="N298" s="785">
        <v>-8142108.4500000002</v>
      </c>
      <c r="O298" s="855">
        <v>-8202629.6200000001</v>
      </c>
      <c r="P298" s="787">
        <v>-8263150.79</v>
      </c>
      <c r="Q298" s="861">
        <v>-8323671.96</v>
      </c>
      <c r="R298" s="778">
        <v>-7687634.5099999998</v>
      </c>
      <c r="S298" s="780">
        <f t="shared" si="42"/>
        <v>-7991138.1237500003</v>
      </c>
      <c r="T298" s="754"/>
      <c r="U298" s="789"/>
      <c r="V298" s="789"/>
      <c r="W298" s="767"/>
      <c r="X298" s="790">
        <f>S298</f>
        <v>-7991138.1237500003</v>
      </c>
      <c r="Y298" s="767"/>
      <c r="Z298" s="767"/>
    </row>
    <row r="299" spans="1:26">
      <c r="A299" s="750" t="s">
        <v>827</v>
      </c>
      <c r="B299" s="750" t="s">
        <v>410</v>
      </c>
      <c r="C299" s="775">
        <v>290</v>
      </c>
      <c r="D299" s="750" t="str">
        <f>+A299</f>
        <v>2300</v>
      </c>
      <c r="E299" s="832" t="s">
        <v>828</v>
      </c>
      <c r="F299" s="778">
        <v>-50960517</v>
      </c>
      <c r="G299" s="860">
        <v>-50963872.890000001</v>
      </c>
      <c r="H299" s="780">
        <v>-50967246.25</v>
      </c>
      <c r="I299" s="780">
        <v>-51422476.130000003</v>
      </c>
      <c r="J299" s="781">
        <v>-51425884.640000001</v>
      </c>
      <c r="K299" s="782">
        <v>-51429310.859999999</v>
      </c>
      <c r="L299" s="783">
        <v>-51455189.93</v>
      </c>
      <c r="M299" s="784">
        <v>-51458651.880000003</v>
      </c>
      <c r="N299" s="785">
        <v>-52893394.299999997</v>
      </c>
      <c r="O299" s="786">
        <v>-53140104.700000003</v>
      </c>
      <c r="P299" s="787">
        <v>-53387966.060000002</v>
      </c>
      <c r="Q299" s="861">
        <v>-53636983.840000004</v>
      </c>
      <c r="R299" s="778">
        <v>-54807880</v>
      </c>
      <c r="S299" s="780">
        <f t="shared" si="42"/>
        <v>-52088773.331666671</v>
      </c>
      <c r="T299" s="754"/>
      <c r="U299" s="789"/>
      <c r="V299" s="790">
        <f>+S299</f>
        <v>-52088773.331666671</v>
      </c>
      <c r="W299" s="789"/>
      <c r="X299" s="789"/>
      <c r="Y299" s="767"/>
      <c r="Z299" s="767"/>
    </row>
    <row r="300" spans="1:26">
      <c r="A300" s="750" t="s">
        <v>821</v>
      </c>
      <c r="B300" s="750" t="s">
        <v>681</v>
      </c>
      <c r="C300" s="775">
        <v>291</v>
      </c>
      <c r="D300" s="752" t="str">
        <f>A300&amp;"."&amp;B300</f>
        <v>2440.2</v>
      </c>
      <c r="E300" s="832" t="s">
        <v>571</v>
      </c>
      <c r="F300" s="778">
        <v>0</v>
      </c>
      <c r="G300" s="860">
        <v>0</v>
      </c>
      <c r="H300" s="780">
        <v>0</v>
      </c>
      <c r="I300" s="780">
        <v>0</v>
      </c>
      <c r="J300" s="781">
        <v>0</v>
      </c>
      <c r="K300" s="782">
        <v>0</v>
      </c>
      <c r="L300" s="783">
        <v>0</v>
      </c>
      <c r="M300" s="784">
        <v>0</v>
      </c>
      <c r="N300" s="785">
        <v>0</v>
      </c>
      <c r="O300" s="786">
        <v>0</v>
      </c>
      <c r="P300" s="787">
        <v>0</v>
      </c>
      <c r="Q300" s="861">
        <v>0</v>
      </c>
      <c r="R300" s="778">
        <v>0</v>
      </c>
      <c r="S300" s="780">
        <f t="shared" si="42"/>
        <v>0</v>
      </c>
      <c r="T300" s="754"/>
      <c r="U300" s="789"/>
      <c r="V300" s="789"/>
      <c r="W300" s="789"/>
      <c r="X300" s="789"/>
      <c r="Y300" s="767"/>
      <c r="Z300" s="767"/>
    </row>
    <row r="301" spans="1:26">
      <c r="A301" s="750" t="s">
        <v>829</v>
      </c>
      <c r="B301" s="750" t="s">
        <v>410</v>
      </c>
      <c r="C301" s="775">
        <v>292</v>
      </c>
      <c r="D301" s="750" t="str">
        <f>+A301</f>
        <v>2520</v>
      </c>
      <c r="E301" s="832" t="s">
        <v>376</v>
      </c>
      <c r="F301" s="778">
        <v>-4075228.98</v>
      </c>
      <c r="G301" s="860">
        <v>-4098682.77</v>
      </c>
      <c r="H301" s="780">
        <v>-4095410.71</v>
      </c>
      <c r="I301" s="780">
        <v>-4039199.59</v>
      </c>
      <c r="J301" s="781">
        <v>-4033929.41</v>
      </c>
      <c r="K301" s="782">
        <v>-4025529.28</v>
      </c>
      <c r="L301" s="783">
        <v>-3934624.3</v>
      </c>
      <c r="M301" s="784">
        <v>-4597333.84</v>
      </c>
      <c r="N301" s="785">
        <v>-4657385.4400000004</v>
      </c>
      <c r="O301" s="786">
        <v>-4568510.25</v>
      </c>
      <c r="P301" s="787">
        <v>-4564342.22</v>
      </c>
      <c r="Q301" s="861">
        <v>-4498773.34</v>
      </c>
      <c r="R301" s="778">
        <v>-4482129.79</v>
      </c>
      <c r="S301" s="780">
        <f t="shared" si="42"/>
        <v>-4282700.0445833337</v>
      </c>
      <c r="T301" s="754"/>
      <c r="U301" s="789"/>
      <c r="V301" s="790">
        <f>S301</f>
        <v>-4282700.0445833337</v>
      </c>
      <c r="W301" s="789"/>
      <c r="X301" s="789"/>
      <c r="Y301" s="767"/>
      <c r="Z301" s="767"/>
    </row>
    <row r="302" spans="1:26">
      <c r="A302" s="750" t="s">
        <v>816</v>
      </c>
      <c r="B302" s="750" t="s">
        <v>830</v>
      </c>
      <c r="C302" s="775">
        <v>293</v>
      </c>
      <c r="D302" s="887" t="str">
        <f t="shared" ref="D302:D310" si="46">A302&amp;"."&amp;B302</f>
        <v>2530.[02*,/02008,/02009,/02010]</v>
      </c>
      <c r="E302" s="832" t="s">
        <v>831</v>
      </c>
      <c r="F302" s="778">
        <v>0</v>
      </c>
      <c r="G302" s="860">
        <v>0</v>
      </c>
      <c r="H302" s="780">
        <v>0</v>
      </c>
      <c r="I302" s="780">
        <v>0</v>
      </c>
      <c r="J302" s="781">
        <v>0</v>
      </c>
      <c r="K302" s="782">
        <v>0</v>
      </c>
      <c r="L302" s="783">
        <v>0</v>
      </c>
      <c r="M302" s="784">
        <v>0</v>
      </c>
      <c r="N302" s="785">
        <v>0</v>
      </c>
      <c r="O302" s="786">
        <v>0</v>
      </c>
      <c r="P302" s="787">
        <v>0</v>
      </c>
      <c r="Q302" s="861">
        <v>0</v>
      </c>
      <c r="R302" s="778">
        <v>0</v>
      </c>
      <c r="S302" s="780">
        <f t="shared" si="42"/>
        <v>0</v>
      </c>
      <c r="T302" s="754"/>
      <c r="U302" s="789"/>
      <c r="V302" s="789"/>
      <c r="W302" s="789"/>
      <c r="X302" s="789"/>
      <c r="Y302" s="767"/>
      <c r="Z302" s="767"/>
    </row>
    <row r="303" spans="1:26">
      <c r="A303" s="750" t="s">
        <v>816</v>
      </c>
      <c r="B303" s="750" t="s">
        <v>832</v>
      </c>
      <c r="C303" s="775">
        <v>294</v>
      </c>
      <c r="D303" s="887" t="str">
        <f t="shared" si="46"/>
        <v>2530.[02010]</v>
      </c>
      <c r="E303" s="777" t="s">
        <v>833</v>
      </c>
      <c r="F303" s="778">
        <v>0</v>
      </c>
      <c r="G303" s="860">
        <v>0</v>
      </c>
      <c r="H303" s="780">
        <v>0</v>
      </c>
      <c r="I303" s="780">
        <v>0</v>
      </c>
      <c r="J303" s="781">
        <v>0</v>
      </c>
      <c r="K303" s="782">
        <v>0</v>
      </c>
      <c r="L303" s="783">
        <v>0</v>
      </c>
      <c r="M303" s="784">
        <v>0</v>
      </c>
      <c r="N303" s="785">
        <v>0</v>
      </c>
      <c r="O303" s="786">
        <v>0</v>
      </c>
      <c r="P303" s="787">
        <v>0</v>
      </c>
      <c r="Q303" s="861">
        <v>0</v>
      </c>
      <c r="R303" s="778">
        <v>0</v>
      </c>
      <c r="S303" s="780">
        <f t="shared" si="42"/>
        <v>0</v>
      </c>
      <c r="T303" s="754"/>
      <c r="U303" s="789"/>
      <c r="V303" s="789"/>
      <c r="W303" s="789"/>
      <c r="X303" s="789"/>
      <c r="Y303" s="767"/>
      <c r="Z303" s="767"/>
    </row>
    <row r="304" spans="1:26">
      <c r="A304" s="750" t="s">
        <v>816</v>
      </c>
      <c r="B304" s="750" t="s">
        <v>812</v>
      </c>
      <c r="C304" s="775">
        <v>295</v>
      </c>
      <c r="D304" s="887" t="str">
        <f t="shared" si="46"/>
        <v>2530.03*</v>
      </c>
      <c r="E304" s="832" t="s">
        <v>834</v>
      </c>
      <c r="F304" s="778">
        <v>0</v>
      </c>
      <c r="G304" s="860">
        <v>0</v>
      </c>
      <c r="H304" s="780">
        <v>0</v>
      </c>
      <c r="I304" s="780">
        <v>0</v>
      </c>
      <c r="J304" s="781">
        <v>0</v>
      </c>
      <c r="K304" s="782">
        <v>0</v>
      </c>
      <c r="L304" s="783">
        <v>0</v>
      </c>
      <c r="M304" s="784">
        <v>0</v>
      </c>
      <c r="N304" s="785">
        <v>0</v>
      </c>
      <c r="O304" s="786">
        <v>0</v>
      </c>
      <c r="P304" s="787">
        <v>0</v>
      </c>
      <c r="Q304" s="861">
        <v>0</v>
      </c>
      <c r="R304" s="778">
        <v>0</v>
      </c>
      <c r="S304" s="780">
        <f t="shared" si="42"/>
        <v>0</v>
      </c>
      <c r="T304" s="754"/>
      <c r="U304" s="789"/>
      <c r="V304" s="789"/>
      <c r="W304" s="789"/>
      <c r="X304" s="789"/>
      <c r="Y304" s="767"/>
      <c r="Z304" s="767"/>
    </row>
    <row r="305" spans="1:26">
      <c r="A305" s="750" t="s">
        <v>835</v>
      </c>
      <c r="B305" s="750" t="s">
        <v>836</v>
      </c>
      <c r="C305" s="775">
        <v>296</v>
      </c>
      <c r="D305" s="752" t="str">
        <f t="shared" si="46"/>
        <v>2539.[/0104*,/0107*,/0108*]</v>
      </c>
      <c r="E305" s="832" t="s">
        <v>837</v>
      </c>
      <c r="F305" s="778">
        <v>-123410.16</v>
      </c>
      <c r="G305" s="860">
        <v>-123418.88</v>
      </c>
      <c r="H305" s="780">
        <v>-123431.56</v>
      </c>
      <c r="I305" s="780">
        <v>-123350.1</v>
      </c>
      <c r="J305" s="781">
        <v>-123365.47</v>
      </c>
      <c r="K305" s="782">
        <v>-126204.69</v>
      </c>
      <c r="L305" s="783">
        <v>-125721.45</v>
      </c>
      <c r="M305" s="784">
        <v>-125505.33</v>
      </c>
      <c r="N305" s="785">
        <v>-125523.17</v>
      </c>
      <c r="O305" s="786">
        <v>-101413.37</v>
      </c>
      <c r="P305" s="787">
        <v>-99364.11</v>
      </c>
      <c r="Q305" s="861">
        <v>-99440.81</v>
      </c>
      <c r="R305" s="778">
        <v>-99457.919999999998</v>
      </c>
      <c r="S305" s="780">
        <f t="shared" si="42"/>
        <v>-117347.74833333335</v>
      </c>
      <c r="T305" s="754"/>
      <c r="U305" s="789"/>
      <c r="V305" s="789"/>
      <c r="W305" s="789"/>
      <c r="X305" s="789"/>
      <c r="Y305" s="767"/>
      <c r="Z305" s="767"/>
    </row>
    <row r="306" spans="1:26">
      <c r="A306" s="750" t="s">
        <v>835</v>
      </c>
      <c r="B306" s="888" t="s">
        <v>838</v>
      </c>
      <c r="C306" s="775">
        <v>297</v>
      </c>
      <c r="D306" s="752" t="str">
        <f t="shared" si="46"/>
        <v>2539.[0104*,0107*,0108*]</v>
      </c>
      <c r="E306" s="832" t="s">
        <v>839</v>
      </c>
      <c r="F306" s="778">
        <v>-15367277.689999999</v>
      </c>
      <c r="G306" s="860">
        <v>-15344145.109999999</v>
      </c>
      <c r="H306" s="780">
        <v>-15321012.52</v>
      </c>
      <c r="I306" s="780">
        <v>-15297879.939999999</v>
      </c>
      <c r="J306" s="781">
        <v>-15274747.359999999</v>
      </c>
      <c r="K306" s="782">
        <v>-15293682.27</v>
      </c>
      <c r="L306" s="783">
        <v>-15278945.93</v>
      </c>
      <c r="M306" s="784">
        <v>-15264226.85</v>
      </c>
      <c r="N306" s="785">
        <v>-15249507.77</v>
      </c>
      <c r="O306" s="786">
        <v>-15234788.689999999</v>
      </c>
      <c r="P306" s="787">
        <v>-15220069.609999999</v>
      </c>
      <c r="Q306" s="861">
        <v>-15205350.529999999</v>
      </c>
      <c r="R306" s="778">
        <v>-13256373.689999999</v>
      </c>
      <c r="S306" s="780">
        <f t="shared" si="42"/>
        <v>-15191348.522500001</v>
      </c>
      <c r="T306" s="754"/>
      <c r="U306" s="789"/>
      <c r="V306" s="789"/>
      <c r="W306" s="767"/>
      <c r="X306" s="790">
        <f>S306</f>
        <v>-15191348.522500001</v>
      </c>
      <c r="Y306" s="767"/>
      <c r="Z306" s="767"/>
    </row>
    <row r="307" spans="1:26">
      <c r="A307" s="750" t="s">
        <v>840</v>
      </c>
      <c r="B307" s="750" t="s">
        <v>841</v>
      </c>
      <c r="C307" s="775">
        <v>298</v>
      </c>
      <c r="D307" s="887" t="str">
        <f t="shared" si="46"/>
        <v>2540.20222</v>
      </c>
      <c r="E307" s="750" t="s">
        <v>842</v>
      </c>
      <c r="F307" s="778">
        <v>-847148</v>
      </c>
      <c r="G307" s="860">
        <v>-847148</v>
      </c>
      <c r="H307" s="780">
        <v>-847148</v>
      </c>
      <c r="I307" s="780">
        <v>-847148</v>
      </c>
      <c r="J307" s="781">
        <v>-847148</v>
      </c>
      <c r="K307" s="782">
        <v>-847148</v>
      </c>
      <c r="L307" s="783">
        <v>-847148</v>
      </c>
      <c r="M307" s="784">
        <v>-847148</v>
      </c>
      <c r="N307" s="785">
        <v>-847148</v>
      </c>
      <c r="O307" s="786">
        <v>-847148</v>
      </c>
      <c r="P307" s="787">
        <v>-847148</v>
      </c>
      <c r="Q307" s="861">
        <v>-847148</v>
      </c>
      <c r="R307" s="778">
        <v>-1238067</v>
      </c>
      <c r="S307" s="780">
        <f t="shared" si="42"/>
        <v>-863436.29166666663</v>
      </c>
      <c r="T307" s="754"/>
      <c r="U307" s="789"/>
      <c r="V307" s="789"/>
      <c r="W307" s="767"/>
      <c r="X307" s="790">
        <f>S307</f>
        <v>-863436.29166666663</v>
      </c>
      <c r="Y307" s="767"/>
      <c r="Z307" s="767"/>
    </row>
    <row r="308" spans="1:26">
      <c r="A308" s="750" t="s">
        <v>840</v>
      </c>
      <c r="B308" s="750" t="s">
        <v>843</v>
      </c>
      <c r="C308" s="775">
        <v>299</v>
      </c>
      <c r="D308" s="752" t="str">
        <f t="shared" si="46"/>
        <v>2540.[20201*]</v>
      </c>
      <c r="E308" s="832" t="s">
        <v>844</v>
      </c>
      <c r="F308" s="778">
        <v>-2737401.56</v>
      </c>
      <c r="G308" s="860">
        <v>-2710317.16</v>
      </c>
      <c r="H308" s="780">
        <v>-2683232.7400000002</v>
      </c>
      <c r="I308" s="780">
        <v>-2645898.7999999998</v>
      </c>
      <c r="J308" s="781">
        <v>-2615397.63</v>
      </c>
      <c r="K308" s="782">
        <v>-2584896.4300000002</v>
      </c>
      <c r="L308" s="783">
        <v>-2553146.7999999998</v>
      </c>
      <c r="M308" s="784">
        <v>-2522437.54</v>
      </c>
      <c r="N308" s="785">
        <v>-2491728.2799999998</v>
      </c>
      <c r="O308" s="786">
        <v>-2552522.0099999998</v>
      </c>
      <c r="P308" s="787">
        <v>-2531979.75</v>
      </c>
      <c r="Q308" s="861">
        <v>-2546370.5600000001</v>
      </c>
      <c r="R308" s="778">
        <v>-2588762.79</v>
      </c>
      <c r="S308" s="780">
        <f t="shared" si="42"/>
        <v>-2591750.8229166665</v>
      </c>
      <c r="T308" s="754"/>
      <c r="U308" s="789"/>
      <c r="V308" s="789"/>
      <c r="W308" s="767"/>
      <c r="X308" s="790">
        <f>S308</f>
        <v>-2591750.8229166665</v>
      </c>
      <c r="Y308" s="767"/>
      <c r="Z308" s="767"/>
    </row>
    <row r="309" spans="1:26">
      <c r="A309" s="750" t="s">
        <v>840</v>
      </c>
      <c r="B309" s="750" t="s">
        <v>845</v>
      </c>
      <c r="C309" s="775">
        <v>300</v>
      </c>
      <c r="D309" s="752" t="str">
        <f t="shared" si="46"/>
        <v>2540.[/20211,/20201*,/20222]</v>
      </c>
      <c r="E309" s="750" t="s">
        <v>846</v>
      </c>
      <c r="F309" s="778">
        <v>49444.46</v>
      </c>
      <c r="G309" s="860">
        <v>49444.44</v>
      </c>
      <c r="H309" s="780">
        <v>49444.53</v>
      </c>
      <c r="I309" s="780">
        <v>49403.66</v>
      </c>
      <c r="J309" s="781">
        <v>49403.56</v>
      </c>
      <c r="K309" s="782">
        <v>49403.6</v>
      </c>
      <c r="L309" s="783">
        <v>49403.64</v>
      </c>
      <c r="M309" s="784">
        <v>49403.69</v>
      </c>
      <c r="N309" s="785">
        <v>49403.69</v>
      </c>
      <c r="O309" s="786">
        <v>49403.73</v>
      </c>
      <c r="P309" s="787">
        <v>49403.76</v>
      </c>
      <c r="Q309" s="861">
        <v>49444.68</v>
      </c>
      <c r="R309" s="778">
        <v>-267245.51</v>
      </c>
      <c r="S309" s="780">
        <f t="shared" si="42"/>
        <v>36221.871249999997</v>
      </c>
      <c r="T309" s="754"/>
      <c r="U309" s="789"/>
      <c r="V309" s="789"/>
      <c r="W309" s="789"/>
      <c r="X309" s="789"/>
      <c r="Y309" s="767"/>
      <c r="Z309" s="767"/>
    </row>
    <row r="310" spans="1:26">
      <c r="A310" s="750" t="s">
        <v>840</v>
      </c>
      <c r="B310" s="750" t="s">
        <v>847</v>
      </c>
      <c r="C310" s="775">
        <v>301</v>
      </c>
      <c r="D310" s="752" t="str">
        <f t="shared" si="46"/>
        <v>2540.[20211]</v>
      </c>
      <c r="E310" s="777" t="s">
        <v>833</v>
      </c>
      <c r="F310" s="778">
        <v>0</v>
      </c>
      <c r="G310" s="860">
        <v>0</v>
      </c>
      <c r="H310" s="780">
        <v>0</v>
      </c>
      <c r="I310" s="780">
        <v>0</v>
      </c>
      <c r="J310" s="781">
        <v>0</v>
      </c>
      <c r="K310" s="782">
        <v>0</v>
      </c>
      <c r="L310" s="783">
        <v>0</v>
      </c>
      <c r="M310" s="784">
        <v>0</v>
      </c>
      <c r="N310" s="785">
        <v>0</v>
      </c>
      <c r="O310" s="786">
        <v>0</v>
      </c>
      <c r="P310" s="787">
        <v>0</v>
      </c>
      <c r="Q310" s="861">
        <v>0</v>
      </c>
      <c r="R310" s="778">
        <v>0</v>
      </c>
      <c r="S310" s="780">
        <f t="shared" si="42"/>
        <v>0</v>
      </c>
      <c r="T310" s="754"/>
      <c r="U310" s="789"/>
      <c r="V310" s="789"/>
      <c r="W310" s="789"/>
      <c r="X310" s="789"/>
      <c r="Y310" s="767"/>
      <c r="Z310" s="767"/>
    </row>
    <row r="311" spans="1:26">
      <c r="A311" s="750" t="s">
        <v>518</v>
      </c>
      <c r="B311" s="750" t="s">
        <v>1014</v>
      </c>
      <c r="C311" s="775">
        <v>302</v>
      </c>
      <c r="D311" s="752" t="s">
        <v>1015</v>
      </c>
      <c r="E311" s="778" t="s">
        <v>1016</v>
      </c>
      <c r="F311" s="778">
        <v>39302214</v>
      </c>
      <c r="G311" s="860">
        <v>39302214</v>
      </c>
      <c r="H311" s="780">
        <v>39302214</v>
      </c>
      <c r="I311" s="780">
        <v>39738439</v>
      </c>
      <c r="J311" s="781">
        <v>39738439</v>
      </c>
      <c r="K311" s="782">
        <v>39738439</v>
      </c>
      <c r="L311" s="783">
        <v>39670780</v>
      </c>
      <c r="M311" s="784">
        <v>39670780</v>
      </c>
      <c r="N311" s="785">
        <v>41382440.039999999</v>
      </c>
      <c r="O311" s="786">
        <v>41654121.939999998</v>
      </c>
      <c r="P311" s="787">
        <v>41919650.920000002</v>
      </c>
      <c r="Q311" s="861">
        <v>42186336.280000001</v>
      </c>
      <c r="R311" s="778">
        <v>42170920.5</v>
      </c>
      <c r="S311" s="780">
        <f t="shared" si="42"/>
        <v>40420035.119166672</v>
      </c>
      <c r="T311" s="754"/>
      <c r="U311" s="789"/>
      <c r="V311" s="790">
        <f>+S311</f>
        <v>40420035.119166672</v>
      </c>
      <c r="W311" s="789"/>
      <c r="X311" s="789"/>
      <c r="Y311" s="767"/>
      <c r="Z311" s="767"/>
    </row>
    <row r="312" spans="1:26">
      <c r="A312" s="750"/>
      <c r="B312" s="750"/>
      <c r="C312" s="775">
        <v>303</v>
      </c>
      <c r="D312" s="752"/>
      <c r="E312" s="793" t="s">
        <v>848</v>
      </c>
      <c r="F312" s="802">
        <f>SUM(F297:F311)</f>
        <v>-57048750.620000005</v>
      </c>
      <c r="G312" s="802">
        <f t="shared" ref="G312:S312" si="47">SUM(G297:G311)</f>
        <v>-57037875.809999987</v>
      </c>
      <c r="H312" s="802">
        <f t="shared" si="47"/>
        <v>-57045916.439999983</v>
      </c>
      <c r="I312" s="802">
        <f t="shared" si="47"/>
        <v>-56953022.820000008</v>
      </c>
      <c r="J312" s="802">
        <f t="shared" si="47"/>
        <v>-56946134.549999997</v>
      </c>
      <c r="K312" s="802">
        <f t="shared" si="47"/>
        <v>-56944140.24000001</v>
      </c>
      <c r="L312" s="802">
        <f t="shared" si="47"/>
        <v>-56943600.479999989</v>
      </c>
      <c r="M312" s="802">
        <f t="shared" si="47"/>
        <v>-57603456.820000008</v>
      </c>
      <c r="N312" s="802">
        <f t="shared" si="47"/>
        <v>-57295852.18</v>
      </c>
      <c r="O312" s="802">
        <f t="shared" si="47"/>
        <v>-57262225.970000014</v>
      </c>
      <c r="P312" s="802">
        <f t="shared" si="47"/>
        <v>-57224168.289999992</v>
      </c>
      <c r="Q312" s="802">
        <f t="shared" si="47"/>
        <v>-57089476.540000007</v>
      </c>
      <c r="R312" s="802">
        <f t="shared" si="47"/>
        <v>-56355398.26000002</v>
      </c>
      <c r="S312" s="802">
        <f t="shared" si="47"/>
        <v>-57087328.715000004</v>
      </c>
      <c r="T312" s="754"/>
      <c r="U312" s="789"/>
      <c r="V312" s="789"/>
      <c r="W312" s="789"/>
      <c r="X312" s="790">
        <f>S312-S301-S298-S306-S307-S308-S299-S311</f>
        <v>-14498216.697083332</v>
      </c>
      <c r="Y312" s="767"/>
      <c r="Z312" s="767"/>
    </row>
    <row r="313" spans="1:26">
      <c r="A313" s="750"/>
      <c r="B313" s="750"/>
      <c r="C313" s="775">
        <v>304</v>
      </c>
      <c r="D313" s="752"/>
      <c r="E313" s="832"/>
      <c r="F313" s="778"/>
      <c r="G313" s="860"/>
      <c r="H313" s="780"/>
      <c r="I313" s="780"/>
      <c r="J313" s="781"/>
      <c r="K313" s="782"/>
      <c r="L313" s="783"/>
      <c r="M313" s="784"/>
      <c r="N313" s="785"/>
      <c r="O313" s="786"/>
      <c r="P313" s="787"/>
      <c r="Q313" s="861"/>
      <c r="R313" s="778"/>
      <c r="S313" s="780">
        <f t="shared" si="42"/>
        <v>0</v>
      </c>
      <c r="T313" s="754"/>
      <c r="U313" s="789"/>
      <c r="V313" s="789"/>
      <c r="W313" s="789"/>
      <c r="X313" s="789"/>
      <c r="Y313" s="767"/>
      <c r="Z313" s="767"/>
    </row>
    <row r="314" spans="1:26">
      <c r="A314" s="774" t="s">
        <v>849</v>
      </c>
      <c r="B314" s="774" t="s">
        <v>410</v>
      </c>
      <c r="C314" s="775">
        <v>305</v>
      </c>
      <c r="D314" s="774" t="str">
        <f>+A314</f>
        <v>2550</v>
      </c>
      <c r="E314" s="832" t="s">
        <v>850</v>
      </c>
      <c r="F314" s="778">
        <v>-373122</v>
      </c>
      <c r="G314" s="860">
        <v>-368995.92</v>
      </c>
      <c r="H314" s="780">
        <v>-364869.83</v>
      </c>
      <c r="I314" s="780">
        <v>-360743.75</v>
      </c>
      <c r="J314" s="781">
        <v>-356617.67</v>
      </c>
      <c r="K314" s="782">
        <v>-352491.58</v>
      </c>
      <c r="L314" s="783">
        <v>-348718</v>
      </c>
      <c r="M314" s="784">
        <v>-344650.67</v>
      </c>
      <c r="N314" s="785">
        <v>-340583.33</v>
      </c>
      <c r="O314" s="786">
        <v>-336516</v>
      </c>
      <c r="P314" s="787">
        <v>-332448.67</v>
      </c>
      <c r="Q314" s="861">
        <v>-328355.33</v>
      </c>
      <c r="R314" s="778">
        <v>-324288</v>
      </c>
      <c r="S314" s="780">
        <f t="shared" si="42"/>
        <v>-348641.3125</v>
      </c>
      <c r="T314" s="754"/>
      <c r="U314" s="789"/>
      <c r="V314" s="790">
        <f>S314</f>
        <v>-348641.3125</v>
      </c>
      <c r="W314" s="789"/>
      <c r="X314" s="789"/>
      <c r="Y314" s="767"/>
      <c r="Z314" s="767"/>
    </row>
    <row r="315" spans="1:26">
      <c r="A315" s="774" t="s">
        <v>851</v>
      </c>
      <c r="B315" s="774" t="s">
        <v>410</v>
      </c>
      <c r="C315" s="775">
        <v>306</v>
      </c>
      <c r="D315" s="774" t="str">
        <f>+A315</f>
        <v>2820</v>
      </c>
      <c r="E315" s="832" t="s">
        <v>852</v>
      </c>
      <c r="F315" s="778">
        <v>-96815259.790000007</v>
      </c>
      <c r="G315" s="860">
        <v>-96798119.579999998</v>
      </c>
      <c r="H315" s="780">
        <v>-96780979.340000004</v>
      </c>
      <c r="I315" s="780">
        <v>-97223385.599999994</v>
      </c>
      <c r="J315" s="781">
        <v>-97097374.659999996</v>
      </c>
      <c r="K315" s="782">
        <v>-96971363.799999997</v>
      </c>
      <c r="L315" s="783">
        <v>-97181324.890000001</v>
      </c>
      <c r="M315" s="784">
        <v>-97111309.340000004</v>
      </c>
      <c r="N315" s="785">
        <v>-97041293.75</v>
      </c>
      <c r="O315" s="786">
        <v>-98273089.640000001</v>
      </c>
      <c r="P315" s="787">
        <v>-98347719.810000002</v>
      </c>
      <c r="Q315" s="861">
        <v>-100118820.7</v>
      </c>
      <c r="R315" s="778">
        <v>-100067346.12</v>
      </c>
      <c r="S315" s="780">
        <f t="shared" si="42"/>
        <v>-97615507.005416676</v>
      </c>
      <c r="T315" s="754"/>
      <c r="U315" s="789"/>
      <c r="V315" s="790">
        <f>S315</f>
        <v>-97615507.005416676</v>
      </c>
      <c r="W315" s="789"/>
      <c r="X315" s="789"/>
      <c r="Y315" s="767"/>
      <c r="Z315" s="767"/>
    </row>
    <row r="316" spans="1:26">
      <c r="A316" s="774" t="s">
        <v>853</v>
      </c>
      <c r="B316" s="774" t="s">
        <v>410</v>
      </c>
      <c r="C316" s="775">
        <v>307</v>
      </c>
      <c r="D316" s="774" t="str">
        <f>+A316</f>
        <v>2830</v>
      </c>
      <c r="E316" s="832" t="s">
        <v>854</v>
      </c>
      <c r="F316" s="778">
        <v>-36786388.119999997</v>
      </c>
      <c r="G316" s="860">
        <v>-36797682.920000002</v>
      </c>
      <c r="H316" s="780">
        <v>-36808977.82</v>
      </c>
      <c r="I316" s="780">
        <v>-37065961.369999997</v>
      </c>
      <c r="J316" s="781">
        <v>-37077311.259999998</v>
      </c>
      <c r="K316" s="782">
        <v>-37088661.189999998</v>
      </c>
      <c r="L316" s="783">
        <v>-37083468.740000002</v>
      </c>
      <c r="M316" s="784">
        <v>-37092066.420000002</v>
      </c>
      <c r="N316" s="785">
        <v>-37100664.079999998</v>
      </c>
      <c r="O316" s="786">
        <v>-36995176.82</v>
      </c>
      <c r="P316" s="787">
        <v>-36991101.07</v>
      </c>
      <c r="Q316" s="861">
        <v>-36987025.399999999</v>
      </c>
      <c r="R316" s="778">
        <v>-36157095.619999997</v>
      </c>
      <c r="S316" s="780">
        <f t="shared" si="42"/>
        <v>-36963319.913333334</v>
      </c>
      <c r="T316" s="754"/>
      <c r="U316" s="789"/>
      <c r="V316" s="789"/>
      <c r="W316" s="767"/>
      <c r="X316" s="790">
        <f>S316</f>
        <v>-36963319.913333334</v>
      </c>
      <c r="Y316" s="767"/>
      <c r="Z316" s="767"/>
    </row>
    <row r="317" spans="1:26">
      <c r="A317" s="774"/>
      <c r="B317" s="774"/>
      <c r="C317" s="775">
        <v>308</v>
      </c>
      <c r="D317" s="776"/>
      <c r="E317" s="832"/>
      <c r="F317" s="778"/>
      <c r="G317" s="860"/>
      <c r="H317" s="780"/>
      <c r="I317" s="780"/>
      <c r="J317" s="781"/>
      <c r="K317" s="782"/>
      <c r="L317" s="783"/>
      <c r="M317" s="784"/>
      <c r="N317" s="785"/>
      <c r="O317" s="786"/>
      <c r="P317" s="787"/>
      <c r="Q317" s="861"/>
      <c r="R317" s="778"/>
      <c r="S317" s="780">
        <f t="shared" si="42"/>
        <v>0</v>
      </c>
      <c r="T317" s="754"/>
      <c r="U317" s="789"/>
      <c r="V317" s="789"/>
      <c r="W317" s="789"/>
      <c r="X317" s="789"/>
      <c r="Y317" s="767"/>
      <c r="Z317" s="767"/>
    </row>
    <row r="318" spans="1:26">
      <c r="A318" s="774"/>
      <c r="B318" s="774"/>
      <c r="C318" s="775">
        <v>309</v>
      </c>
      <c r="D318" s="776"/>
      <c r="E318" s="832" t="s">
        <v>855</v>
      </c>
      <c r="F318" s="802">
        <f>SUM(F314:F316)</f>
        <v>-133974769.91</v>
      </c>
      <c r="G318" s="802">
        <f t="shared" ref="G318:S318" si="48">SUM(G314:G316)</f>
        <v>-133964798.42</v>
      </c>
      <c r="H318" s="802">
        <f t="shared" si="48"/>
        <v>-133954826.99000001</v>
      </c>
      <c r="I318" s="802">
        <f t="shared" si="48"/>
        <v>-134650090.72</v>
      </c>
      <c r="J318" s="802">
        <f t="shared" si="48"/>
        <v>-134531303.59</v>
      </c>
      <c r="K318" s="802">
        <f t="shared" si="48"/>
        <v>-134412516.56999999</v>
      </c>
      <c r="L318" s="802">
        <f t="shared" si="48"/>
        <v>-134613511.63</v>
      </c>
      <c r="M318" s="802">
        <f t="shared" si="48"/>
        <v>-134548026.43000001</v>
      </c>
      <c r="N318" s="802">
        <f t="shared" si="48"/>
        <v>-134482541.16</v>
      </c>
      <c r="O318" s="802">
        <f t="shared" si="48"/>
        <v>-135604782.46000001</v>
      </c>
      <c r="P318" s="802">
        <f t="shared" si="48"/>
        <v>-135671269.55000001</v>
      </c>
      <c r="Q318" s="802">
        <f t="shared" si="48"/>
        <v>-137434201.43000001</v>
      </c>
      <c r="R318" s="802">
        <f t="shared" si="48"/>
        <v>-136548729.74000001</v>
      </c>
      <c r="S318" s="802">
        <f t="shared" si="48"/>
        <v>-134927468.23125002</v>
      </c>
      <c r="T318" s="754"/>
      <c r="U318" s="789"/>
      <c r="V318" s="790"/>
      <c r="W318" s="789"/>
      <c r="X318" s="790"/>
      <c r="Y318" s="767"/>
      <c r="Z318" s="767"/>
    </row>
    <row r="319" spans="1:26">
      <c r="A319" s="774"/>
      <c r="B319" s="774"/>
      <c r="C319" s="775">
        <v>310</v>
      </c>
      <c r="D319" s="776"/>
      <c r="E319" s="832"/>
      <c r="F319" s="778"/>
      <c r="G319" s="860"/>
      <c r="H319" s="780"/>
      <c r="I319" s="780"/>
      <c r="J319" s="781"/>
      <c r="K319" s="782"/>
      <c r="L319" s="783"/>
      <c r="M319" s="784"/>
      <c r="N319" s="785"/>
      <c r="O319" s="803"/>
      <c r="P319" s="787"/>
      <c r="Q319" s="861"/>
      <c r="R319" s="778"/>
      <c r="S319" s="780">
        <f t="shared" si="42"/>
        <v>0</v>
      </c>
      <c r="T319" s="754"/>
      <c r="U319" s="789"/>
      <c r="V319" s="789"/>
      <c r="W319" s="789"/>
      <c r="X319" s="789"/>
      <c r="Y319" s="754"/>
      <c r="Z319" s="767"/>
    </row>
    <row r="320" spans="1:26">
      <c r="A320" s="774" t="s">
        <v>856</v>
      </c>
      <c r="B320" s="774" t="s">
        <v>410</v>
      </c>
      <c r="C320" s="775">
        <v>311</v>
      </c>
      <c r="D320" s="774" t="str">
        <f t="shared" ref="D320:D329" si="49">+A320</f>
        <v>4002</v>
      </c>
      <c r="E320" s="832" t="s">
        <v>857</v>
      </c>
      <c r="F320" s="778">
        <v>-259415782.06999999</v>
      </c>
      <c r="G320" s="860">
        <v>-45323066.640000001</v>
      </c>
      <c r="H320" s="780">
        <v>-80057653.469999999</v>
      </c>
      <c r="I320" s="780">
        <v>-111374897.91</v>
      </c>
      <c r="J320" s="781">
        <v>-133185623.67</v>
      </c>
      <c r="K320" s="782">
        <v>-145688899.18000001</v>
      </c>
      <c r="L320" s="783">
        <v>-156892353.78999999</v>
      </c>
      <c r="M320" s="784">
        <v>-165904168.34</v>
      </c>
      <c r="N320" s="785">
        <v>-174315533.75</v>
      </c>
      <c r="O320" s="803">
        <v>-183043818.47999999</v>
      </c>
      <c r="P320" s="787">
        <v>-194186177.81</v>
      </c>
      <c r="Q320" s="861">
        <v>-212005979.94</v>
      </c>
      <c r="R320" s="778">
        <v>-239183463.71000001</v>
      </c>
      <c r="S320" s="780">
        <f t="shared" si="42"/>
        <v>-154273149.65583333</v>
      </c>
      <c r="T320" s="754"/>
      <c r="U320" s="789"/>
      <c r="V320" s="789"/>
      <c r="W320" s="789"/>
      <c r="X320" s="789"/>
      <c r="Y320" s="754"/>
      <c r="Z320" s="767"/>
    </row>
    <row r="321" spans="1:26">
      <c r="A321" s="774" t="s">
        <v>858</v>
      </c>
      <c r="B321" s="774" t="s">
        <v>410</v>
      </c>
      <c r="C321" s="775">
        <v>312</v>
      </c>
      <c r="D321" s="774" t="str">
        <f t="shared" si="49"/>
        <v>4009</v>
      </c>
      <c r="E321" s="832" t="s">
        <v>859</v>
      </c>
      <c r="F321" s="778">
        <v>1552858.97</v>
      </c>
      <c r="G321" s="860">
        <v>4005093.48</v>
      </c>
      <c r="H321" s="780">
        <v>9465204.3399999999</v>
      </c>
      <c r="I321" s="780">
        <v>14048141.210000001</v>
      </c>
      <c r="J321" s="781">
        <v>20361817.25</v>
      </c>
      <c r="K321" s="782">
        <v>22607462.280000001</v>
      </c>
      <c r="L321" s="783">
        <v>24440311.859999999</v>
      </c>
      <c r="M321" s="784">
        <v>24895280.629999999</v>
      </c>
      <c r="N321" s="785">
        <v>25388956.489999998</v>
      </c>
      <c r="O321" s="803">
        <v>24433522.41</v>
      </c>
      <c r="P321" s="787">
        <v>18554333.449999999</v>
      </c>
      <c r="Q321" s="861">
        <v>11888891.560000001</v>
      </c>
      <c r="R321" s="778">
        <v>-3293083.96</v>
      </c>
      <c r="S321" s="780">
        <f t="shared" si="42"/>
        <v>16601575.205416664</v>
      </c>
      <c r="T321" s="754"/>
      <c r="U321" s="789"/>
      <c r="V321" s="789"/>
      <c r="W321" s="789"/>
      <c r="X321" s="789"/>
      <c r="Y321" s="754"/>
      <c r="Z321" s="767"/>
    </row>
    <row r="322" spans="1:26">
      <c r="A322" s="774" t="s">
        <v>860</v>
      </c>
      <c r="B322" s="774" t="s">
        <v>410</v>
      </c>
      <c r="C322" s="775">
        <v>313</v>
      </c>
      <c r="D322" s="774" t="str">
        <f t="shared" si="49"/>
        <v>4880</v>
      </c>
      <c r="E322" s="832" t="s">
        <v>861</v>
      </c>
      <c r="F322" s="778">
        <v>-862217.33</v>
      </c>
      <c r="G322" s="860">
        <v>-89061.94</v>
      </c>
      <c r="H322" s="780">
        <v>-207924.78</v>
      </c>
      <c r="I322" s="780">
        <v>-316588.63</v>
      </c>
      <c r="J322" s="781">
        <v>-419452.29</v>
      </c>
      <c r="K322" s="782">
        <v>-505183.22</v>
      </c>
      <c r="L322" s="783">
        <v>-595431.06999999995</v>
      </c>
      <c r="M322" s="784">
        <v>-645821.11</v>
      </c>
      <c r="N322" s="785">
        <v>-715761.13</v>
      </c>
      <c r="O322" s="803">
        <v>-776822.17</v>
      </c>
      <c r="P322" s="787">
        <v>-845295.21</v>
      </c>
      <c r="Q322" s="861">
        <v>-910819.52</v>
      </c>
      <c r="R322" s="778">
        <v>-988436.27</v>
      </c>
      <c r="S322" s="780">
        <f t="shared" si="42"/>
        <v>-579457.32250000001</v>
      </c>
      <c r="T322" s="754"/>
      <c r="U322" s="789"/>
      <c r="V322" s="789"/>
      <c r="W322" s="789"/>
      <c r="X322" s="789"/>
      <c r="Y322" s="754"/>
      <c r="Z322" s="767"/>
    </row>
    <row r="323" spans="1:26">
      <c r="A323" s="774" t="s">
        <v>142</v>
      </c>
      <c r="B323" s="774" t="s">
        <v>410</v>
      </c>
      <c r="C323" s="775">
        <v>314</v>
      </c>
      <c r="D323" s="774" t="str">
        <f t="shared" si="49"/>
        <v>4890</v>
      </c>
      <c r="E323" s="832" t="s">
        <v>862</v>
      </c>
      <c r="F323" s="778">
        <v>-24386993.02</v>
      </c>
      <c r="G323" s="860">
        <v>-2111413.48</v>
      </c>
      <c r="H323" s="780">
        <v>-4276649.83</v>
      </c>
      <c r="I323" s="780">
        <v>-6316929.8099999996</v>
      </c>
      <c r="J323" s="781">
        <v>-8265672.3399999999</v>
      </c>
      <c r="K323" s="782">
        <v>-10123298.68</v>
      </c>
      <c r="L323" s="783">
        <v>-12024600.52</v>
      </c>
      <c r="M323" s="784">
        <v>-13970366.82</v>
      </c>
      <c r="N323" s="785">
        <v>-15960514.91</v>
      </c>
      <c r="O323" s="803">
        <v>-18108253.84</v>
      </c>
      <c r="P323" s="787">
        <v>-20413780.93</v>
      </c>
      <c r="Q323" s="861">
        <v>-22680148.91</v>
      </c>
      <c r="R323" s="778">
        <v>-24926674.07</v>
      </c>
      <c r="S323" s="780">
        <f t="shared" si="42"/>
        <v>-13242371.967916667</v>
      </c>
      <c r="T323" s="754"/>
      <c r="U323" s="789"/>
      <c r="V323" s="789"/>
      <c r="W323" s="789"/>
      <c r="X323" s="789"/>
      <c r="Y323" s="754"/>
      <c r="Z323" s="767"/>
    </row>
    <row r="324" spans="1:26">
      <c r="A324" s="774" t="s">
        <v>863</v>
      </c>
      <c r="B324" s="774" t="s">
        <v>410</v>
      </c>
      <c r="C324" s="775">
        <v>315</v>
      </c>
      <c r="D324" s="774" t="str">
        <f t="shared" si="49"/>
        <v>4891</v>
      </c>
      <c r="E324" s="832" t="s">
        <v>864</v>
      </c>
      <c r="F324" s="778">
        <v>-32543.279999999999</v>
      </c>
      <c r="G324" s="860">
        <v>-48575.42</v>
      </c>
      <c r="H324" s="780">
        <v>63131.74</v>
      </c>
      <c r="I324" s="780">
        <v>161602.95000000001</v>
      </c>
      <c r="J324" s="781">
        <v>252785.47</v>
      </c>
      <c r="K324" s="782">
        <v>210634.32</v>
      </c>
      <c r="L324" s="783">
        <v>172263.25</v>
      </c>
      <c r="M324" s="784">
        <v>121606.33</v>
      </c>
      <c r="N324" s="785">
        <v>-39854.22</v>
      </c>
      <c r="O324" s="803">
        <v>-201026.47</v>
      </c>
      <c r="P324" s="787">
        <v>-163401.70000000001</v>
      </c>
      <c r="Q324" s="861">
        <v>-142826.20000000001</v>
      </c>
      <c r="R324" s="778">
        <v>-334499.83</v>
      </c>
      <c r="S324" s="780">
        <f t="shared" si="42"/>
        <v>16901.541249999998</v>
      </c>
      <c r="T324" s="754"/>
      <c r="U324" s="789"/>
      <c r="V324" s="789"/>
      <c r="W324" s="789"/>
      <c r="X324" s="789"/>
      <c r="Y324" s="754"/>
      <c r="Z324" s="767"/>
    </row>
    <row r="325" spans="1:26">
      <c r="A325" s="774" t="s">
        <v>144</v>
      </c>
      <c r="B325" s="774" t="s">
        <v>410</v>
      </c>
      <c r="C325" s="775">
        <v>316</v>
      </c>
      <c r="D325" s="774" t="str">
        <f t="shared" si="49"/>
        <v>4930</v>
      </c>
      <c r="E325" s="832" t="s">
        <v>865</v>
      </c>
      <c r="F325" s="778">
        <v>-12100</v>
      </c>
      <c r="G325" s="860">
        <v>-1000</v>
      </c>
      <c r="H325" s="780">
        <v>-2000</v>
      </c>
      <c r="I325" s="780">
        <v>-4000</v>
      </c>
      <c r="J325" s="781">
        <v>-4000</v>
      </c>
      <c r="K325" s="782">
        <v>-5100</v>
      </c>
      <c r="L325" s="783">
        <v>-6100</v>
      </c>
      <c r="M325" s="784">
        <v>-7100</v>
      </c>
      <c r="N325" s="785">
        <v>-8100</v>
      </c>
      <c r="O325" s="803">
        <v>-9100</v>
      </c>
      <c r="P325" s="787">
        <v>-10100</v>
      </c>
      <c r="Q325" s="861">
        <v>-11100</v>
      </c>
      <c r="R325" s="778">
        <v>-12100</v>
      </c>
      <c r="S325" s="780">
        <f t="shared" si="42"/>
        <v>-6650</v>
      </c>
      <c r="T325" s="754"/>
      <c r="U325" s="789"/>
      <c r="V325" s="789"/>
      <c r="W325" s="789"/>
      <c r="X325" s="789"/>
      <c r="Y325" s="754"/>
      <c r="Z325" s="767"/>
    </row>
    <row r="326" spans="1:26">
      <c r="A326" s="774" t="s">
        <v>146</v>
      </c>
      <c r="B326" s="774" t="s">
        <v>410</v>
      </c>
      <c r="C326" s="775">
        <v>317</v>
      </c>
      <c r="D326" s="774" t="str">
        <f t="shared" si="49"/>
        <v>4940</v>
      </c>
      <c r="E326" s="774" t="s">
        <v>147</v>
      </c>
      <c r="F326" s="778">
        <v>-102660</v>
      </c>
      <c r="G326" s="860">
        <v>-10127</v>
      </c>
      <c r="H326" s="780">
        <v>-20254</v>
      </c>
      <c r="I326" s="780">
        <v>-30381</v>
      </c>
      <c r="J326" s="781">
        <v>-40508</v>
      </c>
      <c r="K326" s="782">
        <v>-50635</v>
      </c>
      <c r="L326" s="783">
        <v>-60762</v>
      </c>
      <c r="M326" s="784">
        <v>-70889</v>
      </c>
      <c r="N326" s="785">
        <v>-81016</v>
      </c>
      <c r="O326" s="803">
        <v>-91143</v>
      </c>
      <c r="P326" s="787">
        <v>-101270</v>
      </c>
      <c r="Q326" s="861">
        <v>-111397</v>
      </c>
      <c r="R326" s="778">
        <v>-121524</v>
      </c>
      <c r="S326" s="780">
        <f t="shared" si="42"/>
        <v>-65039.5</v>
      </c>
      <c r="T326" s="754"/>
      <c r="U326" s="789"/>
      <c r="V326" s="789"/>
      <c r="W326" s="789"/>
      <c r="X326" s="789"/>
      <c r="Y326" s="754"/>
      <c r="Z326" s="767"/>
    </row>
    <row r="327" spans="1:26">
      <c r="A327" s="774" t="s">
        <v>148</v>
      </c>
      <c r="B327" s="774" t="s">
        <v>410</v>
      </c>
      <c r="C327" s="775">
        <v>318</v>
      </c>
      <c r="D327" s="774" t="str">
        <f t="shared" si="49"/>
        <v>4950</v>
      </c>
      <c r="E327" s="832" t="s">
        <v>866</v>
      </c>
      <c r="F327" s="778">
        <v>-285467.40999999997</v>
      </c>
      <c r="G327" s="860">
        <v>-6338.56</v>
      </c>
      <c r="H327" s="780">
        <v>-33925.410000000003</v>
      </c>
      <c r="I327" s="780">
        <v>-57596.61</v>
      </c>
      <c r="J327" s="781">
        <v>-65771.899999999994</v>
      </c>
      <c r="K327" s="782">
        <v>-75369.960000000006</v>
      </c>
      <c r="L327" s="783">
        <v>-101903.1</v>
      </c>
      <c r="M327" s="784">
        <v>-117269.58</v>
      </c>
      <c r="N327" s="785">
        <v>-125429.82</v>
      </c>
      <c r="O327" s="803">
        <v>-147744.69</v>
      </c>
      <c r="P327" s="787">
        <v>-129394.63</v>
      </c>
      <c r="Q327" s="861">
        <v>-137718.89000000001</v>
      </c>
      <c r="R327" s="778">
        <v>-152621.38</v>
      </c>
      <c r="S327" s="780">
        <f t="shared" si="42"/>
        <v>-101458.96208333335</v>
      </c>
      <c r="T327" s="754"/>
      <c r="U327" s="789"/>
      <c r="V327" s="789"/>
      <c r="W327" s="789"/>
      <c r="X327" s="789"/>
      <c r="Y327" s="754"/>
      <c r="Z327" s="767"/>
    </row>
    <row r="328" spans="1:26">
      <c r="A328" s="774" t="s">
        <v>867</v>
      </c>
      <c r="B328" s="774" t="s">
        <v>410</v>
      </c>
      <c r="C328" s="775">
        <v>319</v>
      </c>
      <c r="D328" s="774" t="str">
        <f t="shared" si="49"/>
        <v>4962</v>
      </c>
      <c r="E328" s="832" t="s">
        <v>868</v>
      </c>
      <c r="F328" s="778">
        <v>0</v>
      </c>
      <c r="G328" s="860">
        <v>0</v>
      </c>
      <c r="H328" s="780">
        <v>0</v>
      </c>
      <c r="I328" s="780">
        <v>0</v>
      </c>
      <c r="J328" s="781">
        <v>0</v>
      </c>
      <c r="K328" s="782">
        <v>0</v>
      </c>
      <c r="L328" s="783">
        <v>0</v>
      </c>
      <c r="M328" s="784">
        <v>0</v>
      </c>
      <c r="N328" s="785">
        <v>0</v>
      </c>
      <c r="O328" s="803">
        <v>0</v>
      </c>
      <c r="P328" s="787">
        <v>0</v>
      </c>
      <c r="Q328" s="861">
        <v>0</v>
      </c>
      <c r="R328" s="778">
        <v>0</v>
      </c>
      <c r="S328" s="780">
        <f t="shared" si="42"/>
        <v>0</v>
      </c>
      <c r="T328" s="754"/>
      <c r="U328" s="789"/>
      <c r="V328" s="789"/>
      <c r="W328" s="789"/>
      <c r="X328" s="789"/>
      <c r="Y328" s="754"/>
      <c r="Z328" s="767"/>
    </row>
    <row r="329" spans="1:26">
      <c r="A329" s="774" t="s">
        <v>869</v>
      </c>
      <c r="B329" s="774" t="s">
        <v>410</v>
      </c>
      <c r="C329" s="775">
        <v>320</v>
      </c>
      <c r="D329" s="774" t="str">
        <f t="shared" si="49"/>
        <v>5000</v>
      </c>
      <c r="E329" s="832" t="s">
        <v>870</v>
      </c>
      <c r="F329" s="778">
        <v>0</v>
      </c>
      <c r="G329" s="860">
        <v>0</v>
      </c>
      <c r="H329" s="780">
        <v>0</v>
      </c>
      <c r="I329" s="780">
        <v>0</v>
      </c>
      <c r="J329" s="781">
        <v>0</v>
      </c>
      <c r="K329" s="782">
        <v>0</v>
      </c>
      <c r="L329" s="783">
        <v>0</v>
      </c>
      <c r="M329" s="784">
        <v>0</v>
      </c>
      <c r="N329" s="785">
        <v>0</v>
      </c>
      <c r="O329" s="803">
        <v>0</v>
      </c>
      <c r="P329" s="787">
        <v>0</v>
      </c>
      <c r="Q329" s="861">
        <v>0</v>
      </c>
      <c r="R329" s="778">
        <v>0</v>
      </c>
      <c r="S329" s="780">
        <f t="shared" si="42"/>
        <v>0</v>
      </c>
      <c r="T329" s="754"/>
      <c r="U329" s="789"/>
      <c r="V329" s="789"/>
      <c r="W329" s="789"/>
      <c r="X329" s="789"/>
      <c r="Y329" s="767"/>
      <c r="Z329" s="767"/>
    </row>
    <row r="330" spans="1:26">
      <c r="A330" s="774"/>
      <c r="B330" s="774"/>
      <c r="C330" s="775">
        <v>321</v>
      </c>
      <c r="D330" s="776"/>
      <c r="E330" s="832" t="s">
        <v>871</v>
      </c>
      <c r="F330" s="802">
        <f>SUM(F320:F329)</f>
        <v>-283544904.13999999</v>
      </c>
      <c r="G330" s="802">
        <f t="shared" ref="G330:S330" si="50">SUM(G320:G329)</f>
        <v>-43584489.560000002</v>
      </c>
      <c r="H330" s="802">
        <f t="shared" si="50"/>
        <v>-75070071.409999996</v>
      </c>
      <c r="I330" s="802">
        <f t="shared" si="50"/>
        <v>-103890649.79999998</v>
      </c>
      <c r="J330" s="802">
        <f t="shared" si="50"/>
        <v>-121366425.48000002</v>
      </c>
      <c r="K330" s="802">
        <f t="shared" si="50"/>
        <v>-133630389.44000001</v>
      </c>
      <c r="L330" s="802">
        <f t="shared" si="50"/>
        <v>-145068575.36999997</v>
      </c>
      <c r="M330" s="802">
        <f t="shared" si="50"/>
        <v>-155698727.89000002</v>
      </c>
      <c r="N330" s="802">
        <f t="shared" si="50"/>
        <v>-165857253.33999997</v>
      </c>
      <c r="O330" s="802">
        <f t="shared" si="50"/>
        <v>-177944386.23999998</v>
      </c>
      <c r="P330" s="802">
        <f t="shared" si="50"/>
        <v>-197295086.83000001</v>
      </c>
      <c r="Q330" s="802">
        <f t="shared" si="50"/>
        <v>-224111098.89999998</v>
      </c>
      <c r="R330" s="802">
        <f t="shared" si="50"/>
        <v>-269012403.22000003</v>
      </c>
      <c r="S330" s="802">
        <f t="shared" si="50"/>
        <v>-151649650.66166669</v>
      </c>
      <c r="T330" s="758"/>
      <c r="U330" s="790">
        <f>S330</f>
        <v>-151649650.66166669</v>
      </c>
      <c r="V330" s="789"/>
      <c r="W330" s="789"/>
      <c r="X330" s="790"/>
      <c r="Y330" s="889"/>
      <c r="Z330" s="767"/>
    </row>
    <row r="331" spans="1:26">
      <c r="A331" s="774"/>
      <c r="B331" s="774"/>
      <c r="C331" s="775">
        <v>322</v>
      </c>
      <c r="D331" s="776"/>
      <c r="E331" s="832"/>
      <c r="F331" s="778"/>
      <c r="G331" s="860"/>
      <c r="H331" s="780"/>
      <c r="I331" s="780"/>
      <c r="J331" s="781"/>
      <c r="K331" s="782"/>
      <c r="L331" s="783"/>
      <c r="M331" s="784"/>
      <c r="N331" s="785"/>
      <c r="O331" s="803"/>
      <c r="P331" s="787"/>
      <c r="Q331" s="861"/>
      <c r="R331" s="778"/>
      <c r="S331" s="780">
        <f t="shared" si="42"/>
        <v>0</v>
      </c>
      <c r="T331" s="754"/>
      <c r="U331" s="789"/>
      <c r="V331" s="789"/>
      <c r="W331" s="789"/>
      <c r="X331" s="789"/>
      <c r="Y331" s="889"/>
      <c r="Z331" s="767"/>
    </row>
    <row r="332" spans="1:26">
      <c r="A332" s="774" t="s">
        <v>872</v>
      </c>
      <c r="B332" s="774" t="s">
        <v>630</v>
      </c>
      <c r="C332" s="775">
        <v>323</v>
      </c>
      <c r="D332" s="752" t="str">
        <f>A332&amp;"."&amp;B332</f>
        <v>4190.[/011]</v>
      </c>
      <c r="E332" s="774" t="s">
        <v>344</v>
      </c>
      <c r="F332" s="778">
        <v>-9071565.0700000003</v>
      </c>
      <c r="G332" s="860">
        <v>-29025.52</v>
      </c>
      <c r="H332" s="780">
        <v>-50867.63</v>
      </c>
      <c r="I332" s="780">
        <v>-107953.26</v>
      </c>
      <c r="J332" s="781">
        <v>-147646.09</v>
      </c>
      <c r="K332" s="782">
        <v>-193698.04</v>
      </c>
      <c r="L332" s="783">
        <v>-252297.46</v>
      </c>
      <c r="M332" s="784">
        <v>-307123.62</v>
      </c>
      <c r="N332" s="785">
        <v>-449347.6</v>
      </c>
      <c r="O332" s="803">
        <v>-500575.91</v>
      </c>
      <c r="P332" s="787">
        <v>-538645.17000000004</v>
      </c>
      <c r="Q332" s="861">
        <v>-565602.80000000005</v>
      </c>
      <c r="R332" s="778">
        <v>-610339.98</v>
      </c>
      <c r="S332" s="780">
        <f t="shared" ref="S332:S341" si="51">((F332+R332)+((G332+H332+I332+J332+K332+L332+M332+N332+O332+P332+Q332)*2))/24</f>
        <v>-665311.30208333337</v>
      </c>
      <c r="T332" s="754"/>
      <c r="U332" s="789"/>
      <c r="V332" s="789"/>
      <c r="W332" s="789"/>
      <c r="X332" s="789"/>
      <c r="Y332" s="754"/>
      <c r="Z332" s="767"/>
    </row>
    <row r="333" spans="1:26">
      <c r="A333" s="774" t="s">
        <v>872</v>
      </c>
      <c r="B333" s="774" t="s">
        <v>631</v>
      </c>
      <c r="C333" s="775">
        <v>324</v>
      </c>
      <c r="D333" s="752" t="str">
        <f>A333&amp;"."&amp;B333</f>
        <v>4190.011</v>
      </c>
      <c r="E333" s="774" t="s">
        <v>873</v>
      </c>
      <c r="F333" s="778">
        <v>-266466</v>
      </c>
      <c r="G333" s="860">
        <v>0</v>
      </c>
      <c r="H333" s="780">
        <v>0</v>
      </c>
      <c r="I333" s="780">
        <v>0</v>
      </c>
      <c r="J333" s="781">
        <v>0</v>
      </c>
      <c r="K333" s="782">
        <v>0</v>
      </c>
      <c r="L333" s="783">
        <v>0</v>
      </c>
      <c r="M333" s="784">
        <v>0</v>
      </c>
      <c r="N333" s="785">
        <v>0</v>
      </c>
      <c r="O333" s="803">
        <v>0</v>
      </c>
      <c r="P333" s="787">
        <v>0</v>
      </c>
      <c r="Q333" s="861">
        <v>0</v>
      </c>
      <c r="R333" s="778">
        <v>0</v>
      </c>
      <c r="S333" s="780">
        <f t="shared" si="51"/>
        <v>-11102.75</v>
      </c>
      <c r="T333" s="754"/>
      <c r="U333" s="789"/>
      <c r="V333" s="789"/>
      <c r="W333" s="789"/>
      <c r="X333" s="789"/>
      <c r="Y333" s="754"/>
      <c r="Z333" s="767"/>
    </row>
    <row r="334" spans="1:26">
      <c r="A334" s="774" t="s">
        <v>874</v>
      </c>
      <c r="B334" s="774" t="s">
        <v>410</v>
      </c>
      <c r="C334" s="775">
        <v>325</v>
      </c>
      <c r="D334" s="774" t="str">
        <f>+A334</f>
        <v>4210</v>
      </c>
      <c r="E334" s="832" t="s">
        <v>875</v>
      </c>
      <c r="F334" s="778">
        <v>-18356.8</v>
      </c>
      <c r="G334" s="860">
        <v>-874.82</v>
      </c>
      <c r="H334" s="780">
        <v>-1908.15</v>
      </c>
      <c r="I334" s="780">
        <v>-4196.79</v>
      </c>
      <c r="J334" s="781">
        <v>-6825.79</v>
      </c>
      <c r="K334" s="782">
        <v>-8774.06</v>
      </c>
      <c r="L334" s="783">
        <v>-9713.98</v>
      </c>
      <c r="M334" s="784">
        <v>-10601.3</v>
      </c>
      <c r="N334" s="785">
        <v>-12623.65</v>
      </c>
      <c r="O334" s="803">
        <v>-13521.06</v>
      </c>
      <c r="P334" s="787">
        <v>-15150.16</v>
      </c>
      <c r="Q334" s="861">
        <v>-16277.85</v>
      </c>
      <c r="R334" s="778">
        <v>-17666.43</v>
      </c>
      <c r="S334" s="780">
        <f t="shared" si="51"/>
        <v>-9873.2687500000011</v>
      </c>
      <c r="T334" s="754"/>
      <c r="U334" s="789"/>
      <c r="V334" s="789"/>
      <c r="W334" s="789"/>
      <c r="X334" s="789"/>
      <c r="Y334" s="754"/>
      <c r="Z334" s="767"/>
    </row>
    <row r="335" spans="1:26">
      <c r="A335" s="774" t="s">
        <v>876</v>
      </c>
      <c r="B335" s="774" t="s">
        <v>410</v>
      </c>
      <c r="C335" s="775">
        <v>326</v>
      </c>
      <c r="D335" s="774" t="str">
        <f>+A335</f>
        <v>4181</v>
      </c>
      <c r="E335" s="832" t="s">
        <v>877</v>
      </c>
      <c r="F335" s="778">
        <v>0</v>
      </c>
      <c r="G335" s="860">
        <v>0</v>
      </c>
      <c r="H335" s="780">
        <v>0</v>
      </c>
      <c r="I335" s="780">
        <v>0</v>
      </c>
      <c r="J335" s="781">
        <v>0</v>
      </c>
      <c r="K335" s="782">
        <v>0</v>
      </c>
      <c r="L335" s="783">
        <v>0</v>
      </c>
      <c r="M335" s="784">
        <v>0</v>
      </c>
      <c r="N335" s="785">
        <v>0</v>
      </c>
      <c r="O335" s="803">
        <v>0</v>
      </c>
      <c r="P335" s="787">
        <v>0</v>
      </c>
      <c r="Q335" s="861">
        <v>0</v>
      </c>
      <c r="R335" s="778">
        <v>0</v>
      </c>
      <c r="S335" s="780">
        <f t="shared" si="51"/>
        <v>0</v>
      </c>
      <c r="T335" s="767"/>
      <c r="U335" s="789"/>
      <c r="V335" s="789"/>
      <c r="W335" s="789"/>
      <c r="X335" s="789"/>
      <c r="Y335" s="767"/>
      <c r="Z335" s="767"/>
    </row>
    <row r="336" spans="1:26">
      <c r="A336" s="774" t="s">
        <v>878</v>
      </c>
      <c r="B336" s="774" t="s">
        <v>410</v>
      </c>
      <c r="C336" s="775">
        <v>327</v>
      </c>
      <c r="D336" s="774" t="str">
        <f>+A336</f>
        <v>4191</v>
      </c>
      <c r="E336" s="832" t="s">
        <v>879</v>
      </c>
      <c r="F336" s="778">
        <v>-461795.53</v>
      </c>
      <c r="G336" s="860">
        <v>-29021.1</v>
      </c>
      <c r="H336" s="780">
        <v>-54203.92</v>
      </c>
      <c r="I336" s="780">
        <v>-92338.3</v>
      </c>
      <c r="J336" s="781">
        <v>-91063.83</v>
      </c>
      <c r="K336" s="782">
        <v>-129349.55</v>
      </c>
      <c r="L336" s="783">
        <v>-160628.41</v>
      </c>
      <c r="M336" s="784">
        <v>-201601.98</v>
      </c>
      <c r="N336" s="785">
        <v>-250733</v>
      </c>
      <c r="O336" s="803">
        <v>-287568.37</v>
      </c>
      <c r="P336" s="787">
        <v>-311815.55</v>
      </c>
      <c r="Q336" s="861">
        <v>-336889.55</v>
      </c>
      <c r="R336" s="778">
        <v>-361161.84</v>
      </c>
      <c r="S336" s="780">
        <f t="shared" si="51"/>
        <v>-196391.02041666667</v>
      </c>
      <c r="T336" s="767"/>
      <c r="U336" s="789"/>
      <c r="V336" s="789"/>
      <c r="W336" s="789"/>
      <c r="X336" s="789"/>
      <c r="Y336" s="767"/>
      <c r="Z336" s="767"/>
    </row>
    <row r="337" spans="1:26">
      <c r="A337" s="774" t="s">
        <v>880</v>
      </c>
      <c r="B337" s="774" t="s">
        <v>410</v>
      </c>
      <c r="C337" s="775">
        <v>328</v>
      </c>
      <c r="D337" s="774" t="str">
        <f>+A337</f>
        <v>4320</v>
      </c>
      <c r="E337" s="832" t="s">
        <v>881</v>
      </c>
      <c r="F337" s="778">
        <v>-301152.05</v>
      </c>
      <c r="G337" s="860">
        <v>-22929.03</v>
      </c>
      <c r="H337" s="780">
        <v>-42826.400000000001</v>
      </c>
      <c r="I337" s="780">
        <v>-72947.17</v>
      </c>
      <c r="J337" s="781">
        <v>-72054</v>
      </c>
      <c r="K337" s="782">
        <v>-102293.68</v>
      </c>
      <c r="L337" s="783">
        <v>-127016.07</v>
      </c>
      <c r="M337" s="784">
        <v>-159387.71</v>
      </c>
      <c r="N337" s="785">
        <v>-198194.02</v>
      </c>
      <c r="O337" s="803">
        <v>-227335.52</v>
      </c>
      <c r="P337" s="787">
        <v>-246439.59</v>
      </c>
      <c r="Q337" s="861">
        <v>-266243.59000000003</v>
      </c>
      <c r="R337" s="778">
        <v>-284974.61</v>
      </c>
      <c r="S337" s="780">
        <f t="shared" si="51"/>
        <v>-152560.8425</v>
      </c>
      <c r="T337" s="767"/>
      <c r="U337" s="789"/>
      <c r="V337" s="789"/>
      <c r="W337" s="789"/>
      <c r="X337" s="789"/>
      <c r="Y337" s="767"/>
      <c r="Z337" s="767"/>
    </row>
    <row r="338" spans="1:26">
      <c r="A338" s="774" t="s">
        <v>882</v>
      </c>
      <c r="B338" s="774" t="s">
        <v>410</v>
      </c>
      <c r="C338" s="775">
        <v>329</v>
      </c>
      <c r="D338" s="774" t="str">
        <f>+A338</f>
        <v>4170</v>
      </c>
      <c r="E338" s="832" t="s">
        <v>883</v>
      </c>
      <c r="F338" s="778">
        <v>-9824.85</v>
      </c>
      <c r="G338" s="860">
        <v>-619.09</v>
      </c>
      <c r="H338" s="780">
        <v>-963.86</v>
      </c>
      <c r="I338" s="780">
        <v>-1577.61</v>
      </c>
      <c r="J338" s="781">
        <v>-2193.21</v>
      </c>
      <c r="K338" s="782">
        <v>-2193.21</v>
      </c>
      <c r="L338" s="783">
        <v>-2193.21</v>
      </c>
      <c r="M338" s="784">
        <v>-2376.23</v>
      </c>
      <c r="N338" s="785">
        <v>-2619.19</v>
      </c>
      <c r="O338" s="803">
        <v>-3557.12</v>
      </c>
      <c r="P338" s="787">
        <v>-4236.55</v>
      </c>
      <c r="Q338" s="861">
        <v>-4896.0200000000004</v>
      </c>
      <c r="R338" s="778">
        <v>-6275.73</v>
      </c>
      <c r="S338" s="780">
        <f t="shared" si="51"/>
        <v>-2956.2991666666662</v>
      </c>
      <c r="T338" s="767"/>
      <c r="U338" s="789"/>
      <c r="V338" s="789"/>
      <c r="W338" s="789"/>
      <c r="X338" s="789"/>
      <c r="Y338" s="767"/>
      <c r="Z338" s="767"/>
    </row>
    <row r="339" spans="1:26">
      <c r="A339" s="750"/>
      <c r="B339" s="750"/>
      <c r="C339" s="775">
        <v>330</v>
      </c>
      <c r="D339" s="752"/>
      <c r="E339" s="832"/>
      <c r="F339" s="778"/>
      <c r="G339" s="860"/>
      <c r="H339" s="780"/>
      <c r="I339" s="780"/>
      <c r="J339" s="781"/>
      <c r="K339" s="782"/>
      <c r="L339" s="783"/>
      <c r="M339" s="784"/>
      <c r="N339" s="785"/>
      <c r="O339" s="803"/>
      <c r="P339" s="787"/>
      <c r="Q339" s="861"/>
      <c r="R339" s="778"/>
      <c r="S339" s="780">
        <f t="shared" si="51"/>
        <v>0</v>
      </c>
      <c r="T339" s="767"/>
      <c r="U339" s="789"/>
      <c r="V339" s="789"/>
      <c r="W339" s="789"/>
      <c r="X339" s="789"/>
      <c r="Y339" s="767"/>
      <c r="Z339" s="767"/>
    </row>
    <row r="340" spans="1:26">
      <c r="A340" s="750"/>
      <c r="B340" s="750"/>
      <c r="C340" s="775">
        <v>331</v>
      </c>
      <c r="D340" s="752"/>
      <c r="E340" s="832" t="s">
        <v>884</v>
      </c>
      <c r="F340" s="802">
        <f>SUM(F332:F338)</f>
        <v>-10129160.300000001</v>
      </c>
      <c r="G340" s="802">
        <f t="shared" ref="G340:S340" si="52">SUM(G332:G338)</f>
        <v>-82469.56</v>
      </c>
      <c r="H340" s="802">
        <f t="shared" si="52"/>
        <v>-150769.96</v>
      </c>
      <c r="I340" s="802">
        <f t="shared" si="52"/>
        <v>-279013.12999999995</v>
      </c>
      <c r="J340" s="802">
        <f t="shared" si="52"/>
        <v>-319782.92000000004</v>
      </c>
      <c r="K340" s="802">
        <f t="shared" si="52"/>
        <v>-436308.54000000004</v>
      </c>
      <c r="L340" s="802">
        <f t="shared" si="52"/>
        <v>-551849.12999999989</v>
      </c>
      <c r="M340" s="802">
        <f t="shared" si="52"/>
        <v>-681090.84</v>
      </c>
      <c r="N340" s="802">
        <f t="shared" si="52"/>
        <v>-913517.46</v>
      </c>
      <c r="O340" s="802">
        <f t="shared" si="52"/>
        <v>-1032557.98</v>
      </c>
      <c r="P340" s="802">
        <f t="shared" si="52"/>
        <v>-1116287.0200000003</v>
      </c>
      <c r="Q340" s="802">
        <f t="shared" si="52"/>
        <v>-1189909.81</v>
      </c>
      <c r="R340" s="802">
        <f t="shared" si="52"/>
        <v>-1280418.5899999999</v>
      </c>
      <c r="S340" s="802">
        <f t="shared" si="52"/>
        <v>-1038195.4829166668</v>
      </c>
      <c r="T340" s="767"/>
      <c r="U340" s="790">
        <f>S340</f>
        <v>-1038195.4829166668</v>
      </c>
      <c r="V340" s="789"/>
      <c r="W340" s="789"/>
      <c r="X340" s="790"/>
      <c r="Y340" s="767"/>
      <c r="Z340" s="767"/>
    </row>
    <row r="341" spans="1:26">
      <c r="A341" s="750"/>
      <c r="B341" s="750"/>
      <c r="C341" s="775">
        <v>332</v>
      </c>
      <c r="D341" s="752"/>
      <c r="E341" s="832"/>
      <c r="F341" s="778"/>
      <c r="G341" s="860"/>
      <c r="H341" s="780"/>
      <c r="I341" s="780"/>
      <c r="J341" s="781"/>
      <c r="K341" s="782"/>
      <c r="L341" s="783"/>
      <c r="M341" s="784"/>
      <c r="N341" s="785"/>
      <c r="O341" s="803"/>
      <c r="P341" s="787"/>
      <c r="Q341" s="861"/>
      <c r="R341" s="778"/>
      <c r="S341" s="780">
        <f t="shared" si="51"/>
        <v>0</v>
      </c>
      <c r="T341" s="767"/>
      <c r="U341" s="754"/>
      <c r="V341" s="754"/>
      <c r="W341" s="754"/>
      <c r="X341" s="754"/>
      <c r="Y341" s="767"/>
      <c r="Z341" s="767"/>
    </row>
    <row r="342" spans="1:26" ht="16.5" thickBot="1">
      <c r="A342" s="750"/>
      <c r="B342" s="750"/>
      <c r="C342" s="775">
        <v>333</v>
      </c>
      <c r="D342" s="752"/>
      <c r="E342" s="832" t="s">
        <v>885</v>
      </c>
      <c r="F342" s="880">
        <f>+F340+F330+F318+F312+F295+F275+F274+F273+F272+F271+F270+F269+F268+F266+F234+F213</f>
        <v>-957808188.96000004</v>
      </c>
      <c r="G342" s="880">
        <f t="shared" ref="G342:S342" si="53">+G340+G330+G318+G312+G295+G275+G274+G273+G272+G271+G270+G269+G268+G266+G234+G213</f>
        <v>-702758578.59000003</v>
      </c>
      <c r="H342" s="880">
        <f t="shared" si="53"/>
        <v>-735000254.90999997</v>
      </c>
      <c r="I342" s="880">
        <f t="shared" si="53"/>
        <v>-765442960.05999994</v>
      </c>
      <c r="J342" s="880">
        <f t="shared" si="53"/>
        <v>-772363559.81000018</v>
      </c>
      <c r="K342" s="880">
        <f t="shared" si="53"/>
        <v>-787640044.00999999</v>
      </c>
      <c r="L342" s="880">
        <f t="shared" si="53"/>
        <v>-797992253.01000011</v>
      </c>
      <c r="M342" s="880">
        <f t="shared" si="53"/>
        <v>-804112169.55000007</v>
      </c>
      <c r="N342" s="880">
        <f t="shared" si="53"/>
        <v>-813852966.13999999</v>
      </c>
      <c r="O342" s="880">
        <f t="shared" si="53"/>
        <v>-825107690.84000003</v>
      </c>
      <c r="P342" s="880">
        <f t="shared" si="53"/>
        <v>-852872870.34000003</v>
      </c>
      <c r="Q342" s="880">
        <f t="shared" si="53"/>
        <v>-886611525.82000005</v>
      </c>
      <c r="R342" s="880">
        <f t="shared" si="53"/>
        <v>-945811407.7700001</v>
      </c>
      <c r="S342" s="880">
        <f t="shared" si="53"/>
        <v>-807963722.62041676</v>
      </c>
      <c r="T342" s="754" t="s">
        <v>886</v>
      </c>
      <c r="U342" s="890">
        <f>SUM(U10:U341)</f>
        <v>-401629941.89166671</v>
      </c>
      <c r="V342" s="890">
        <f>SUM(V10:V341)</f>
        <v>333641208.78666663</v>
      </c>
      <c r="W342" s="890">
        <f>SUM(W10:W341)</f>
        <v>31260829.359166674</v>
      </c>
      <c r="X342" s="890">
        <f>SUM(X10:X341)</f>
        <v>36727903.7458333</v>
      </c>
      <c r="Y342" s="889"/>
      <c r="Z342" s="767"/>
    </row>
    <row r="343" spans="1:26" ht="16.5" thickTop="1">
      <c r="A343" s="750"/>
      <c r="B343" s="750"/>
      <c r="C343" s="775">
        <v>334</v>
      </c>
      <c r="D343" s="752"/>
      <c r="E343" s="832"/>
      <c r="F343" s="777"/>
      <c r="G343" s="777"/>
      <c r="H343" s="777"/>
      <c r="I343" s="777"/>
      <c r="J343" s="777"/>
      <c r="K343" s="777"/>
      <c r="L343" s="777"/>
      <c r="M343" s="777"/>
      <c r="N343" s="777"/>
      <c r="O343" s="777"/>
      <c r="P343" s="777"/>
      <c r="Q343" s="777"/>
      <c r="R343" s="777"/>
      <c r="S343" s="777"/>
      <c r="T343" s="758" t="s">
        <v>887</v>
      </c>
      <c r="U343" s="890"/>
      <c r="V343" s="890"/>
      <c r="W343" s="891">
        <f>W342+V342</f>
        <v>364902038.14583331</v>
      </c>
      <c r="X343" s="890"/>
      <c r="Y343" s="767"/>
      <c r="Z343" s="767"/>
    </row>
    <row r="344" spans="1:26">
      <c r="A344" s="750"/>
      <c r="B344" s="750"/>
      <c r="C344" s="775">
        <v>335</v>
      </c>
      <c r="D344" s="892"/>
      <c r="E344" s="832"/>
      <c r="F344" s="757"/>
      <c r="G344" s="757"/>
      <c r="H344" s="757"/>
      <c r="I344" s="757"/>
      <c r="J344" s="757"/>
      <c r="K344" s="757"/>
      <c r="L344" s="757"/>
      <c r="M344" s="757"/>
      <c r="N344" s="757"/>
      <c r="O344" s="757"/>
      <c r="P344" s="757"/>
      <c r="Q344" s="757"/>
      <c r="S344" s="777"/>
      <c r="T344" s="754" t="s">
        <v>888</v>
      </c>
      <c r="U344" s="889"/>
      <c r="V344" s="767"/>
      <c r="W344" s="893" t="s">
        <v>1017</v>
      </c>
      <c r="X344" s="894">
        <f>X342/W343</f>
        <v>0.10065140751873512</v>
      </c>
      <c r="Y344" s="767"/>
      <c r="Z344" s="767"/>
    </row>
    <row r="345" spans="1:26">
      <c r="A345" s="757"/>
      <c r="B345" s="757"/>
      <c r="C345" s="765"/>
      <c r="D345" s="757"/>
      <c r="E345" s="757"/>
      <c r="F345" s="752"/>
      <c r="G345" s="757"/>
      <c r="H345" s="757"/>
      <c r="I345" s="757"/>
      <c r="J345" s="757"/>
      <c r="K345" s="757"/>
      <c r="L345" s="757"/>
      <c r="M345" s="757"/>
      <c r="N345" s="757"/>
      <c r="O345" s="757"/>
      <c r="P345" s="757"/>
      <c r="Q345" s="757"/>
      <c r="R345" s="757"/>
      <c r="S345" s="752"/>
      <c r="T345" s="776"/>
      <c r="U345" s="767"/>
      <c r="V345" s="757"/>
      <c r="W345" s="757"/>
      <c r="X345" s="757"/>
      <c r="Y345" s="752"/>
      <c r="Z345" s="767"/>
    </row>
    <row r="346" spans="1:26">
      <c r="A346" s="757"/>
      <c r="B346" s="757"/>
      <c r="C346" s="765"/>
      <c r="D346" s="757"/>
      <c r="E346" s="757"/>
      <c r="F346" s="752"/>
      <c r="G346" s="757"/>
      <c r="H346" s="757"/>
      <c r="I346" s="757"/>
      <c r="J346" s="757"/>
      <c r="K346" s="757"/>
      <c r="L346" s="757"/>
      <c r="M346" s="757"/>
      <c r="N346" s="757"/>
      <c r="O346" s="757"/>
      <c r="P346" s="757"/>
      <c r="Q346" s="757"/>
      <c r="R346" s="757"/>
      <c r="S346" s="752"/>
      <c r="T346" s="776"/>
      <c r="U346" s="767"/>
      <c r="V346" s="757"/>
      <c r="W346" s="757"/>
      <c r="X346" s="757"/>
      <c r="Y346" s="752"/>
      <c r="Z346" s="767"/>
    </row>
    <row r="347" spans="1:26">
      <c r="A347" s="757"/>
      <c r="B347" s="757"/>
      <c r="C347" s="765"/>
      <c r="D347" s="757"/>
      <c r="E347" s="757"/>
      <c r="F347" s="752"/>
      <c r="G347" s="757"/>
      <c r="H347" s="757"/>
      <c r="I347" s="757"/>
      <c r="J347" s="757"/>
      <c r="K347" s="757"/>
      <c r="L347" s="757"/>
      <c r="M347" s="757"/>
      <c r="N347" s="757"/>
      <c r="O347" s="757"/>
      <c r="P347" s="757"/>
      <c r="Q347" s="757"/>
      <c r="R347" s="757"/>
      <c r="S347" s="752"/>
      <c r="T347" s="776"/>
      <c r="U347" s="767"/>
      <c r="V347" s="757"/>
      <c r="W347" s="757"/>
      <c r="X347" s="757"/>
      <c r="Y347" s="752"/>
      <c r="Z347" s="767"/>
    </row>
    <row r="348" spans="1:26">
      <c r="A348" s="757"/>
      <c r="B348" s="757"/>
      <c r="C348" s="765"/>
      <c r="D348" s="757"/>
      <c r="E348" s="757"/>
      <c r="F348" s="757"/>
      <c r="G348" s="757"/>
      <c r="H348" s="757"/>
      <c r="I348" s="752"/>
      <c r="J348" s="757"/>
      <c r="K348" s="757"/>
      <c r="L348" s="757"/>
      <c r="M348" s="757"/>
      <c r="N348" s="757"/>
      <c r="O348" s="757"/>
      <c r="P348" s="757"/>
      <c r="Q348" s="757"/>
      <c r="R348" s="757"/>
      <c r="S348" s="752"/>
      <c r="T348" s="776"/>
      <c r="U348" s="767"/>
      <c r="V348" s="757"/>
      <c r="W348" s="757"/>
      <c r="X348" s="757"/>
      <c r="Y348" s="752"/>
      <c r="Z348" s="767"/>
    </row>
    <row r="349" spans="1:26">
      <c r="A349" s="757"/>
      <c r="B349" s="757"/>
      <c r="C349" s="765"/>
      <c r="D349" s="757"/>
      <c r="E349" s="757"/>
      <c r="F349" s="757"/>
      <c r="G349" s="757"/>
      <c r="H349" s="757"/>
      <c r="I349" s="752"/>
      <c r="J349" s="757"/>
      <c r="K349" s="757"/>
      <c r="L349" s="757"/>
      <c r="M349" s="757"/>
      <c r="N349" s="757"/>
      <c r="O349" s="757"/>
      <c r="P349" s="757"/>
      <c r="Q349" s="757"/>
      <c r="R349" s="757"/>
      <c r="S349" s="752"/>
      <c r="T349" s="776"/>
      <c r="U349" s="767"/>
      <c r="V349" s="757"/>
      <c r="W349" s="757"/>
      <c r="X349" s="757"/>
      <c r="Y349" s="752"/>
      <c r="Z349" s="767"/>
    </row>
    <row r="350" spans="1:26">
      <c r="A350" s="757"/>
      <c r="B350" s="757"/>
      <c r="C350" s="765"/>
      <c r="D350" s="757"/>
      <c r="E350" s="757"/>
      <c r="F350" s="757"/>
      <c r="G350" s="757"/>
      <c r="H350" s="757"/>
      <c r="I350" s="757"/>
      <c r="J350" s="757"/>
      <c r="K350" s="757"/>
      <c r="L350" s="757"/>
      <c r="M350" s="752"/>
      <c r="N350" s="757"/>
      <c r="O350" s="757"/>
      <c r="P350" s="757"/>
      <c r="Q350" s="757"/>
      <c r="R350" s="757"/>
      <c r="S350" s="752"/>
      <c r="T350" s="776"/>
      <c r="U350" s="767"/>
      <c r="V350" s="757"/>
      <c r="W350" s="757"/>
      <c r="X350" s="757"/>
      <c r="Y350" s="752"/>
      <c r="Z350" s="767"/>
    </row>
    <row r="351" spans="1:26">
      <c r="A351" s="757"/>
      <c r="B351" s="757"/>
      <c r="C351" s="765"/>
      <c r="D351" s="757"/>
      <c r="E351" s="757"/>
      <c r="F351" s="757"/>
      <c r="G351" s="757"/>
      <c r="H351" s="757"/>
      <c r="I351" s="757"/>
      <c r="J351" s="757"/>
      <c r="K351" s="757"/>
      <c r="L351" s="757"/>
      <c r="M351" s="752"/>
      <c r="N351" s="757"/>
      <c r="O351" s="757"/>
      <c r="P351" s="757"/>
      <c r="Q351" s="757"/>
      <c r="R351" s="757"/>
      <c r="S351" s="752"/>
      <c r="T351" s="776"/>
      <c r="U351" s="767"/>
      <c r="V351" s="757"/>
      <c r="W351" s="757"/>
      <c r="X351" s="757"/>
      <c r="Y351" s="752"/>
      <c r="Z351" s="767"/>
    </row>
    <row r="352" spans="1:26">
      <c r="A352" s="757"/>
      <c r="B352" s="757"/>
      <c r="C352" s="765"/>
      <c r="D352" s="757"/>
      <c r="E352" s="757"/>
      <c r="F352" s="757"/>
      <c r="G352" s="757"/>
      <c r="H352" s="757"/>
      <c r="I352" s="757"/>
      <c r="J352" s="757"/>
      <c r="K352" s="757"/>
      <c r="L352" s="757"/>
      <c r="M352" s="757"/>
      <c r="N352" s="752"/>
      <c r="O352" s="757"/>
      <c r="P352" s="757"/>
      <c r="Q352" s="757"/>
      <c r="R352" s="757"/>
      <c r="S352" s="752"/>
      <c r="T352" s="776"/>
      <c r="U352" s="776"/>
      <c r="V352" s="752"/>
      <c r="W352" s="752"/>
      <c r="X352" s="752"/>
      <c r="Y352" s="752"/>
      <c r="Z352" s="767"/>
    </row>
  </sheetData>
  <mergeCells count="12">
    <mergeCell ref="F6:I6"/>
    <mergeCell ref="P6:S6"/>
    <mergeCell ref="P1:T1"/>
    <mergeCell ref="P2:T2"/>
    <mergeCell ref="P3:T3"/>
    <mergeCell ref="P4:T4"/>
    <mergeCell ref="P5:T5"/>
    <mergeCell ref="F1:I1"/>
    <mergeCell ref="F2:I2"/>
    <mergeCell ref="F3:I3"/>
    <mergeCell ref="F4:I4"/>
    <mergeCell ref="F5:I5"/>
  </mergeCells>
  <printOptions horizontalCentered="1"/>
  <pageMargins left="0.7" right="0.7" top="0.75" bottom="0.75" header="0.3" footer="0.3"/>
  <pageSetup scale="59" fitToHeight="0" orientation="landscape" r:id="rId1"/>
  <headerFooter scaleWithDoc="0" alignWithMargins="0">
    <oddHeader>&amp;RPage &amp;P of &amp;N</oddHeader>
    <oddFooter>&amp;LElectronic Tab Name:&amp;A</oddFooter>
  </headerFooter>
  <rowBreaks count="8" manualBreakCount="8">
    <brk id="52" man="1"/>
    <brk id="113" man="1"/>
    <brk id="144" min="2" max="23" man="1"/>
    <brk id="174" man="1"/>
    <brk id="189" min="2" max="23" man="1"/>
    <brk id="230" min="2" max="23" man="1"/>
    <brk id="235" man="1"/>
    <brk id="274" min="2" max="23" man="1"/>
  </rowBreaks>
  <colBreaks count="1" manualBreakCount="1">
    <brk id="12" max="343"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5"/>
  <sheetViews>
    <sheetView workbookViewId="0">
      <selection sqref="A1:XFD1048576"/>
    </sheetView>
  </sheetViews>
  <sheetFormatPr defaultColWidth="14" defaultRowHeight="15.75"/>
  <cols>
    <col min="1" max="1" width="2.140625" style="6" bestFit="1" customWidth="1"/>
    <col min="2" max="2" width="14" style="6"/>
    <col min="3" max="3" width="25.140625" style="6" customWidth="1"/>
    <col min="4" max="16384" width="14" style="6"/>
  </cols>
  <sheetData>
    <row r="1" spans="1:7">
      <c r="A1" s="117"/>
      <c r="B1" s="117"/>
      <c r="C1" s="117"/>
      <c r="D1" s="117"/>
    </row>
    <row r="5" spans="1:7">
      <c r="B5" s="1014" t="s">
        <v>119</v>
      </c>
      <c r="C5" s="1015"/>
      <c r="D5" s="1016"/>
    </row>
    <row r="6" spans="1:7">
      <c r="B6" s="1017" t="s">
        <v>118</v>
      </c>
      <c r="C6" s="1018"/>
      <c r="D6" s="1019"/>
    </row>
    <row r="7" spans="1:7">
      <c r="B7" s="1017" t="s">
        <v>990</v>
      </c>
      <c r="C7" s="1018"/>
      <c r="D7" s="1019"/>
    </row>
    <row r="8" spans="1:7">
      <c r="A8" s="7"/>
      <c r="B8" s="1003"/>
      <c r="C8" s="1004"/>
      <c r="D8" s="1005"/>
    </row>
    <row r="9" spans="1:7">
      <c r="A9" s="118"/>
      <c r="B9" s="118"/>
      <c r="C9" s="118"/>
      <c r="D9" s="118"/>
    </row>
    <row r="11" spans="1:7">
      <c r="A11" s="6">
        <v>1</v>
      </c>
      <c r="B11" s="6" t="s">
        <v>74</v>
      </c>
      <c r="D11" s="116">
        <f>+'Exh MPP-2 - ROO Summary Sheet'!J40</f>
        <v>300860725.69764143</v>
      </c>
      <c r="G11" s="19"/>
    </row>
    <row r="12" spans="1:7">
      <c r="A12" s="6">
        <v>2</v>
      </c>
      <c r="B12" s="6" t="s">
        <v>19</v>
      </c>
      <c r="D12" s="119">
        <f>+'Capital Structure Calculation'!J14</f>
        <v>7.5980000000000006E-2</v>
      </c>
    </row>
    <row r="14" spans="1:7">
      <c r="A14" s="6">
        <v>3</v>
      </c>
      <c r="B14" s="6" t="s">
        <v>75</v>
      </c>
      <c r="D14" s="120">
        <f>+D11*D12</f>
        <v>22859397.938506797</v>
      </c>
    </row>
    <row r="15" spans="1:7">
      <c r="A15" s="6">
        <v>4</v>
      </c>
      <c r="B15" s="6" t="s">
        <v>76</v>
      </c>
      <c r="D15" s="121">
        <f>+'Exh MPP-2 - ROO Summary Sheet'!J32</f>
        <v>19203666.304540515</v>
      </c>
    </row>
    <row r="16" spans="1:7">
      <c r="D16" s="120"/>
    </row>
    <row r="17" spans="1:4">
      <c r="A17" s="6">
        <v>5</v>
      </c>
      <c r="B17" s="6" t="s">
        <v>79</v>
      </c>
      <c r="D17" s="120">
        <f>+D14-D15</f>
        <v>3655731.633966282</v>
      </c>
    </row>
    <row r="19" spans="1:4">
      <c r="A19" s="6">
        <v>6</v>
      </c>
      <c r="B19" s="6" t="s">
        <v>77</v>
      </c>
      <c r="D19" s="122">
        <f>+'Exh MPP-4 - Conversion Factor'!C25</f>
        <v>0.62119652738122133</v>
      </c>
    </row>
    <row r="21" spans="1:4" ht="16.5" thickBot="1">
      <c r="A21" s="6">
        <v>7</v>
      </c>
      <c r="B21" s="6" t="s">
        <v>78</v>
      </c>
      <c r="D21" s="123">
        <f>+D17/D19</f>
        <v>5884984.0152483666</v>
      </c>
    </row>
    <row r="22" spans="1:4" ht="16.5" thickTop="1">
      <c r="D22" s="120"/>
    </row>
    <row r="23" spans="1:4">
      <c r="A23" s="6">
        <v>8</v>
      </c>
      <c r="B23" s="6" t="s">
        <v>115</v>
      </c>
      <c r="D23" s="120">
        <f>+'Exh MPP-2 - ROO Summary Sheet'!J16</f>
        <v>217191906.73895997</v>
      </c>
    </row>
    <row r="25" spans="1:4">
      <c r="A25" s="6">
        <v>9</v>
      </c>
      <c r="B25" s="6" t="s">
        <v>1650</v>
      </c>
      <c r="D25" s="124">
        <f>+D21/D23</f>
        <v>2.7095779504903238E-2</v>
      </c>
    </row>
  </sheetData>
  <mergeCells count="3">
    <mergeCell ref="B5:D5"/>
    <mergeCell ref="B6:D6"/>
    <mergeCell ref="B7:D7"/>
  </mergeCells>
  <printOptions horizontalCentered="1"/>
  <pageMargins left="0.7" right="0.7" top="0.75" bottom="0.75" header="0.3" footer="0.3"/>
  <pageSetup orientation="portrait" r:id="rId1"/>
  <headerFooter scaleWithDoc="0" alignWithMargins="0">
    <oddHeader>&amp;RDocket No. UG-17_____
Exhibit _____ (MPP-3)
Page 1 o f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6"/>
  <sheetViews>
    <sheetView workbookViewId="0">
      <selection activeCell="A31" sqref="A31"/>
    </sheetView>
  </sheetViews>
  <sheetFormatPr defaultRowHeight="15.75"/>
  <cols>
    <col min="1" max="1" width="98.7109375" style="6" customWidth="1"/>
    <col min="2" max="2" width="29.42578125" style="6" customWidth="1"/>
    <col min="3" max="16384" width="9.140625" style="6"/>
  </cols>
  <sheetData>
    <row r="1" spans="1:7">
      <c r="A1" s="20" t="s">
        <v>1646</v>
      </c>
    </row>
    <row r="2" spans="1:7">
      <c r="A2" s="20" t="s">
        <v>1686</v>
      </c>
    </row>
    <row r="3" spans="1:7">
      <c r="A3" s="20" t="s">
        <v>1643</v>
      </c>
    </row>
    <row r="4" spans="1:7">
      <c r="A4" s="21"/>
    </row>
    <row r="5" spans="1:7">
      <c r="A5" s="22"/>
    </row>
    <row r="6" spans="1:7">
      <c r="A6" s="22"/>
    </row>
    <row r="7" spans="1:7">
      <c r="A7" s="22"/>
    </row>
    <row r="8" spans="1:7">
      <c r="A8" s="22" t="s">
        <v>1641</v>
      </c>
    </row>
    <row r="9" spans="1:7">
      <c r="A9" s="22"/>
    </row>
    <row r="10" spans="1:7">
      <c r="A10" s="22"/>
    </row>
    <row r="11" spans="1:7">
      <c r="A11" s="22"/>
      <c r="G11" s="19"/>
    </row>
    <row r="12" spans="1:7">
      <c r="A12" s="22"/>
    </row>
    <row r="13" spans="1:7">
      <c r="A13" s="22"/>
    </row>
    <row r="14" spans="1:7">
      <c r="A14" s="22"/>
    </row>
    <row r="15" spans="1:7">
      <c r="A15" s="22"/>
    </row>
    <row r="16" spans="1:7">
      <c r="A16" s="23"/>
    </row>
    <row r="17" spans="1:1">
      <c r="A17" s="23"/>
    </row>
    <row r="18" spans="1:1">
      <c r="A18" s="22"/>
    </row>
    <row r="19" spans="1:1">
      <c r="A19" s="23" t="s">
        <v>126</v>
      </c>
    </row>
    <row r="20" spans="1:1">
      <c r="A20" s="23"/>
    </row>
    <row r="21" spans="1:1">
      <c r="A21" s="23" t="s">
        <v>1644</v>
      </c>
    </row>
    <row r="22" spans="1:1">
      <c r="A22" s="23"/>
    </row>
    <row r="23" spans="1:1">
      <c r="A23" s="23"/>
    </row>
    <row r="24" spans="1:1">
      <c r="A24" s="24" t="s">
        <v>1682</v>
      </c>
    </row>
    <row r="25" spans="1:1">
      <c r="A25" s="23"/>
    </row>
    <row r="26" spans="1:1">
      <c r="A26" s="23"/>
    </row>
    <row r="27" spans="1:1">
      <c r="A27" s="23"/>
    </row>
    <row r="28" spans="1:1">
      <c r="A28" s="23"/>
    </row>
    <row r="29" spans="1:1">
      <c r="A29" s="23"/>
    </row>
    <row r="30" spans="1:1">
      <c r="A30" s="1011" t="s">
        <v>2167</v>
      </c>
    </row>
    <row r="31" spans="1:1">
      <c r="A31" s="40"/>
    </row>
    <row r="32" spans="1:1">
      <c r="A32" s="19"/>
    </row>
    <row r="33" spans="1:1">
      <c r="A33" s="19"/>
    </row>
    <row r="34" spans="1:1">
      <c r="A34" s="19"/>
    </row>
    <row r="35" spans="1:1">
      <c r="A35" s="19"/>
    </row>
    <row r="36" spans="1:1">
      <c r="A36" s="19"/>
    </row>
  </sheetData>
  <printOptions horizontalCentered="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3"/>
  <sheetViews>
    <sheetView tabSelected="1" workbookViewId="0">
      <selection activeCell="I10" sqref="I10"/>
    </sheetView>
  </sheetViews>
  <sheetFormatPr defaultRowHeight="15.75"/>
  <cols>
    <col min="1" max="1" width="34" style="6" bestFit="1" customWidth="1"/>
    <col min="2" max="2" width="9.140625" style="6"/>
    <col min="3" max="3" width="21.28515625" style="132" customWidth="1"/>
    <col min="4" max="16384" width="9.140625" style="6"/>
  </cols>
  <sheetData>
    <row r="1" spans="1:7">
      <c r="A1" s="1012" t="s">
        <v>119</v>
      </c>
      <c r="B1" s="1012"/>
      <c r="C1" s="1012"/>
    </row>
    <row r="2" spans="1:7">
      <c r="A2" s="1012" t="s">
        <v>1678</v>
      </c>
      <c r="B2" s="1012"/>
      <c r="C2" s="1012"/>
    </row>
    <row r="3" spans="1:7">
      <c r="A3" s="1023" t="s">
        <v>985</v>
      </c>
      <c r="B3" s="1023"/>
      <c r="C3" s="1023"/>
    </row>
    <row r="4" spans="1:7">
      <c r="A4" s="1020" t="s">
        <v>20</v>
      </c>
      <c r="B4" s="1021"/>
      <c r="C4" s="1022"/>
    </row>
    <row r="5" spans="1:7">
      <c r="A5" s="125"/>
      <c r="B5" s="126"/>
      <c r="C5" s="127"/>
    </row>
    <row r="6" spans="1:7">
      <c r="A6" s="125" t="s">
        <v>21</v>
      </c>
      <c r="B6" s="126"/>
      <c r="C6" s="127">
        <v>1</v>
      </c>
    </row>
    <row r="7" spans="1:7">
      <c r="A7" s="128" t="s">
        <v>22</v>
      </c>
      <c r="B7" s="126"/>
      <c r="C7" s="127"/>
    </row>
    <row r="8" spans="1:7">
      <c r="A8" s="129" t="s">
        <v>23</v>
      </c>
      <c r="B8" s="126"/>
      <c r="C8" s="130">
        <f>+'Operating Report'!G90/'Operating Report'!G27</f>
        <v>3.7930347981210235E-3</v>
      </c>
    </row>
    <row r="9" spans="1:7">
      <c r="A9" s="129" t="s">
        <v>907</v>
      </c>
      <c r="B9" s="126"/>
      <c r="C9" s="131">
        <v>3.8519999999999999E-2</v>
      </c>
    </row>
    <row r="10" spans="1:7">
      <c r="A10" s="129" t="s">
        <v>906</v>
      </c>
      <c r="B10" s="126"/>
      <c r="C10" s="130">
        <v>2E-3</v>
      </c>
      <c r="D10" s="132">
        <f>+C8+C9+C10</f>
        <v>4.4313034798121022E-2</v>
      </c>
    </row>
    <row r="11" spans="1:7">
      <c r="A11" s="128" t="s">
        <v>24</v>
      </c>
      <c r="B11" s="126"/>
      <c r="C11" s="133"/>
      <c r="G11" s="19"/>
    </row>
    <row r="12" spans="1:7" ht="16.5" thickBot="1">
      <c r="A12" s="128" t="s">
        <v>25</v>
      </c>
      <c r="B12" s="126"/>
      <c r="C12" s="134">
        <f>+C6-SUM(C8:C11)</f>
        <v>0.95568696520187901</v>
      </c>
    </row>
    <row r="13" spans="1:7">
      <c r="A13" s="135"/>
      <c r="B13" s="126"/>
      <c r="C13" s="127"/>
    </row>
    <row r="14" spans="1:7" ht="16.5" thickBot="1">
      <c r="A14" s="128" t="s">
        <v>26</v>
      </c>
      <c r="B14" s="126"/>
      <c r="C14" s="136">
        <v>0</v>
      </c>
    </row>
    <row r="15" spans="1:7">
      <c r="A15" s="135"/>
      <c r="B15" s="126"/>
      <c r="C15" s="127"/>
    </row>
    <row r="16" spans="1:7" ht="16.5" thickBot="1">
      <c r="A16" s="135" t="s">
        <v>27</v>
      </c>
      <c r="B16" s="126"/>
      <c r="C16" s="136">
        <f>+C12-C14</f>
        <v>0.95568696520187901</v>
      </c>
    </row>
    <row r="17" spans="1:3">
      <c r="A17" s="135"/>
      <c r="B17" s="126"/>
      <c r="C17" s="127"/>
    </row>
    <row r="18" spans="1:3" ht="16.5" thickBot="1">
      <c r="A18" s="135" t="s">
        <v>28</v>
      </c>
      <c r="B18" s="126"/>
      <c r="C18" s="136">
        <f>+C16*0.35</f>
        <v>0.33449043782065763</v>
      </c>
    </row>
    <row r="19" spans="1:3">
      <c r="A19" s="135"/>
      <c r="B19" s="126"/>
      <c r="C19" s="133"/>
    </row>
    <row r="20" spans="1:3" ht="16.5" thickBot="1">
      <c r="A20" s="135" t="s">
        <v>69</v>
      </c>
      <c r="B20" s="126"/>
      <c r="C20" s="134">
        <f>+C14+C18</f>
        <v>0.33449043782065763</v>
      </c>
    </row>
    <row r="21" spans="1:3">
      <c r="A21" s="135"/>
      <c r="B21" s="126"/>
      <c r="C21" s="127"/>
    </row>
    <row r="22" spans="1:3" ht="16.5" thickBot="1">
      <c r="A22" s="135" t="s">
        <v>29</v>
      </c>
      <c r="B22" s="126"/>
      <c r="C22" s="136">
        <f>SUM(C8:C11)+C20</f>
        <v>0.37880347261877867</v>
      </c>
    </row>
    <row r="23" spans="1:3">
      <c r="A23" s="135"/>
      <c r="B23" s="126"/>
      <c r="C23" s="127"/>
    </row>
    <row r="24" spans="1:3">
      <c r="A24" s="135" t="s">
        <v>1677</v>
      </c>
      <c r="B24" s="126"/>
      <c r="C24" s="127"/>
    </row>
    <row r="25" spans="1:3" ht="16.5" thickBot="1">
      <c r="A25" s="135" t="s">
        <v>30</v>
      </c>
      <c r="B25" s="126"/>
      <c r="C25" s="137">
        <f>+C6-C22</f>
        <v>0.62119652738122133</v>
      </c>
    </row>
    <row r="26" spans="1:3">
      <c r="A26" s="138"/>
      <c r="B26" s="139"/>
      <c r="C26" s="133"/>
    </row>
    <row r="27" spans="1:3">
      <c r="A27" s="125"/>
      <c r="B27" s="126"/>
      <c r="C27" s="127"/>
    </row>
    <row r="28" spans="1:3">
      <c r="A28" s="125"/>
      <c r="B28" s="126"/>
      <c r="C28" s="127"/>
    </row>
    <row r="29" spans="1:3">
      <c r="A29" s="140" t="s">
        <v>102</v>
      </c>
      <c r="B29" s="141"/>
      <c r="C29" s="142"/>
    </row>
    <row r="30" spans="1:3">
      <c r="A30" s="140" t="s">
        <v>103</v>
      </c>
      <c r="B30" s="141"/>
      <c r="C30" s="142">
        <v>0</v>
      </c>
    </row>
    <row r="31" spans="1:3">
      <c r="A31" s="140" t="s">
        <v>104</v>
      </c>
      <c r="B31" s="141"/>
      <c r="C31" s="142">
        <v>0.35</v>
      </c>
    </row>
    <row r="32" spans="1:3">
      <c r="A32" s="143"/>
      <c r="B32" s="141"/>
      <c r="C32" s="144"/>
    </row>
    <row r="33" spans="1:3">
      <c r="A33" s="145" t="s">
        <v>105</v>
      </c>
      <c r="B33" s="146"/>
      <c r="C33" s="147">
        <f>ROUND(((1-C30)*C31)+C30,5)</f>
        <v>0.35</v>
      </c>
    </row>
  </sheetData>
  <mergeCells count="4">
    <mergeCell ref="A4:C4"/>
    <mergeCell ref="A1:C1"/>
    <mergeCell ref="A2:C2"/>
    <mergeCell ref="A3:C3"/>
  </mergeCells>
  <printOptions horizontalCentered="1"/>
  <pageMargins left="0.7" right="0.7" top="1.25" bottom="0.75" header="0.3" footer="0.3"/>
  <pageSetup orientation="portrait" r:id="rId1"/>
  <headerFooter scaleWithDoc="0" alignWithMargins="0">
    <oddHeader>&amp;RDocket No. UG-17_____
Exhibit _____ (MPP-4)
Page 1 o f 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6"/>
  <sheetViews>
    <sheetView workbookViewId="0">
      <selection activeCell="A31" sqref="A31"/>
    </sheetView>
  </sheetViews>
  <sheetFormatPr defaultRowHeight="15.75"/>
  <cols>
    <col min="1" max="1" width="98.7109375" style="6" customWidth="1"/>
    <col min="2" max="2" width="29.42578125" style="6" customWidth="1"/>
    <col min="3" max="16384" width="9.140625" style="6"/>
  </cols>
  <sheetData>
    <row r="1" spans="1:7">
      <c r="A1" s="20" t="s">
        <v>1647</v>
      </c>
    </row>
    <row r="2" spans="1:7">
      <c r="A2" s="20" t="s">
        <v>1685</v>
      </c>
    </row>
    <row r="3" spans="1:7">
      <c r="A3" s="20" t="s">
        <v>1643</v>
      </c>
    </row>
    <row r="4" spans="1:7">
      <c r="A4" s="21"/>
    </row>
    <row r="5" spans="1:7">
      <c r="A5" s="22"/>
    </row>
    <row r="6" spans="1:7">
      <c r="A6" s="22"/>
    </row>
    <row r="7" spans="1:7">
      <c r="A7" s="22"/>
    </row>
    <row r="8" spans="1:7">
      <c r="A8" s="22" t="s">
        <v>1641</v>
      </c>
    </row>
    <row r="9" spans="1:7">
      <c r="A9" s="22"/>
    </row>
    <row r="10" spans="1:7">
      <c r="A10" s="22"/>
    </row>
    <row r="11" spans="1:7">
      <c r="A11" s="22"/>
      <c r="G11" s="19"/>
    </row>
    <row r="12" spans="1:7">
      <c r="A12" s="22"/>
    </row>
    <row r="13" spans="1:7">
      <c r="A13" s="22"/>
    </row>
    <row r="14" spans="1:7">
      <c r="A14" s="22"/>
    </row>
    <row r="15" spans="1:7">
      <c r="A15" s="22"/>
    </row>
    <row r="16" spans="1:7">
      <c r="A16" s="23"/>
    </row>
    <row r="17" spans="1:1">
      <c r="A17" s="23"/>
    </row>
    <row r="18" spans="1:1">
      <c r="A18" s="22"/>
    </row>
    <row r="19" spans="1:1">
      <c r="A19" s="23" t="s">
        <v>126</v>
      </c>
    </row>
    <row r="20" spans="1:1">
      <c r="A20" s="23"/>
    </row>
    <row r="21" spans="1:1">
      <c r="A21" s="23" t="s">
        <v>1644</v>
      </c>
    </row>
    <row r="22" spans="1:1">
      <c r="A22" s="23"/>
    </row>
    <row r="23" spans="1:1">
      <c r="A23" s="23"/>
    </row>
    <row r="24" spans="1:1">
      <c r="A24" s="24" t="s">
        <v>1683</v>
      </c>
    </row>
    <row r="25" spans="1:1">
      <c r="A25" s="23"/>
    </row>
    <row r="26" spans="1:1">
      <c r="A26" s="23"/>
    </row>
    <row r="27" spans="1:1">
      <c r="A27" s="23"/>
    </row>
    <row r="28" spans="1:1">
      <c r="A28" s="23"/>
    </row>
    <row r="29" spans="1:1">
      <c r="A29" s="23"/>
    </row>
    <row r="30" spans="1:1">
      <c r="A30" s="1011" t="s">
        <v>2167</v>
      </c>
    </row>
    <row r="31" spans="1:1">
      <c r="A31" s="40"/>
    </row>
    <row r="32" spans="1:1">
      <c r="A32" s="19"/>
    </row>
    <row r="33" spans="1:1">
      <c r="A33" s="19"/>
    </row>
    <row r="34" spans="1:1">
      <c r="A34" s="19"/>
    </row>
    <row r="35" spans="1:1">
      <c r="A35" s="19"/>
    </row>
    <row r="36" spans="1:1">
      <c r="A36" s="19"/>
    </row>
  </sheetData>
  <printOptions horizontalCentered="1"/>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I66"/>
  <sheetViews>
    <sheetView topLeftCell="A7" workbookViewId="0">
      <selection activeCell="H34" sqref="H34"/>
    </sheetView>
  </sheetViews>
  <sheetFormatPr defaultRowHeight="15.75"/>
  <cols>
    <col min="1" max="1" width="3.28515625" style="6" bestFit="1" customWidth="1"/>
    <col min="2" max="2" width="2.85546875" style="6" customWidth="1"/>
    <col min="3" max="3" width="31.140625" style="6" customWidth="1"/>
    <col min="4" max="4" width="1.7109375" style="6" customWidth="1"/>
    <col min="5" max="5" width="1.42578125" style="6" customWidth="1"/>
    <col min="6" max="6" width="1.140625" style="6" customWidth="1"/>
    <col min="7" max="7" width="14.140625" style="6" customWidth="1"/>
    <col min="8" max="8" width="10.42578125" style="6" customWidth="1"/>
    <col min="9" max="9" width="16.42578125" style="6" bestFit="1" customWidth="1"/>
    <col min="10" max="10" width="12.42578125" style="6" customWidth="1"/>
    <col min="11" max="11" width="6" style="6" customWidth="1"/>
    <col min="12" max="12" width="11.42578125" style="6" bestFit="1" customWidth="1"/>
    <col min="13" max="13" width="12" style="152" bestFit="1" customWidth="1"/>
    <col min="14" max="14" width="13.28515625" style="6" bestFit="1" customWidth="1"/>
    <col min="15" max="16" width="11" style="6" bestFit="1" customWidth="1"/>
    <col min="17" max="17" width="12" style="6" bestFit="1" customWidth="1"/>
    <col min="18" max="18" width="12.7109375" style="6" bestFit="1" customWidth="1"/>
    <col min="19" max="19" width="12.5703125" style="6" customWidth="1"/>
    <col min="20" max="20" width="12.7109375" style="6" bestFit="1" customWidth="1"/>
    <col min="21" max="21" width="12.28515625" style="6" hidden="1" customWidth="1"/>
    <col min="22" max="25" width="9.28515625" style="6" hidden="1" customWidth="1"/>
    <col min="26" max="26" width="2.140625" style="6" customWidth="1"/>
    <col min="27" max="27" width="13.7109375" style="6" bestFit="1" customWidth="1"/>
    <col min="28" max="16384" width="9.140625" style="6"/>
  </cols>
  <sheetData>
    <row r="1" spans="1:28">
      <c r="A1" s="117"/>
      <c r="B1" s="117"/>
      <c r="C1" s="117"/>
      <c r="D1" s="117"/>
      <c r="E1" s="117"/>
      <c r="F1" s="117"/>
      <c r="G1" s="117"/>
      <c r="H1" s="117"/>
      <c r="I1" s="117"/>
      <c r="J1" s="117"/>
      <c r="K1" s="117"/>
      <c r="L1" s="117"/>
      <c r="M1" s="151"/>
      <c r="N1" s="117"/>
      <c r="O1" s="117"/>
      <c r="P1" s="117"/>
      <c r="Q1" s="117"/>
      <c r="R1" s="117"/>
      <c r="S1" s="117"/>
      <c r="T1" s="117"/>
      <c r="U1" s="117"/>
      <c r="V1" s="117"/>
      <c r="W1" s="117"/>
      <c r="X1" s="117"/>
      <c r="Y1" s="117"/>
      <c r="Z1" s="117"/>
      <c r="AA1" s="117"/>
    </row>
    <row r="2" spans="1:28">
      <c r="A2" s="6" t="s">
        <v>57</v>
      </c>
    </row>
    <row r="3" spans="1:28">
      <c r="N3" s="1025"/>
      <c r="O3" s="1025"/>
      <c r="P3" s="1025"/>
      <c r="Q3" s="1025"/>
      <c r="R3" s="1025"/>
      <c r="S3" s="1025"/>
      <c r="T3" s="1025"/>
      <c r="U3" s="1025"/>
      <c r="V3" s="1025"/>
      <c r="W3" s="1025"/>
      <c r="X3" s="1025"/>
      <c r="Y3" s="1025"/>
      <c r="Z3" s="1025"/>
      <c r="AA3" s="1025"/>
      <c r="AB3" s="1025"/>
    </row>
    <row r="4" spans="1:28">
      <c r="N4" s="1025"/>
      <c r="O4" s="1025"/>
      <c r="P4" s="1025"/>
      <c r="Q4" s="1025"/>
      <c r="R4" s="1025"/>
      <c r="S4" s="1025"/>
      <c r="T4" s="1025"/>
      <c r="U4" s="1025"/>
      <c r="V4" s="1025"/>
      <c r="W4" s="1025"/>
      <c r="X4" s="1025"/>
      <c r="Y4" s="1025"/>
      <c r="Z4" s="1025"/>
      <c r="AA4" s="1025"/>
      <c r="AB4" s="1025"/>
    </row>
    <row r="5" spans="1:28">
      <c r="B5" s="1018" t="s">
        <v>120</v>
      </c>
      <c r="C5" s="1018"/>
      <c r="D5" s="1018"/>
      <c r="E5" s="1018"/>
      <c r="F5" s="1018"/>
      <c r="G5" s="1018"/>
      <c r="H5" s="1018"/>
      <c r="I5" s="1018"/>
      <c r="J5" s="1018"/>
      <c r="K5" s="1018"/>
      <c r="L5" s="1018"/>
      <c r="M5" s="1018"/>
      <c r="N5" s="1024"/>
      <c r="O5" s="1024"/>
      <c r="P5" s="1024"/>
      <c r="Q5" s="1024"/>
      <c r="R5" s="1024"/>
      <c r="S5" s="1024"/>
      <c r="T5" s="1024"/>
      <c r="U5" s="1024"/>
      <c r="V5" s="1024"/>
      <c r="W5" s="1024"/>
      <c r="X5" s="1024"/>
      <c r="Y5" s="1024"/>
      <c r="Z5" s="1024"/>
      <c r="AA5" s="1024"/>
    </row>
    <row r="6" spans="1:28">
      <c r="A6" s="19"/>
      <c r="B6" s="1018" t="s">
        <v>921</v>
      </c>
      <c r="C6" s="1018"/>
      <c r="D6" s="1018"/>
      <c r="E6" s="1018"/>
      <c r="F6" s="1018"/>
      <c r="G6" s="1018"/>
      <c r="H6" s="1018"/>
      <c r="I6" s="1018"/>
      <c r="J6" s="1018"/>
      <c r="K6" s="1018"/>
      <c r="L6" s="1018"/>
      <c r="M6" s="1018"/>
      <c r="N6" s="1025"/>
      <c r="O6" s="1025"/>
      <c r="P6" s="1025"/>
      <c r="Q6" s="1025"/>
      <c r="R6" s="1025"/>
      <c r="S6" s="1025"/>
      <c r="T6" s="1025"/>
      <c r="U6" s="1025"/>
      <c r="V6" s="1025"/>
      <c r="W6" s="1025"/>
      <c r="X6" s="1025"/>
      <c r="Y6" s="1025"/>
      <c r="Z6" s="1025"/>
      <c r="AA6" s="1025"/>
    </row>
    <row r="7" spans="1:28">
      <c r="A7" s="153" t="s">
        <v>57</v>
      </c>
      <c r="B7" s="1018" t="s">
        <v>985</v>
      </c>
      <c r="C7" s="1018"/>
      <c r="D7" s="1018"/>
      <c r="E7" s="1018"/>
      <c r="F7" s="1018"/>
      <c r="G7" s="1018"/>
      <c r="H7" s="1018"/>
      <c r="I7" s="1018"/>
      <c r="J7" s="1018"/>
      <c r="K7" s="1018"/>
      <c r="L7" s="1018"/>
      <c r="M7" s="1018"/>
      <c r="N7" s="5"/>
      <c r="O7" s="5"/>
      <c r="P7" s="5"/>
      <c r="Q7" s="5"/>
      <c r="R7" s="5"/>
      <c r="S7" s="5"/>
      <c r="T7" s="5"/>
      <c r="U7" s="5"/>
      <c r="V7" s="5"/>
      <c r="W7" s="5"/>
      <c r="X7" s="154"/>
      <c r="Y7" s="154"/>
      <c r="Z7" s="154"/>
      <c r="AA7" s="154"/>
    </row>
    <row r="8" spans="1:28">
      <c r="A8" s="153"/>
      <c r="B8" s="155"/>
      <c r="C8" s="155"/>
      <c r="D8" s="155"/>
      <c r="E8" s="155"/>
      <c r="F8" s="155"/>
      <c r="G8" s="155"/>
      <c r="H8" s="155"/>
      <c r="I8" s="155"/>
      <c r="J8" s="155"/>
      <c r="K8" s="155"/>
      <c r="L8" s="155"/>
      <c r="M8" s="155"/>
      <c r="N8" s="5"/>
      <c r="O8" s="5"/>
      <c r="P8" s="5"/>
      <c r="Q8" s="5"/>
      <c r="R8" s="5"/>
      <c r="S8" s="5"/>
      <c r="T8" s="5"/>
      <c r="U8" s="5"/>
      <c r="V8" s="5"/>
      <c r="W8" s="5"/>
      <c r="X8" s="154"/>
      <c r="Y8" s="154"/>
      <c r="Z8" s="154"/>
      <c r="AA8" s="154"/>
    </row>
    <row r="9" spans="1:28" ht="16.5" thickBot="1">
      <c r="A9" s="118"/>
      <c r="B9" s="118"/>
      <c r="C9" s="118"/>
      <c r="D9" s="118"/>
      <c r="E9" s="118"/>
      <c r="F9" s="117"/>
      <c r="G9" s="156"/>
      <c r="H9" s="117"/>
      <c r="I9" s="117"/>
      <c r="J9" s="117"/>
      <c r="K9" s="117"/>
      <c r="L9" s="117"/>
      <c r="M9" s="151"/>
      <c r="N9" s="117"/>
      <c r="O9" s="117"/>
      <c r="P9" s="117"/>
      <c r="Q9" s="117"/>
      <c r="R9" s="117"/>
      <c r="S9" s="117"/>
      <c r="T9" s="117"/>
      <c r="U9" s="117"/>
      <c r="V9" s="117"/>
      <c r="W9" s="117"/>
      <c r="X9" s="117"/>
      <c r="Y9" s="117"/>
      <c r="Z9" s="117"/>
      <c r="AA9" s="117"/>
    </row>
    <row r="10" spans="1:28">
      <c r="A10" s="157"/>
      <c r="B10" s="158"/>
      <c r="C10" s="159"/>
      <c r="D10" s="160"/>
      <c r="E10" s="161"/>
      <c r="F10" s="117"/>
      <c r="G10" s="162" t="s">
        <v>889</v>
      </c>
      <c r="H10" s="162" t="s">
        <v>62</v>
      </c>
      <c r="I10" s="162" t="s">
        <v>973</v>
      </c>
      <c r="J10" s="162" t="s">
        <v>1123</v>
      </c>
      <c r="K10" s="162"/>
      <c r="L10" s="162" t="s">
        <v>64</v>
      </c>
      <c r="M10" s="163" t="s">
        <v>930</v>
      </c>
      <c r="N10" s="162" t="s">
        <v>930</v>
      </c>
      <c r="O10" s="164" t="s">
        <v>67</v>
      </c>
      <c r="P10" s="164" t="s">
        <v>930</v>
      </c>
      <c r="Q10" s="164" t="s">
        <v>1022</v>
      </c>
      <c r="R10" s="164" t="s">
        <v>1118</v>
      </c>
      <c r="S10" s="164" t="s">
        <v>1147</v>
      </c>
      <c r="T10" s="164" t="s">
        <v>930</v>
      </c>
      <c r="U10" s="164"/>
      <c r="V10" s="164"/>
      <c r="W10" s="164"/>
      <c r="X10" s="164"/>
      <c r="Y10" s="164"/>
      <c r="Z10" s="156"/>
      <c r="AA10" s="165" t="s">
        <v>59</v>
      </c>
    </row>
    <row r="11" spans="1:28">
      <c r="A11" s="157"/>
      <c r="B11" s="166"/>
      <c r="C11" s="167"/>
      <c r="D11" s="157"/>
      <c r="E11" s="161"/>
      <c r="F11" s="117"/>
      <c r="G11" s="168" t="s">
        <v>890</v>
      </c>
      <c r="H11" s="169" t="s">
        <v>58</v>
      </c>
      <c r="I11" s="170" t="s">
        <v>969</v>
      </c>
      <c r="J11" s="170" t="s">
        <v>1124</v>
      </c>
      <c r="K11" s="170"/>
      <c r="L11" s="170" t="s">
        <v>65</v>
      </c>
      <c r="M11" s="171" t="s">
        <v>934</v>
      </c>
      <c r="N11" s="170" t="s">
        <v>974</v>
      </c>
      <c r="O11" s="172" t="s">
        <v>68</v>
      </c>
      <c r="P11" s="172" t="s">
        <v>1145</v>
      </c>
      <c r="Q11" s="172" t="s">
        <v>1023</v>
      </c>
      <c r="R11" s="172" t="s">
        <v>1119</v>
      </c>
      <c r="S11" s="172" t="s">
        <v>63</v>
      </c>
      <c r="T11" s="172" t="s">
        <v>969</v>
      </c>
      <c r="U11" s="172"/>
      <c r="V11" s="172"/>
      <c r="W11" s="172"/>
      <c r="X11" s="172"/>
      <c r="Y11" s="172"/>
      <c r="Z11" s="156"/>
      <c r="AA11" s="173" t="s">
        <v>1</v>
      </c>
    </row>
    <row r="12" spans="1:28">
      <c r="A12" s="157"/>
      <c r="B12" s="166"/>
      <c r="C12" s="161"/>
      <c r="D12" s="157"/>
      <c r="E12" s="161"/>
      <c r="F12" s="117"/>
      <c r="G12" s="170" t="s">
        <v>63</v>
      </c>
      <c r="H12" s="170" t="s">
        <v>63</v>
      </c>
      <c r="I12" s="170" t="s">
        <v>63</v>
      </c>
      <c r="J12" s="170" t="s">
        <v>1125</v>
      </c>
      <c r="K12" s="170"/>
      <c r="L12" s="170" t="s">
        <v>63</v>
      </c>
      <c r="M12" s="171" t="s">
        <v>63</v>
      </c>
      <c r="N12" s="170" t="s">
        <v>66</v>
      </c>
      <c r="O12" s="172"/>
      <c r="P12" s="172" t="s">
        <v>1146</v>
      </c>
      <c r="Q12" s="172" t="s">
        <v>1024</v>
      </c>
      <c r="R12" s="172" t="s">
        <v>1120</v>
      </c>
      <c r="S12" s="172"/>
      <c r="T12" s="172"/>
      <c r="U12" s="172"/>
      <c r="V12" s="172"/>
      <c r="W12" s="172"/>
      <c r="X12" s="172"/>
      <c r="Y12" s="172"/>
      <c r="Z12" s="156"/>
      <c r="AA12" s="173"/>
    </row>
    <row r="13" spans="1:28">
      <c r="A13" s="157"/>
      <c r="B13" s="166"/>
      <c r="C13" s="161"/>
      <c r="D13" s="157"/>
      <c r="E13" s="161"/>
      <c r="F13" s="117"/>
      <c r="G13" s="172" t="s">
        <v>922</v>
      </c>
      <c r="H13" s="172" t="s">
        <v>923</v>
      </c>
      <c r="I13" s="170" t="s">
        <v>972</v>
      </c>
      <c r="J13" s="172" t="s">
        <v>1144</v>
      </c>
      <c r="K13" s="172"/>
      <c r="L13" s="172" t="s">
        <v>924</v>
      </c>
      <c r="M13" s="174" t="s">
        <v>925</v>
      </c>
      <c r="N13" s="170" t="s">
        <v>1148</v>
      </c>
      <c r="O13" s="172" t="s">
        <v>926</v>
      </c>
      <c r="P13" s="172" t="s">
        <v>927</v>
      </c>
      <c r="Q13" s="172" t="s">
        <v>928</v>
      </c>
      <c r="R13" s="172" t="s">
        <v>929</v>
      </c>
      <c r="S13" s="172" t="s">
        <v>1149</v>
      </c>
      <c r="T13" s="172" t="s">
        <v>1150</v>
      </c>
      <c r="U13" s="172"/>
      <c r="V13" s="172"/>
      <c r="W13" s="172"/>
      <c r="X13" s="172"/>
      <c r="Y13" s="172"/>
      <c r="Z13" s="156"/>
      <c r="AA13" s="173"/>
    </row>
    <row r="14" spans="1:28">
      <c r="A14" s="157"/>
      <c r="B14" s="175"/>
      <c r="C14" s="176"/>
      <c r="D14" s="177"/>
      <c r="E14" s="161"/>
      <c r="F14" s="117"/>
      <c r="G14" s="178"/>
      <c r="H14" s="178"/>
      <c r="I14" s="179"/>
      <c r="J14" s="178"/>
      <c r="K14" s="178"/>
      <c r="L14" s="178"/>
      <c r="M14" s="180"/>
      <c r="N14" s="179"/>
      <c r="O14" s="178"/>
      <c r="P14" s="178"/>
      <c r="Q14" s="178"/>
      <c r="R14" s="178"/>
      <c r="S14" s="178"/>
      <c r="T14" s="178"/>
      <c r="U14" s="178"/>
      <c r="V14" s="178"/>
      <c r="W14" s="178"/>
      <c r="X14" s="178"/>
      <c r="Y14" s="178"/>
      <c r="Z14" s="181"/>
      <c r="AA14" s="182"/>
    </row>
    <row r="15" spans="1:28">
      <c r="A15" s="157">
        <v>1</v>
      </c>
      <c r="B15" s="161"/>
      <c r="C15" s="41" t="s">
        <v>11</v>
      </c>
      <c r="D15" s="157"/>
      <c r="E15" s="161"/>
      <c r="F15" s="117"/>
      <c r="G15" s="175"/>
      <c r="H15" s="183"/>
      <c r="I15" s="184"/>
      <c r="J15" s="185"/>
      <c r="K15" s="185"/>
      <c r="L15" s="181"/>
      <c r="M15" s="186"/>
      <c r="N15" s="183"/>
      <c r="O15" s="183"/>
      <c r="P15" s="183"/>
      <c r="Q15" s="183"/>
      <c r="R15" s="183"/>
      <c r="S15" s="185"/>
      <c r="T15" s="181"/>
      <c r="U15" s="181"/>
      <c r="V15" s="183"/>
      <c r="W15" s="181"/>
      <c r="X15" s="183"/>
      <c r="Y15" s="181"/>
      <c r="Z15" s="181"/>
      <c r="AA15" s="187"/>
    </row>
    <row r="16" spans="1:28">
      <c r="A16" s="188">
        <v>2</v>
      </c>
      <c r="B16" s="118"/>
      <c r="C16" s="69" t="s">
        <v>31</v>
      </c>
      <c r="D16" s="188"/>
      <c r="E16" s="118"/>
      <c r="F16" s="189"/>
      <c r="G16" s="190">
        <f>+'Weather Normalization'!F21</f>
        <v>15472031.784460001</v>
      </c>
      <c r="H16" s="190"/>
      <c r="I16" s="191">
        <f>+'Restate Revenues'!M28</f>
        <v>-8383168.3755000383</v>
      </c>
      <c r="J16" s="190"/>
      <c r="K16" s="190"/>
      <c r="L16" s="190"/>
      <c r="M16" s="192"/>
      <c r="N16" s="190"/>
      <c r="O16" s="190">
        <v>0</v>
      </c>
      <c r="P16" s="190"/>
      <c r="Q16" s="190"/>
      <c r="R16" s="190">
        <v>0</v>
      </c>
      <c r="S16" s="190"/>
      <c r="T16" s="190">
        <f>+'Revenue Adjustment'!G21+'Revenue Adjustment'!G22</f>
        <v>3286574</v>
      </c>
      <c r="U16" s="190">
        <v>0</v>
      </c>
      <c r="V16" s="190">
        <v>0</v>
      </c>
      <c r="W16" s="190">
        <v>0</v>
      </c>
      <c r="X16" s="190">
        <v>0</v>
      </c>
      <c r="Y16" s="190">
        <v>0</v>
      </c>
      <c r="Z16" s="190"/>
      <c r="AA16" s="193">
        <f>SUM(G16:Z16)</f>
        <v>10375437.408959962</v>
      </c>
    </row>
    <row r="17" spans="1:28">
      <c r="A17" s="188">
        <v>3</v>
      </c>
      <c r="B17" s="118"/>
      <c r="C17" s="69" t="s">
        <v>32</v>
      </c>
      <c r="D17" s="188"/>
      <c r="E17" s="118"/>
      <c r="F17" s="189"/>
      <c r="G17" s="194"/>
      <c r="H17" s="194"/>
      <c r="I17" s="194">
        <f>+'Restate Revenues'!M29</f>
        <v>-346008.79999999795</v>
      </c>
      <c r="J17" s="194"/>
      <c r="K17" s="194"/>
      <c r="L17" s="194"/>
      <c r="M17" s="194"/>
      <c r="N17" s="194">
        <f>+'Pro Forma Plant Additions'!E14</f>
        <v>199943.9</v>
      </c>
      <c r="O17" s="194">
        <v>0</v>
      </c>
      <c r="P17" s="194"/>
      <c r="Q17" s="194"/>
      <c r="R17" s="194">
        <v>0</v>
      </c>
      <c r="S17" s="194"/>
      <c r="T17" s="194">
        <f>+'Revenue Adjustment'!G23</f>
        <v>1933517</v>
      </c>
      <c r="U17" s="194">
        <v>0</v>
      </c>
      <c r="V17" s="194">
        <v>0</v>
      </c>
      <c r="W17" s="194">
        <v>0</v>
      </c>
      <c r="X17" s="194">
        <v>0</v>
      </c>
      <c r="Y17" s="194">
        <v>0</v>
      </c>
      <c r="Z17" s="195"/>
      <c r="AA17" s="195">
        <f>SUM(G17:Z17)</f>
        <v>1787452.100000002</v>
      </c>
    </row>
    <row r="18" spans="1:28">
      <c r="A18" s="188">
        <v>4</v>
      </c>
      <c r="B18" s="118"/>
      <c r="C18" s="69" t="s">
        <v>33</v>
      </c>
      <c r="D18" s="188"/>
      <c r="E18" s="118"/>
      <c r="F18" s="189"/>
      <c r="G18" s="194"/>
      <c r="H18" s="194"/>
      <c r="I18" s="196"/>
      <c r="J18" s="194"/>
      <c r="K18" s="194"/>
      <c r="L18" s="194"/>
      <c r="M18" s="194"/>
      <c r="N18" s="194"/>
      <c r="O18" s="194">
        <v>0</v>
      </c>
      <c r="P18" s="194"/>
      <c r="Q18" s="194"/>
      <c r="R18" s="194">
        <f>+'Miscellaneous Charges'!M16</f>
        <v>-101645</v>
      </c>
      <c r="S18" s="194"/>
      <c r="T18" s="194">
        <v>0</v>
      </c>
      <c r="U18" s="194">
        <v>0</v>
      </c>
      <c r="V18" s="194">
        <v>0</v>
      </c>
      <c r="W18" s="194">
        <v>0</v>
      </c>
      <c r="X18" s="194">
        <v>0</v>
      </c>
      <c r="Y18" s="194">
        <v>0</v>
      </c>
      <c r="Z18" s="195"/>
      <c r="AA18" s="195">
        <f>SUM(G18:Z18)</f>
        <v>-101645</v>
      </c>
    </row>
    <row r="19" spans="1:28" ht="16.5" thickBot="1">
      <c r="A19" s="188">
        <v>5</v>
      </c>
      <c r="B19" s="197"/>
      <c r="C19" s="82" t="s">
        <v>1371</v>
      </c>
      <c r="D19" s="198"/>
      <c r="E19" s="197"/>
      <c r="F19" s="199"/>
      <c r="G19" s="200">
        <f t="shared" ref="G19:Y19" si="0">+G16+G17+G18</f>
        <v>15472031.784460001</v>
      </c>
      <c r="H19" s="200">
        <f t="shared" si="0"/>
        <v>0</v>
      </c>
      <c r="I19" s="201">
        <f>+I16+I17+I18</f>
        <v>-8729177.1755000353</v>
      </c>
      <c r="J19" s="202"/>
      <c r="K19" s="200"/>
      <c r="L19" s="200">
        <f t="shared" si="0"/>
        <v>0</v>
      </c>
      <c r="M19" s="200">
        <f t="shared" si="0"/>
        <v>0</v>
      </c>
      <c r="N19" s="200">
        <f t="shared" si="0"/>
        <v>199943.9</v>
      </c>
      <c r="O19" s="200">
        <f t="shared" si="0"/>
        <v>0</v>
      </c>
      <c r="P19" s="200"/>
      <c r="Q19" s="200"/>
      <c r="R19" s="200">
        <f t="shared" si="0"/>
        <v>-101645</v>
      </c>
      <c r="S19" s="200"/>
      <c r="T19" s="200">
        <f t="shared" si="0"/>
        <v>5220091</v>
      </c>
      <c r="U19" s="200">
        <f t="shared" si="0"/>
        <v>0</v>
      </c>
      <c r="V19" s="200">
        <f t="shared" si="0"/>
        <v>0</v>
      </c>
      <c r="W19" s="200">
        <f t="shared" si="0"/>
        <v>0</v>
      </c>
      <c r="X19" s="200">
        <f t="shared" si="0"/>
        <v>0</v>
      </c>
      <c r="Y19" s="200">
        <f t="shared" si="0"/>
        <v>0</v>
      </c>
      <c r="Z19" s="200"/>
      <c r="AA19" s="200">
        <f>+AA18+AA17+AA16</f>
        <v>12061244.508959964</v>
      </c>
    </row>
    <row r="20" spans="1:28">
      <c r="A20" s="188"/>
      <c r="B20" s="197"/>
      <c r="C20" s="82"/>
      <c r="D20" s="198"/>
      <c r="E20" s="197"/>
      <c r="F20" s="199"/>
      <c r="G20" s="203">
        <f>G16-G22</f>
        <v>5420395.6576899998</v>
      </c>
      <c r="H20" s="203"/>
      <c r="I20" s="204"/>
      <c r="J20" s="205"/>
      <c r="K20" s="203"/>
      <c r="L20" s="203"/>
      <c r="M20" s="203"/>
      <c r="N20" s="203"/>
      <c r="O20" s="203"/>
      <c r="P20" s="203"/>
      <c r="Q20" s="203"/>
      <c r="R20" s="203"/>
      <c r="S20" s="203"/>
      <c r="T20" s="203"/>
      <c r="U20" s="203"/>
      <c r="V20" s="203"/>
      <c r="W20" s="203"/>
      <c r="X20" s="203"/>
      <c r="Y20" s="203"/>
      <c r="Z20" s="206"/>
      <c r="AA20" s="206"/>
    </row>
    <row r="21" spans="1:28">
      <c r="A21" s="188"/>
      <c r="B21" s="197"/>
      <c r="C21" s="82" t="s">
        <v>12</v>
      </c>
      <c r="D21" s="198"/>
      <c r="E21" s="197"/>
      <c r="F21" s="199"/>
      <c r="G21" s="203"/>
      <c r="H21" s="203"/>
      <c r="I21" s="204"/>
      <c r="J21" s="205"/>
      <c r="K21" s="203"/>
      <c r="L21" s="203"/>
      <c r="M21" s="203"/>
      <c r="N21" s="203"/>
      <c r="O21" s="203"/>
      <c r="P21" s="203"/>
      <c r="Q21" s="203"/>
      <c r="R21" s="203"/>
      <c r="S21" s="203"/>
      <c r="T21" s="203"/>
      <c r="U21" s="203"/>
      <c r="V21" s="203"/>
      <c r="W21" s="203"/>
      <c r="X21" s="203"/>
      <c r="Y21" s="203"/>
      <c r="Z21" s="206"/>
      <c r="AA21" s="206"/>
    </row>
    <row r="22" spans="1:28">
      <c r="A22" s="188">
        <v>6</v>
      </c>
      <c r="B22" s="161"/>
      <c r="C22" s="69" t="s">
        <v>1369</v>
      </c>
      <c r="D22" s="157"/>
      <c r="E22" s="161"/>
      <c r="F22" s="117"/>
      <c r="G22" s="194">
        <f>+'Weather Normalization'!F37</f>
        <v>10051636.126770001</v>
      </c>
      <c r="H22" s="194"/>
      <c r="I22" s="196">
        <f>+'Restate Revenues'!M48</f>
        <v>-6033097.8530900329</v>
      </c>
      <c r="J22" s="194"/>
      <c r="K22" s="194"/>
      <c r="L22" s="194"/>
      <c r="M22" s="194"/>
      <c r="N22" s="194"/>
      <c r="O22" s="194"/>
      <c r="P22" s="194"/>
      <c r="Q22" s="194"/>
      <c r="R22" s="194"/>
      <c r="S22" s="194"/>
      <c r="T22" s="194"/>
      <c r="U22" s="194"/>
      <c r="V22" s="194"/>
      <c r="W22" s="194"/>
      <c r="X22" s="194"/>
      <c r="Y22" s="194"/>
      <c r="Z22" s="207"/>
      <c r="AA22" s="208">
        <f>SUM(G22:Z22)</f>
        <v>4018538.273679968</v>
      </c>
    </row>
    <row r="23" spans="1:28">
      <c r="A23" s="188">
        <v>7</v>
      </c>
      <c r="B23" s="161"/>
      <c r="C23" s="69" t="s">
        <v>1370</v>
      </c>
      <c r="D23" s="157"/>
      <c r="E23" s="161"/>
      <c r="F23" s="117"/>
      <c r="G23" s="194">
        <f>+G16*('Exh MPP-4 - Conversion Factor'!C9+'Exh MPP-4 - Conversion Factor'!C10)</f>
        <v>626926.7279063192</v>
      </c>
      <c r="H23" s="194"/>
      <c r="I23" s="196">
        <f>+I19*('Exh MPP-4 - Conversion Factor'!C9+'Exh MPP-4 - Conversion Factor'!C10)</f>
        <v>-353706.25915126142</v>
      </c>
      <c r="J23" s="194"/>
      <c r="K23" s="194"/>
      <c r="L23" s="194"/>
      <c r="M23" s="194"/>
      <c r="N23" s="196">
        <f>+N19*('Exh MPP-4 - Conversion Factor'!C9+'Exh MPP-4 - Conversion Factor'!C10)</f>
        <v>8101.7268279999998</v>
      </c>
      <c r="O23" s="194"/>
      <c r="P23" s="194"/>
      <c r="Q23" s="194"/>
      <c r="R23" s="194">
        <f>+R19*('Exh MPP-4 - Conversion Factor'!C9+'Exh MPP-4 - Conversion Factor'!C10)</f>
        <v>-4118.6553999999996</v>
      </c>
      <c r="S23" s="194"/>
      <c r="T23" s="194">
        <f>+T19*('Exh MPP-4 - Conversion Factor'!C9+'Exh MPP-4 - Conversion Factor'!C10)</f>
        <v>211518.08731999999</v>
      </c>
      <c r="U23" s="194"/>
      <c r="V23" s="194"/>
      <c r="W23" s="194"/>
      <c r="X23" s="194"/>
      <c r="Y23" s="194"/>
      <c r="Z23" s="207"/>
      <c r="AA23" s="208">
        <f>SUM(G23:Z23)</f>
        <v>488721.62750305777</v>
      </c>
    </row>
    <row r="24" spans="1:28">
      <c r="A24" s="188">
        <v>8</v>
      </c>
      <c r="B24" s="161"/>
      <c r="C24" s="88" t="s">
        <v>35</v>
      </c>
      <c r="D24" s="157"/>
      <c r="E24" s="161"/>
      <c r="F24" s="117"/>
      <c r="G24" s="194"/>
      <c r="H24" s="194"/>
      <c r="I24" s="196"/>
      <c r="J24" s="194"/>
      <c r="K24" s="194"/>
      <c r="L24" s="194"/>
      <c r="M24" s="194">
        <f>+'Operating Report'!N56</f>
        <v>16165.959663484771</v>
      </c>
      <c r="N24" s="194"/>
      <c r="O24" s="194"/>
      <c r="P24" s="194"/>
      <c r="Q24" s="194"/>
      <c r="R24" s="194"/>
      <c r="S24" s="194"/>
      <c r="T24" s="194"/>
      <c r="U24" s="194"/>
      <c r="V24" s="194"/>
      <c r="W24" s="194"/>
      <c r="X24" s="194"/>
      <c r="Y24" s="194"/>
      <c r="Z24" s="207"/>
      <c r="AA24" s="190">
        <f t="shared" ref="AA24:AA34" si="1">SUM(G24:Z24)</f>
        <v>16165.959663484771</v>
      </c>
    </row>
    <row r="25" spans="1:28">
      <c r="A25" s="188">
        <v>9</v>
      </c>
      <c r="B25" s="161"/>
      <c r="C25" s="88" t="s">
        <v>13</v>
      </c>
      <c r="D25" s="157"/>
      <c r="E25" s="161"/>
      <c r="F25" s="117"/>
      <c r="G25" s="194"/>
      <c r="H25" s="194"/>
      <c r="I25" s="196"/>
      <c r="J25" s="194"/>
      <c r="K25" s="194"/>
      <c r="L25" s="194"/>
      <c r="M25" s="194">
        <f>+'Operating Report'!N84</f>
        <v>801024.53843530081</v>
      </c>
      <c r="N25" s="194"/>
      <c r="O25" s="194"/>
      <c r="P25" s="194">
        <f>+'Pro Forma Compliance Department'!L15</f>
        <v>183761.99296</v>
      </c>
      <c r="Q25" s="194">
        <f>+'MAOP UG-160787 Deferral'!D13</f>
        <v>959086.83400000003</v>
      </c>
      <c r="R25" s="194"/>
      <c r="S25" s="194"/>
      <c r="T25" s="194"/>
      <c r="U25" s="194"/>
      <c r="V25" s="194"/>
      <c r="W25" s="194"/>
      <c r="X25" s="194"/>
      <c r="Y25" s="194"/>
      <c r="Z25" s="207"/>
      <c r="AA25" s="190">
        <f t="shared" si="1"/>
        <v>1943873.3653953008</v>
      </c>
    </row>
    <row r="26" spans="1:28">
      <c r="A26" s="188">
        <v>10</v>
      </c>
      <c r="B26" s="161"/>
      <c r="C26" s="88" t="s">
        <v>36</v>
      </c>
      <c r="D26" s="157"/>
      <c r="E26" s="161"/>
      <c r="F26" s="117"/>
      <c r="G26" s="209">
        <f>+G19*'Exh MPP-4 - Conversion Factor'!C8</f>
        <v>58685.9549560913</v>
      </c>
      <c r="H26" s="210"/>
      <c r="I26" s="211">
        <f>+I19*'Exh MPP-4 - Conversion Factor'!C8</f>
        <v>-33110.072785635421</v>
      </c>
      <c r="J26" s="212"/>
      <c r="K26" s="210"/>
      <c r="L26" s="209"/>
      <c r="M26" s="213">
        <f>+'Operating Report'!N92</f>
        <v>87064.767914023963</v>
      </c>
      <c r="N26" s="211">
        <f>+N19*'Exh MPP-4 - Conversion Factor'!C8</f>
        <v>758.39417037203009</v>
      </c>
      <c r="O26" s="209"/>
      <c r="P26" s="209"/>
      <c r="Q26" s="209"/>
      <c r="R26" s="209">
        <f>+R19*'Exh MPP-4 - Conversion Factor'!C8</f>
        <v>-385.54302205501142</v>
      </c>
      <c r="S26" s="209">
        <f>+S19*'Exh MPP-4 - Conversion Factor'!D8</f>
        <v>0</v>
      </c>
      <c r="T26" s="209">
        <f>+T19*'Exh MPP-4 - Conversion Factor'!C8</f>
        <v>19799.986812358373</v>
      </c>
      <c r="U26" s="209"/>
      <c r="V26" s="209"/>
      <c r="W26" s="209"/>
      <c r="X26" s="209"/>
      <c r="Y26" s="209"/>
      <c r="Z26" s="214"/>
      <c r="AA26" s="190">
        <f t="shared" si="1"/>
        <v>132813.48804515525</v>
      </c>
    </row>
    <row r="27" spans="1:28">
      <c r="A27" s="188">
        <v>11</v>
      </c>
      <c r="B27" s="161"/>
      <c r="C27" s="88" t="s">
        <v>14</v>
      </c>
      <c r="D27" s="157"/>
      <c r="E27" s="161"/>
      <c r="F27" s="117"/>
      <c r="G27" s="215"/>
      <c r="H27" s="194"/>
      <c r="I27" s="196"/>
      <c r="J27" s="196">
        <f>-'Low-Income Bill Assistance'!F20</f>
        <v>-533333.36</v>
      </c>
      <c r="K27" s="194"/>
      <c r="L27" s="194"/>
      <c r="M27" s="194"/>
      <c r="N27" s="194"/>
      <c r="O27" s="194"/>
      <c r="P27" s="194"/>
      <c r="Q27" s="194"/>
      <c r="R27" s="194"/>
      <c r="S27" s="194"/>
      <c r="T27" s="194"/>
      <c r="U27" s="194"/>
      <c r="V27" s="194"/>
      <c r="W27" s="194"/>
      <c r="X27" s="194"/>
      <c r="Y27" s="194"/>
      <c r="Z27" s="216"/>
      <c r="AA27" s="190">
        <f t="shared" si="1"/>
        <v>-533333.36</v>
      </c>
    </row>
    <row r="28" spans="1:28">
      <c r="A28" s="188">
        <v>12</v>
      </c>
      <c r="B28" s="161"/>
      <c r="C28" s="88" t="s">
        <v>15</v>
      </c>
      <c r="D28" s="157"/>
      <c r="E28" s="161"/>
      <c r="F28" s="117"/>
      <c r="G28" s="194"/>
      <c r="H28" s="194">
        <f>-'Advertising Adj'!F29</f>
        <v>-4916.5899999999992</v>
      </c>
      <c r="I28" s="196"/>
      <c r="J28" s="194"/>
      <c r="K28" s="194"/>
      <c r="L28" s="194"/>
      <c r="M28" s="194"/>
      <c r="N28" s="194"/>
      <c r="O28" s="194"/>
      <c r="P28" s="194"/>
      <c r="Q28" s="194"/>
      <c r="R28" s="194"/>
      <c r="S28" s="194"/>
      <c r="T28" s="194"/>
      <c r="U28" s="194"/>
      <c r="V28" s="194"/>
      <c r="W28" s="194"/>
      <c r="X28" s="194"/>
      <c r="Y28" s="194"/>
      <c r="Z28" s="216"/>
      <c r="AA28" s="190">
        <f t="shared" si="1"/>
        <v>-4916.5899999999992</v>
      </c>
    </row>
    <row r="29" spans="1:28" ht="16.5" thickBot="1">
      <c r="A29" s="188">
        <v>13</v>
      </c>
      <c r="B29" s="197"/>
      <c r="C29" s="88" t="s">
        <v>16</v>
      </c>
      <c r="D29" s="198"/>
      <c r="E29" s="197"/>
      <c r="F29" s="199"/>
      <c r="G29" s="194"/>
      <c r="H29" s="194">
        <f>-'Advertising Adj'!F75</f>
        <v>-49800.45</v>
      </c>
      <c r="I29" s="196"/>
      <c r="J29" s="194"/>
      <c r="K29" s="194"/>
      <c r="L29" s="194"/>
      <c r="M29" s="194">
        <f>+'Operating Report'!N122</f>
        <v>450657.88931101491</v>
      </c>
      <c r="N29" s="194"/>
      <c r="O29" s="194">
        <f>+'Rate Case Costs'!G15</f>
        <v>298511.64</v>
      </c>
      <c r="P29" s="194">
        <f>+'Pro Forma Compliance Department'!L16</f>
        <v>82692.896831999999</v>
      </c>
      <c r="Q29" s="194"/>
      <c r="R29" s="194"/>
      <c r="S29" s="194"/>
      <c r="T29" s="194"/>
      <c r="U29" s="194"/>
      <c r="V29" s="194"/>
      <c r="W29" s="194"/>
      <c r="X29" s="194"/>
      <c r="Y29" s="194"/>
      <c r="Z29" s="217"/>
      <c r="AA29" s="190">
        <f t="shared" si="1"/>
        <v>782061.97614301485</v>
      </c>
    </row>
    <row r="30" spans="1:28">
      <c r="A30" s="188">
        <v>14</v>
      </c>
      <c r="B30" s="161"/>
      <c r="C30" s="88" t="s">
        <v>37</v>
      </c>
      <c r="D30" s="157"/>
      <c r="E30" s="161"/>
      <c r="F30" s="117"/>
      <c r="G30" s="218"/>
      <c r="H30" s="218"/>
      <c r="I30" s="219"/>
      <c r="J30" s="218"/>
      <c r="K30" s="218"/>
      <c r="L30" s="218"/>
      <c r="M30" s="194"/>
      <c r="N30" s="194">
        <f>+'Pro Forma Plant Additions'!F18</f>
        <v>410853.14640118089</v>
      </c>
      <c r="O30" s="194"/>
      <c r="P30" s="194"/>
      <c r="Q30" s="194"/>
      <c r="R30" s="194"/>
      <c r="S30" s="194">
        <f>+'CRM Adjustment (a)'!E16</f>
        <v>78010.890174750049</v>
      </c>
      <c r="T30" s="194"/>
      <c r="U30" s="194"/>
      <c r="V30" s="194"/>
      <c r="W30" s="194"/>
      <c r="X30" s="194"/>
      <c r="Y30" s="194"/>
      <c r="Z30" s="220"/>
      <c r="AA30" s="190">
        <f t="shared" si="1"/>
        <v>488864.03657593095</v>
      </c>
    </row>
    <row r="31" spans="1:28">
      <c r="A31" s="188">
        <v>15</v>
      </c>
      <c r="B31" s="161"/>
      <c r="C31" s="88" t="s">
        <v>38</v>
      </c>
      <c r="D31" s="157"/>
      <c r="E31" s="161"/>
      <c r="F31" s="117"/>
      <c r="G31" s="194"/>
      <c r="H31" s="194"/>
      <c r="I31" s="196"/>
      <c r="J31" s="194"/>
      <c r="K31" s="194"/>
      <c r="L31" s="194"/>
      <c r="M31" s="194"/>
      <c r="N31" s="194"/>
      <c r="O31" s="194"/>
      <c r="P31" s="194"/>
      <c r="Q31" s="194"/>
      <c r="R31" s="194"/>
      <c r="S31" s="194"/>
      <c r="T31" s="194"/>
      <c r="U31" s="194"/>
      <c r="V31" s="194"/>
      <c r="W31" s="194"/>
      <c r="X31" s="194"/>
      <c r="Y31" s="194"/>
      <c r="Z31" s="216"/>
      <c r="AA31" s="190">
        <f t="shared" si="1"/>
        <v>0</v>
      </c>
    </row>
    <row r="32" spans="1:28">
      <c r="A32" s="188">
        <v>16</v>
      </c>
      <c r="B32" s="161"/>
      <c r="C32" s="88" t="s">
        <v>39</v>
      </c>
      <c r="D32" s="157"/>
      <c r="E32" s="161"/>
      <c r="F32" s="117"/>
      <c r="G32" s="194"/>
      <c r="H32" s="194"/>
      <c r="I32" s="196"/>
      <c r="J32" s="194"/>
      <c r="K32" s="194"/>
      <c r="L32" s="194"/>
      <c r="M32" s="194">
        <f>+'Pro Forma Wage Adjustment'!P17</f>
        <v>82922.448313984569</v>
      </c>
      <c r="N32" s="194">
        <f>+'Pro Forma Plant Additions'!E12</f>
        <v>211115.02764378799</v>
      </c>
      <c r="O32" s="194"/>
      <c r="P32" s="194">
        <f>+'Pro Forma Compliance Department'!L17</f>
        <v>13138.982496639999</v>
      </c>
      <c r="Q32" s="194"/>
      <c r="R32" s="194"/>
      <c r="S32" s="194"/>
      <c r="T32" s="194"/>
      <c r="U32" s="194"/>
      <c r="V32" s="194"/>
      <c r="W32" s="194"/>
      <c r="X32" s="194"/>
      <c r="Y32" s="194"/>
      <c r="Z32" s="216"/>
      <c r="AA32" s="190">
        <f t="shared" si="1"/>
        <v>307176.45845441258</v>
      </c>
      <c r="AB32" s="117"/>
    </row>
    <row r="33" spans="1:139">
      <c r="A33" s="188">
        <v>17</v>
      </c>
      <c r="B33" s="161"/>
      <c r="C33" s="88" t="s">
        <v>40</v>
      </c>
      <c r="D33" s="157"/>
      <c r="E33" s="161"/>
      <c r="F33" s="117"/>
      <c r="G33" s="196">
        <f>(+G19-SUM(G22:G32))*'Exh MPP-4 - Conversion Factor'!$C$33</f>
        <v>1657174.0411896561</v>
      </c>
      <c r="H33" s="196">
        <f>(+H19-SUM(H22:H32))*'Exh MPP-4 - Conversion Factor'!$C$33+0.5</f>
        <v>19151.463999999996</v>
      </c>
      <c r="I33" s="196">
        <f>(+I19-SUM(I22:I32))*'Exh MPP-4 - Conversion Factor'!$C$33</f>
        <v>-808242.04666558688</v>
      </c>
      <c r="J33" s="196">
        <f>(+J19-SUM(J22:J32))*'Exh MPP-4 - Conversion Factor'!$C$33</f>
        <v>186666.67599999998</v>
      </c>
      <c r="K33" s="196"/>
      <c r="L33" s="196">
        <f>+'Interest Coord. Adj.'!H16</f>
        <v>274826.90323425876</v>
      </c>
      <c r="M33" s="196">
        <f>(+M19-SUM(M22:M32))*'Exh MPP-4 - Conversion Factor'!$C$33</f>
        <v>-503242.46127323312</v>
      </c>
      <c r="N33" s="196">
        <f>(+N19-SUM(N22:N32))*'Exh MPP-4 - Conversion Factor'!$C$33</f>
        <v>-150809.53826516928</v>
      </c>
      <c r="O33" s="196">
        <f>(+O19-SUM(O22:O32))*'Exh MPP-4 - Conversion Factor'!$C$33</f>
        <v>-104479.07399999999</v>
      </c>
      <c r="P33" s="196">
        <f>(+P19-SUM(P22:P32))*'Exh MPP-4 - Conversion Factor'!$C$33</f>
        <v>-97857.855301023999</v>
      </c>
      <c r="Q33" s="196">
        <f>(+Q19-SUM(Q22:Q32))*'Exh MPP-4 - Conversion Factor'!$C$33</f>
        <v>-335680.39189999999</v>
      </c>
      <c r="R33" s="196">
        <f>(+R19-SUM(R22:R32))*'Exh MPP-4 - Conversion Factor'!$C$33</f>
        <v>-33999.280552280747</v>
      </c>
      <c r="S33" s="196">
        <f>(+S19-SUM(S22:S32))*'Exh MPP-4 - Conversion Factor'!$C$33</f>
        <v>-27303.811561162514</v>
      </c>
      <c r="T33" s="196">
        <f>(+T19-SUM(T22:T32))*'Exh MPP-4 - Conversion Factor'!$C$33</f>
        <v>1746070.5240536744</v>
      </c>
      <c r="U33" s="196">
        <f>(+U19-SUM(U24:U32))*'Exh MPP-4 - Conversion Factor'!$C$33</f>
        <v>0</v>
      </c>
      <c r="V33" s="196">
        <f>(+V19-SUM(V24:V32))*'Exh MPP-4 - Conversion Factor'!$C$33</f>
        <v>0</v>
      </c>
      <c r="W33" s="196">
        <f>(+W19-SUM(W24:W32))*'Exh MPP-4 - Conversion Factor'!$C$33</f>
        <v>0</v>
      </c>
      <c r="X33" s="196">
        <f>(+X19-SUM(X24:X32))*'Exh MPP-4 - Conversion Factor'!$C$33</f>
        <v>0</v>
      </c>
      <c r="Y33" s="196">
        <f>(+Y19-SUM(Y24:Y32))*'Exh MPP-4 - Conversion Factor'!$C$33</f>
        <v>0</v>
      </c>
      <c r="Z33" s="216"/>
      <c r="AA33" s="190">
        <f t="shared" si="1"/>
        <v>1822275.1489591328</v>
      </c>
      <c r="AB33" s="117"/>
    </row>
    <row r="34" spans="1:139">
      <c r="A34" s="188">
        <v>18</v>
      </c>
      <c r="B34" s="161"/>
      <c r="C34" s="94" t="s">
        <v>41</v>
      </c>
      <c r="D34" s="157"/>
      <c r="E34" s="161"/>
      <c r="F34" s="117"/>
      <c r="G34" s="195">
        <f>SUM(G22:G33)</f>
        <v>12394422.850822067</v>
      </c>
      <c r="H34" s="195">
        <f t="shared" ref="H34:J34" si="2">SUM(H22:H33)</f>
        <v>-35565.576000000001</v>
      </c>
      <c r="I34" s="195">
        <f t="shared" si="2"/>
        <v>-7228156.2316925162</v>
      </c>
      <c r="J34" s="195">
        <f t="shared" si="2"/>
        <v>-346666.68400000001</v>
      </c>
      <c r="K34" s="195"/>
      <c r="L34" s="195">
        <f>SUM(L24:L33)</f>
        <v>274826.90323425876</v>
      </c>
      <c r="M34" s="195">
        <f t="shared" ref="M34:T34" si="3">SUM(M22:M33)</f>
        <v>934593.14236457576</v>
      </c>
      <c r="N34" s="195">
        <f t="shared" si="3"/>
        <v>480018.75677817164</v>
      </c>
      <c r="O34" s="195">
        <f t="shared" si="3"/>
        <v>194032.56600000002</v>
      </c>
      <c r="P34" s="195">
        <f t="shared" si="3"/>
        <v>181736.01698761602</v>
      </c>
      <c r="Q34" s="195">
        <f t="shared" si="3"/>
        <v>623406.4421000001</v>
      </c>
      <c r="R34" s="195">
        <f t="shared" si="3"/>
        <v>-38503.478974335754</v>
      </c>
      <c r="S34" s="195">
        <f>SUM(S22:S33)</f>
        <v>50707.078613587539</v>
      </c>
      <c r="T34" s="195">
        <f t="shared" si="3"/>
        <v>1977388.5981860328</v>
      </c>
      <c r="U34" s="195">
        <f t="shared" ref="U34:Y34" si="4">SUM(U24:U33)</f>
        <v>0</v>
      </c>
      <c r="V34" s="195">
        <f t="shared" si="4"/>
        <v>0</v>
      </c>
      <c r="W34" s="195">
        <f t="shared" si="4"/>
        <v>0</v>
      </c>
      <c r="X34" s="195">
        <f t="shared" si="4"/>
        <v>0</v>
      </c>
      <c r="Y34" s="195">
        <f t="shared" si="4"/>
        <v>0</v>
      </c>
      <c r="Z34" s="216"/>
      <c r="AA34" s="190">
        <f t="shared" si="1"/>
        <v>9462240.384419458</v>
      </c>
      <c r="AB34" s="117"/>
    </row>
    <row r="35" spans="1:139" ht="16.5" thickBot="1">
      <c r="A35" s="188">
        <v>19</v>
      </c>
      <c r="B35" s="161"/>
      <c r="C35" s="94" t="s">
        <v>17</v>
      </c>
      <c r="D35" s="157"/>
      <c r="E35" s="161"/>
      <c r="F35" s="117"/>
      <c r="G35" s="221">
        <f>+G19-G34</f>
        <v>3077608.9336379338</v>
      </c>
      <c r="H35" s="221">
        <f t="shared" ref="H35:J35" si="5">+H19-H34</f>
        <v>35565.576000000001</v>
      </c>
      <c r="I35" s="221">
        <f t="shared" si="5"/>
        <v>-1501020.943807519</v>
      </c>
      <c r="J35" s="221">
        <f t="shared" si="5"/>
        <v>346666.68400000001</v>
      </c>
      <c r="K35" s="221"/>
      <c r="L35" s="221">
        <f t="shared" ref="L35:T35" si="6">+L19-L34</f>
        <v>-274826.90323425876</v>
      </c>
      <c r="M35" s="221">
        <f t="shared" si="6"/>
        <v>-934593.14236457576</v>
      </c>
      <c r="N35" s="221">
        <f t="shared" si="6"/>
        <v>-280074.85677817161</v>
      </c>
      <c r="O35" s="221">
        <f t="shared" si="6"/>
        <v>-194032.56600000002</v>
      </c>
      <c r="P35" s="221">
        <f t="shared" si="6"/>
        <v>-181736.01698761602</v>
      </c>
      <c r="Q35" s="221">
        <f t="shared" si="6"/>
        <v>-623406.4421000001</v>
      </c>
      <c r="R35" s="221">
        <f t="shared" si="6"/>
        <v>-63141.521025664246</v>
      </c>
      <c r="S35" s="221">
        <f t="shared" si="6"/>
        <v>-50707.078613587539</v>
      </c>
      <c r="T35" s="221">
        <f t="shared" si="6"/>
        <v>3242702.4018139672</v>
      </c>
      <c r="U35" s="221">
        <f t="shared" ref="U35" si="7">+U19-U34</f>
        <v>0</v>
      </c>
      <c r="V35" s="221">
        <f t="shared" ref="V35" si="8">+V19-V34</f>
        <v>0</v>
      </c>
      <c r="W35" s="221">
        <f t="shared" ref="W35" si="9">+W19-W34</f>
        <v>0</v>
      </c>
      <c r="X35" s="221">
        <f t="shared" ref="X35" si="10">+X19-X34</f>
        <v>0</v>
      </c>
      <c r="Y35" s="221">
        <f t="shared" ref="Y35" si="11">+Y19-Y34</f>
        <v>0</v>
      </c>
      <c r="Z35" s="221"/>
      <c r="AA35" s="221">
        <f>+AA19-AA34</f>
        <v>2599004.1245405059</v>
      </c>
      <c r="AB35" s="117"/>
    </row>
    <row r="36" spans="1:139" ht="16.5" thickBot="1">
      <c r="A36" s="188"/>
      <c r="B36" s="161"/>
      <c r="C36" s="94"/>
      <c r="D36" s="157"/>
      <c r="E36" s="161"/>
      <c r="F36" s="117"/>
      <c r="G36" s="222"/>
      <c r="H36" s="222"/>
      <c r="I36" s="223"/>
      <c r="J36" s="222"/>
      <c r="K36" s="222"/>
      <c r="L36" s="222"/>
      <c r="M36" s="224"/>
      <c r="N36" s="222"/>
      <c r="O36" s="222"/>
      <c r="P36" s="222"/>
      <c r="Q36" s="222"/>
      <c r="R36" s="222"/>
      <c r="S36" s="222"/>
      <c r="T36" s="222"/>
      <c r="U36" s="222"/>
      <c r="V36" s="222"/>
      <c r="W36" s="222"/>
      <c r="X36" s="222"/>
      <c r="Y36" s="222"/>
      <c r="Z36" s="225"/>
      <c r="AA36" s="222"/>
      <c r="AB36" s="226"/>
    </row>
    <row r="37" spans="1:139" ht="16.5" thickTop="1">
      <c r="A37" s="188">
        <v>20</v>
      </c>
      <c r="B37" s="161"/>
      <c r="C37" s="94" t="s">
        <v>42</v>
      </c>
      <c r="D37" s="157"/>
      <c r="E37" s="161"/>
      <c r="F37" s="117"/>
      <c r="G37" s="207"/>
      <c r="H37" s="207"/>
      <c r="I37" s="227"/>
      <c r="J37" s="207"/>
      <c r="K37" s="207"/>
      <c r="L37" s="207"/>
      <c r="M37" s="220"/>
      <c r="N37" s="207"/>
      <c r="O37" s="207"/>
      <c r="P37" s="207"/>
      <c r="Q37" s="207"/>
      <c r="R37" s="207"/>
      <c r="S37" s="207"/>
      <c r="T37" s="207"/>
      <c r="U37" s="207"/>
      <c r="V37" s="207"/>
      <c r="W37" s="207"/>
      <c r="X37" s="207"/>
      <c r="Y37" s="207"/>
      <c r="Z37" s="207"/>
      <c r="AA37" s="228"/>
      <c r="AB37" s="117"/>
    </row>
    <row r="38" spans="1:139">
      <c r="A38" s="188">
        <v>21</v>
      </c>
      <c r="B38" s="161"/>
      <c r="C38" s="69" t="s">
        <v>44</v>
      </c>
      <c r="D38" s="157"/>
      <c r="E38" s="161"/>
      <c r="F38" s="117"/>
      <c r="G38" s="218"/>
      <c r="H38" s="218"/>
      <c r="I38" s="219"/>
      <c r="J38" s="218"/>
      <c r="K38" s="218"/>
      <c r="L38" s="218"/>
      <c r="M38" s="194"/>
      <c r="N38" s="194">
        <f>+'Pro Forma Plant Additions'!E16</f>
        <v>18072319.657660004</v>
      </c>
      <c r="O38" s="194"/>
      <c r="P38" s="194"/>
      <c r="Q38" s="194"/>
      <c r="R38" s="194"/>
      <c r="S38" s="194">
        <f>+'CRM Adjustment (a)'!C14</f>
        <v>3023677.9137500022</v>
      </c>
      <c r="T38" s="194"/>
      <c r="U38" s="194"/>
      <c r="V38" s="194"/>
      <c r="W38" s="194"/>
      <c r="X38" s="194"/>
      <c r="Y38" s="194"/>
      <c r="Z38" s="214"/>
      <c r="AA38" s="229">
        <f t="shared" ref="AA38:AA42" si="12">SUM(G38:Z38)</f>
        <v>21095997.571410008</v>
      </c>
      <c r="AB38" s="117"/>
    </row>
    <row r="39" spans="1:139">
      <c r="A39" s="188">
        <v>22</v>
      </c>
      <c r="B39" s="161"/>
      <c r="C39" s="69" t="s">
        <v>45</v>
      </c>
      <c r="D39" s="157"/>
      <c r="E39" s="161"/>
      <c r="F39" s="117"/>
      <c r="G39" s="230"/>
      <c r="H39" s="230"/>
      <c r="I39" s="231"/>
      <c r="J39" s="230"/>
      <c r="K39" s="230"/>
      <c r="L39" s="230"/>
      <c r="M39" s="230"/>
      <c r="N39" s="230">
        <f>-'Pro Forma Plant Additions'!E19</f>
        <v>-205426.57320059044</v>
      </c>
      <c r="O39" s="230"/>
      <c r="P39" s="230"/>
      <c r="Q39" s="230"/>
      <c r="R39" s="230"/>
      <c r="S39" s="230">
        <f>-'CRM Adjustment (a)'!C17</f>
        <v>-39005.445087375025</v>
      </c>
      <c r="T39" s="230"/>
      <c r="U39" s="194"/>
      <c r="V39" s="194"/>
      <c r="W39" s="230"/>
      <c r="X39" s="230"/>
      <c r="Y39" s="230"/>
      <c r="Z39" s="216"/>
      <c r="AA39" s="229">
        <f t="shared" si="12"/>
        <v>-244432.01828796547</v>
      </c>
      <c r="AB39" s="117"/>
    </row>
    <row r="40" spans="1:139">
      <c r="A40" s="188">
        <v>23</v>
      </c>
      <c r="B40" s="161"/>
      <c r="C40" s="80" t="s">
        <v>18</v>
      </c>
      <c r="D40" s="157"/>
      <c r="E40" s="161"/>
      <c r="F40" s="117"/>
      <c r="G40" s="230"/>
      <c r="H40" s="230"/>
      <c r="I40" s="231"/>
      <c r="J40" s="230"/>
      <c r="K40" s="230"/>
      <c r="L40" s="230"/>
      <c r="M40" s="230"/>
      <c r="N40" s="230"/>
      <c r="O40" s="230"/>
      <c r="P40" s="230"/>
      <c r="Q40" s="230"/>
      <c r="R40" s="230"/>
      <c r="S40" s="230"/>
      <c r="T40" s="230"/>
      <c r="U40" s="230"/>
      <c r="V40" s="230"/>
      <c r="W40" s="230"/>
      <c r="X40" s="230"/>
      <c r="Y40" s="230"/>
      <c r="Z40" s="216"/>
      <c r="AA40" s="229">
        <f t="shared" si="12"/>
        <v>0</v>
      </c>
      <c r="AB40" s="117"/>
    </row>
    <row r="41" spans="1:139" ht="16.5" thickBot="1">
      <c r="A41" s="188">
        <v>24</v>
      </c>
      <c r="B41" s="161"/>
      <c r="C41" s="80" t="s">
        <v>46</v>
      </c>
      <c r="D41" s="157"/>
      <c r="E41" s="161"/>
      <c r="F41" s="117"/>
      <c r="G41" s="230"/>
      <c r="H41" s="230"/>
      <c r="I41" s="231"/>
      <c r="J41" s="230"/>
      <c r="K41" s="230"/>
      <c r="L41" s="230"/>
      <c r="M41" s="230"/>
      <c r="N41" s="230">
        <f>-'Pro Forma Plant Additions'!E22</f>
        <v>-46700.297133187109</v>
      </c>
      <c r="O41" s="230"/>
      <c r="P41" s="230"/>
      <c r="Q41" s="230"/>
      <c r="R41" s="230"/>
      <c r="S41" s="230">
        <f>-'CRM Adjustment (a)'!C20</f>
        <v>-6190.9805284031308</v>
      </c>
      <c r="T41" s="230"/>
      <c r="U41" s="230"/>
      <c r="V41" s="230"/>
      <c r="W41" s="230"/>
      <c r="X41" s="230"/>
      <c r="Y41" s="230"/>
      <c r="Z41" s="232"/>
      <c r="AA41" s="229">
        <f t="shared" si="12"/>
        <v>-52891.27766159024</v>
      </c>
      <c r="AB41" s="117"/>
    </row>
    <row r="42" spans="1:139">
      <c r="A42" s="188">
        <v>25</v>
      </c>
      <c r="B42" s="161"/>
      <c r="C42" s="80" t="s">
        <v>47</v>
      </c>
      <c r="D42" s="157"/>
      <c r="E42" s="161"/>
      <c r="F42" s="117"/>
      <c r="G42" s="230"/>
      <c r="H42" s="230"/>
      <c r="I42" s="231"/>
      <c r="J42" s="230"/>
      <c r="K42" s="230"/>
      <c r="L42" s="230"/>
      <c r="M42" s="230"/>
      <c r="N42" s="230"/>
      <c r="O42" s="230"/>
      <c r="P42" s="230"/>
      <c r="Q42" s="230"/>
      <c r="R42" s="230"/>
      <c r="S42" s="230"/>
      <c r="T42" s="230"/>
      <c r="U42" s="230"/>
      <c r="V42" s="230"/>
      <c r="W42" s="230"/>
      <c r="X42" s="230"/>
      <c r="Y42" s="230"/>
      <c r="Z42" s="216"/>
      <c r="AA42" s="229">
        <f t="shared" si="12"/>
        <v>0</v>
      </c>
      <c r="AB42" s="117"/>
    </row>
    <row r="43" spans="1:139" ht="16.5" thickBot="1">
      <c r="A43" s="188">
        <v>26</v>
      </c>
      <c r="B43" s="161"/>
      <c r="C43" s="94" t="s">
        <v>43</v>
      </c>
      <c r="D43" s="157"/>
      <c r="E43" s="161"/>
      <c r="F43" s="117"/>
      <c r="G43" s="233">
        <f>SUM(G38:G42)</f>
        <v>0</v>
      </c>
      <c r="H43" s="233">
        <f>SUM(H38:H42)</f>
        <v>0</v>
      </c>
      <c r="I43" s="233">
        <f>SUM(I38:I42)</f>
        <v>0</v>
      </c>
      <c r="J43" s="233">
        <f>SUM(J38:J42)</f>
        <v>0</v>
      </c>
      <c r="K43" s="233"/>
      <c r="L43" s="233">
        <f>SUM(L38:L42)</f>
        <v>0</v>
      </c>
      <c r="M43" s="233">
        <f>SUM(M38:M42)</f>
        <v>0</v>
      </c>
      <c r="N43" s="233">
        <f>SUM(N38:N42)</f>
        <v>17820192.787326224</v>
      </c>
      <c r="O43" s="233">
        <f>SUM(O38:O42)</f>
        <v>0</v>
      </c>
      <c r="P43" s="233"/>
      <c r="Q43" s="233"/>
      <c r="R43" s="233">
        <f t="shared" ref="R43:Y43" si="13">SUM(R38:R42)</f>
        <v>0</v>
      </c>
      <c r="S43" s="233">
        <f t="shared" si="13"/>
        <v>2978481.488134224</v>
      </c>
      <c r="T43" s="233">
        <f t="shared" si="13"/>
        <v>0</v>
      </c>
      <c r="U43" s="233">
        <f t="shared" si="13"/>
        <v>0</v>
      </c>
      <c r="V43" s="233">
        <f t="shared" si="13"/>
        <v>0</v>
      </c>
      <c r="W43" s="233">
        <f t="shared" si="13"/>
        <v>0</v>
      </c>
      <c r="X43" s="233">
        <f t="shared" si="13"/>
        <v>0</v>
      </c>
      <c r="Y43" s="233">
        <f t="shared" si="13"/>
        <v>0</v>
      </c>
      <c r="Z43" s="232"/>
      <c r="AA43" s="233">
        <f>SUM(AA38:AA42)</f>
        <v>20798674.275460452</v>
      </c>
      <c r="AB43" s="117"/>
    </row>
    <row r="44" spans="1:139" ht="16.5" thickBot="1">
      <c r="A44" s="188"/>
      <c r="B44" s="197"/>
      <c r="C44" s="234"/>
      <c r="D44" s="198"/>
      <c r="E44" s="197"/>
      <c r="F44" s="199"/>
      <c r="G44" s="200"/>
      <c r="H44" s="200"/>
      <c r="I44" s="201"/>
      <c r="J44" s="200"/>
      <c r="K44" s="200"/>
      <c r="L44" s="200"/>
      <c r="M44" s="235"/>
      <c r="N44" s="236"/>
      <c r="O44" s="200"/>
      <c r="P44" s="200"/>
      <c r="Q44" s="200"/>
      <c r="R44" s="200"/>
      <c r="S44" s="236"/>
      <c r="T44" s="200"/>
      <c r="U44" s="200"/>
      <c r="V44" s="200"/>
      <c r="W44" s="200"/>
      <c r="X44" s="200"/>
      <c r="Y44" s="200"/>
      <c r="Z44" s="217"/>
      <c r="AA44" s="237"/>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8"/>
      <c r="BR44" s="238"/>
      <c r="BS44" s="238"/>
      <c r="BT44" s="238"/>
      <c r="BU44" s="238"/>
      <c r="BV44" s="238"/>
      <c r="BW44" s="238"/>
      <c r="BX44" s="238"/>
      <c r="BY44" s="238"/>
      <c r="BZ44" s="238"/>
      <c r="CA44" s="238"/>
      <c r="CB44" s="238"/>
      <c r="CC44" s="238"/>
      <c r="CD44" s="238"/>
      <c r="CE44" s="238"/>
      <c r="CF44" s="238"/>
      <c r="CG44" s="238"/>
      <c r="CH44" s="238"/>
      <c r="CI44" s="238"/>
      <c r="CJ44" s="238"/>
      <c r="CK44" s="238"/>
      <c r="CL44" s="238"/>
      <c r="CM44" s="238"/>
      <c r="CN44" s="238"/>
      <c r="CO44" s="238"/>
      <c r="CP44" s="238"/>
      <c r="CQ44" s="238"/>
      <c r="CR44" s="238"/>
      <c r="CS44" s="238"/>
      <c r="CT44" s="238"/>
      <c r="CU44" s="238"/>
      <c r="CV44" s="238"/>
      <c r="CW44" s="238"/>
      <c r="CX44" s="238"/>
      <c r="CY44" s="238"/>
      <c r="CZ44" s="238"/>
      <c r="DA44" s="238"/>
      <c r="DB44" s="238"/>
      <c r="DC44" s="238"/>
      <c r="DD44" s="238"/>
      <c r="DE44" s="238"/>
      <c r="DF44" s="238"/>
      <c r="DG44" s="238"/>
      <c r="DH44" s="238"/>
      <c r="DI44" s="238"/>
      <c r="DJ44" s="238"/>
      <c r="DK44" s="238"/>
      <c r="DL44" s="238"/>
      <c r="DM44" s="238"/>
      <c r="DN44" s="238"/>
      <c r="DO44" s="238"/>
      <c r="DP44" s="238"/>
      <c r="DQ44" s="238"/>
      <c r="DR44" s="238"/>
      <c r="DS44" s="238"/>
      <c r="DT44" s="238"/>
      <c r="DU44" s="238"/>
      <c r="DV44" s="238"/>
      <c r="DW44" s="238"/>
      <c r="DX44" s="238"/>
      <c r="DY44" s="238"/>
      <c r="DZ44" s="238"/>
      <c r="EA44" s="238"/>
      <c r="EB44" s="238"/>
      <c r="EC44" s="238"/>
      <c r="ED44" s="238"/>
      <c r="EE44" s="238"/>
      <c r="EF44" s="238"/>
      <c r="EG44" s="238"/>
      <c r="EH44" s="238"/>
      <c r="EI44" s="238"/>
    </row>
    <row r="45" spans="1:139">
      <c r="A45" s="188">
        <v>27</v>
      </c>
      <c r="B45" s="239"/>
      <c r="C45" s="240" t="s">
        <v>60</v>
      </c>
      <c r="D45" s="241"/>
      <c r="E45" s="197"/>
      <c r="F45" s="199"/>
      <c r="G45" s="242">
        <f>((+G43*'Capital Structure Calculation'!$J$14)-'Exh MPP-5 - Summary of Adj'!G35)/'Exh MPP-4 - Conversion Factor'!$C$25</f>
        <v>-4954324.1115854466</v>
      </c>
      <c r="H45" s="242">
        <f>((+H43*'Capital Structure Calculation'!$J$14)-'Exh MPP-5 - Summary of Adj'!H35)/'Exh MPP-4 - Conversion Factor'!$C$25</f>
        <v>-57253.340017745795</v>
      </c>
      <c r="I45" s="243">
        <f>((+I43*'Capital Structure Calculation'!$J$14)-'Exh MPP-5 - Summary of Adj'!I35)/'Exh MPP-4 - Conversion Factor'!$C$25</f>
        <v>2416338.2724230192</v>
      </c>
      <c r="J45" s="244">
        <f>((+J43*'Capital Structure Calculation'!$J$14)-'Exh MPP-5 - Summary of Adj'!J35)/'Exh MPP-4 - Conversion Factor'!$C$25</f>
        <v>-558062.81703061506</v>
      </c>
      <c r="K45" s="242"/>
      <c r="L45" s="242">
        <f>((+L43*'Capital Structure Calculation'!$J$14)-'Exh MPP-5 - Summary of Adj'!L35)/'Exh MPP-4 - Conversion Factor'!$C$25</f>
        <v>442415.38888320373</v>
      </c>
      <c r="M45" s="242">
        <f>((+M43*'Capital Structure Calculation'!$J$14)-'Exh MPP-5 - Summary of Adj'!M35)/'Exh MPP-4 - Conversion Factor'!$C$25</f>
        <v>1504504.7761366935</v>
      </c>
      <c r="N45" s="242">
        <f>((+N43*'Capital Structure Calculation'!$J$14)-'Exh MPP-5 - Summary of Adj'!N35)/'Exh MPP-4 - Conversion Factor'!$C$25</f>
        <v>2630492.9804548281</v>
      </c>
      <c r="O45" s="242">
        <f>((+O43*'Capital Structure Calculation'!$J$14)-'Exh MPP-5 - Summary of Adj'!O35)/'Exh MPP-4 - Conversion Factor'!$C$25</f>
        <v>312352.94701015676</v>
      </c>
      <c r="P45" s="242">
        <f>((+P43*'Capital Structure Calculation'!$J$14)-'Exh MPP-5 - Summary of Adj'!P35)/'Exh MPP-4 - Conversion Factor'!$C$25</f>
        <v>292558.00536065566</v>
      </c>
      <c r="Q45" s="242">
        <f>((+Q43*'Capital Structure Calculation'!$J$14)-'Exh MPP-5 - Summary of Adj'!Q35)/'Exh MPP-4 - Conversion Factor'!$C$25</f>
        <v>1003557.5129952756</v>
      </c>
      <c r="R45" s="242">
        <f>((+R43*'Capital Structure Calculation'!$J$14)-'Exh MPP-5 - Summary of Adj'!R35)/'Exh MPP-4 - Conversion Factor'!$C$25</f>
        <v>101645</v>
      </c>
      <c r="S45" s="242">
        <f>((+S43*'Capital Structure Calculation'!$J$14)-'Exh MPP-5 - Summary of Adj'!S35)/'Exh MPP-4 - Conversion Factor'!$C$25</f>
        <v>445933.11435565492</v>
      </c>
      <c r="T45" s="242">
        <f>((+T43*'Capital Structure Calculation'!$J$14)-'Exh MPP-5 - Summary of Adj'!T35)/'Exh MPP-4 - Conversion Factor'!$C$25</f>
        <v>-5220091</v>
      </c>
      <c r="U45" s="242">
        <f>((+U43*'Capital Structure Calculation'!$J$14)-'Exh MPP-5 - Summary of Adj'!U35)/'Exh MPP-4 - Conversion Factor'!$C$25</f>
        <v>0</v>
      </c>
      <c r="V45" s="242">
        <f>((+V43*'Capital Structure Calculation'!$J$14)-'Exh MPP-5 - Summary of Adj'!V35)/'Exh MPP-4 - Conversion Factor'!$C$25</f>
        <v>0</v>
      </c>
      <c r="W45" s="242">
        <f>((+W43*'Capital Structure Calculation'!$J$14)-'Exh MPP-5 - Summary of Adj'!W35)/'Exh MPP-4 - Conversion Factor'!$C$25</f>
        <v>0</v>
      </c>
      <c r="X45" s="242">
        <f>((+X43*'Capital Structure Calculation'!$J$14)-'Exh MPP-5 - Summary of Adj'!X35)/'Exh MPP-4 - Conversion Factor'!$C$25</f>
        <v>0</v>
      </c>
      <c r="Y45" s="242">
        <f>((+Y43*'Capital Structure Calculation'!$J$14)-'Exh MPP-5 - Summary of Adj'!Y35)/'Exh MPP-4 - Conversion Factor'!$C$25</f>
        <v>0</v>
      </c>
      <c r="Z45" s="242"/>
      <c r="AA45" s="242">
        <f>((+AA43*'Capital Structure Calculation'!$J$14)-'Exh MPP-5 - Summary of Adj'!AA35)/'Exh MPP-4 - Conversion Factor'!$C$25</f>
        <v>-1639933.2710143162</v>
      </c>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245"/>
      <c r="BO45" s="245"/>
      <c r="BP45" s="245"/>
      <c r="BQ45" s="245"/>
      <c r="BR45" s="245"/>
      <c r="BS45" s="245"/>
      <c r="BT45" s="245"/>
      <c r="BU45" s="245"/>
      <c r="BV45" s="245"/>
      <c r="BW45" s="245"/>
      <c r="BX45" s="245"/>
      <c r="BY45" s="245"/>
      <c r="BZ45" s="245"/>
      <c r="CA45" s="245"/>
      <c r="CB45" s="245"/>
      <c r="CC45" s="245"/>
      <c r="CD45" s="245"/>
      <c r="CE45" s="245"/>
      <c r="CF45" s="245"/>
      <c r="CG45" s="245"/>
      <c r="CH45" s="245"/>
      <c r="CI45" s="245"/>
      <c r="CJ45" s="245"/>
      <c r="CK45" s="245"/>
      <c r="CL45" s="245"/>
      <c r="CM45" s="245"/>
      <c r="CN45" s="245"/>
      <c r="CO45" s="245"/>
      <c r="CP45" s="245"/>
      <c r="CQ45" s="245"/>
      <c r="CR45" s="245"/>
      <c r="CS45" s="245"/>
      <c r="CT45" s="245"/>
      <c r="CU45" s="245"/>
      <c r="CV45" s="245"/>
      <c r="CW45" s="245"/>
      <c r="CX45" s="245"/>
      <c r="CY45" s="245"/>
      <c r="CZ45" s="245"/>
      <c r="DA45" s="245"/>
      <c r="DB45" s="245"/>
      <c r="DC45" s="245"/>
      <c r="DD45" s="245"/>
      <c r="DE45" s="245"/>
      <c r="DF45" s="245"/>
      <c r="DG45" s="245"/>
      <c r="DH45" s="245"/>
      <c r="DI45" s="245"/>
      <c r="DJ45" s="245"/>
      <c r="DK45" s="245"/>
      <c r="DL45" s="245"/>
      <c r="DM45" s="245"/>
      <c r="DN45" s="245"/>
      <c r="DO45" s="245"/>
      <c r="DP45" s="245"/>
      <c r="DQ45" s="245"/>
      <c r="DR45" s="245"/>
      <c r="DS45" s="245"/>
      <c r="DT45" s="245"/>
      <c r="DU45" s="245"/>
      <c r="DV45" s="245"/>
      <c r="DW45" s="245"/>
      <c r="DX45" s="245"/>
      <c r="DY45" s="245"/>
      <c r="DZ45" s="245"/>
      <c r="EA45" s="245"/>
      <c r="EB45" s="245"/>
      <c r="EC45" s="245"/>
      <c r="ED45" s="245"/>
      <c r="EE45" s="245"/>
      <c r="EF45" s="245"/>
      <c r="EG45" s="245"/>
      <c r="EH45" s="245"/>
      <c r="EI45" s="245"/>
    </row>
    <row r="46" spans="1:139">
      <c r="A46" s="117"/>
      <c r="B46" s="117"/>
      <c r="C46" s="117"/>
      <c r="D46" s="117"/>
      <c r="E46" s="117"/>
      <c r="F46" s="117"/>
      <c r="G46" s="246"/>
      <c r="H46" s="246"/>
      <c r="I46" s="246"/>
      <c r="J46" s="246"/>
      <c r="K46" s="246"/>
      <c r="L46" s="246"/>
      <c r="M46" s="246"/>
      <c r="N46" s="246"/>
      <c r="O46" s="246"/>
      <c r="P46" s="246"/>
      <c r="Q46" s="246"/>
      <c r="R46" s="246"/>
      <c r="S46" s="246"/>
      <c r="T46" s="246"/>
      <c r="U46" s="246"/>
      <c r="V46" s="246"/>
      <c r="W46" s="246"/>
      <c r="X46" s="246"/>
      <c r="Y46" s="246"/>
      <c r="Z46" s="246"/>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c r="ED46" s="117"/>
      <c r="EE46" s="117"/>
      <c r="EF46" s="117"/>
      <c r="EG46" s="117"/>
      <c r="EH46" s="117"/>
      <c r="EI46" s="117"/>
    </row>
    <row r="47" spans="1:139">
      <c r="A47" s="117"/>
      <c r="B47" s="117"/>
      <c r="C47" s="117"/>
      <c r="D47" s="117"/>
      <c r="E47" s="117"/>
      <c r="F47" s="117"/>
      <c r="G47" s="247"/>
      <c r="H47" s="247"/>
      <c r="I47" s="247"/>
      <c r="J47" s="247"/>
      <c r="K47" s="247"/>
      <c r="L47" s="247"/>
      <c r="M47" s="247"/>
      <c r="N47" s="247"/>
      <c r="O47" s="247"/>
      <c r="P47" s="247"/>
      <c r="Q47" s="247"/>
      <c r="R47" s="247"/>
      <c r="S47" s="247"/>
      <c r="T47" s="247"/>
      <c r="U47" s="248"/>
      <c r="V47" s="248"/>
      <c r="W47" s="248"/>
      <c r="X47" s="248"/>
      <c r="Y47" s="248"/>
      <c r="Z47" s="248"/>
      <c r="AA47" s="118"/>
      <c r="AB47" s="118"/>
      <c r="AC47" s="118"/>
      <c r="AD47" s="118"/>
      <c r="AE47" s="118"/>
      <c r="AF47" s="118"/>
      <c r="AG47" s="118"/>
      <c r="AH47" s="118"/>
      <c r="AI47" s="118"/>
      <c r="AJ47" s="118"/>
      <c r="AK47" s="118"/>
      <c r="AL47" s="118"/>
      <c r="AM47" s="118"/>
      <c r="AN47" s="118"/>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c r="EA47" s="117"/>
      <c r="EB47" s="117"/>
      <c r="EC47" s="117"/>
      <c r="ED47" s="117"/>
      <c r="EE47" s="117"/>
      <c r="EF47" s="117"/>
      <c r="EG47" s="117"/>
      <c r="EH47" s="117"/>
      <c r="EI47" s="117"/>
    </row>
    <row r="48" spans="1:139">
      <c r="A48" s="117"/>
      <c r="B48" s="117"/>
      <c r="C48" s="117"/>
      <c r="D48" s="117"/>
      <c r="E48" s="117"/>
      <c r="F48" s="117"/>
      <c r="G48" s="118"/>
      <c r="H48" s="118"/>
      <c r="I48" s="118"/>
      <c r="J48" s="118"/>
      <c r="K48" s="118"/>
      <c r="L48" s="118"/>
      <c r="M48" s="249"/>
      <c r="N48" s="118"/>
      <c r="O48" s="118"/>
      <c r="P48" s="118"/>
      <c r="Q48" s="118"/>
      <c r="R48" s="118"/>
      <c r="S48" s="118"/>
      <c r="T48" s="118"/>
      <c r="U48" s="118"/>
      <c r="V48" s="118"/>
      <c r="W48" s="118"/>
      <c r="X48" s="118"/>
      <c r="Y48" s="118"/>
      <c r="Z48" s="118"/>
      <c r="AA48" s="250"/>
      <c r="AB48" s="118"/>
      <c r="AC48" s="118"/>
      <c r="AD48" s="118"/>
      <c r="AE48" s="118"/>
      <c r="AF48" s="118"/>
      <c r="AG48" s="118"/>
      <c r="AH48" s="118"/>
      <c r="AI48" s="118"/>
      <c r="AJ48" s="118"/>
      <c r="AK48" s="118"/>
      <c r="AL48" s="118"/>
      <c r="AM48" s="118"/>
      <c r="AN48" s="118"/>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c r="ED48" s="117"/>
      <c r="EE48" s="117"/>
      <c r="EF48" s="117"/>
      <c r="EG48" s="117"/>
      <c r="EH48" s="117"/>
      <c r="EI48" s="117"/>
    </row>
    <row r="49" spans="1:139">
      <c r="A49" s="117"/>
      <c r="B49" s="117"/>
      <c r="C49" s="117"/>
      <c r="D49" s="117"/>
      <c r="E49" s="117"/>
      <c r="F49" s="117"/>
      <c r="G49" s="118"/>
      <c r="H49" s="118"/>
      <c r="I49" s="118"/>
      <c r="J49" s="118"/>
      <c r="K49" s="118"/>
      <c r="L49" s="118"/>
      <c r="M49" s="251"/>
      <c r="N49" s="118"/>
      <c r="O49" s="118"/>
      <c r="P49" s="118"/>
      <c r="Q49" s="118"/>
      <c r="R49" s="118"/>
      <c r="S49" s="118"/>
      <c r="T49" s="118"/>
      <c r="U49" s="118"/>
      <c r="V49" s="118"/>
      <c r="W49" s="118"/>
      <c r="X49" s="118"/>
      <c r="Y49" s="118"/>
      <c r="Z49" s="118"/>
      <c r="AA49" s="252"/>
      <c r="AB49" s="118"/>
      <c r="AC49" s="118"/>
      <c r="AD49" s="118"/>
      <c r="AE49" s="118"/>
      <c r="AF49" s="118"/>
      <c r="AG49" s="118"/>
      <c r="AH49" s="118"/>
      <c r="AI49" s="118"/>
      <c r="AJ49" s="118"/>
      <c r="AK49" s="118"/>
      <c r="AL49" s="118"/>
      <c r="AM49" s="118"/>
      <c r="AN49" s="118"/>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c r="ED49" s="117"/>
      <c r="EE49" s="117"/>
      <c r="EF49" s="117"/>
      <c r="EG49" s="117"/>
      <c r="EH49" s="117"/>
      <c r="EI49" s="117"/>
    </row>
    <row r="50" spans="1:139">
      <c r="A50" s="117"/>
      <c r="B50" s="117"/>
      <c r="C50" s="117"/>
      <c r="D50" s="117"/>
      <c r="E50" s="117"/>
      <c r="F50" s="117"/>
      <c r="G50" s="118"/>
      <c r="H50" s="253"/>
      <c r="I50" s="253"/>
      <c r="J50" s="253"/>
      <c r="K50" s="253"/>
      <c r="L50" s="253"/>
      <c r="M50" s="251"/>
      <c r="N50" s="253"/>
      <c r="O50" s="253"/>
      <c r="P50" s="253"/>
      <c r="Q50" s="253"/>
      <c r="R50" s="253"/>
      <c r="S50" s="253"/>
      <c r="T50" s="253"/>
      <c r="U50" s="253"/>
      <c r="V50" s="253"/>
      <c r="W50" s="253"/>
      <c r="X50" s="253"/>
      <c r="Y50" s="253"/>
      <c r="Z50" s="118"/>
      <c r="AA50" s="118"/>
      <c r="AB50" s="118"/>
      <c r="AC50" s="118"/>
      <c r="AD50" s="118"/>
      <c r="AE50" s="118"/>
      <c r="AF50" s="118"/>
      <c r="AG50" s="118"/>
      <c r="AH50" s="118"/>
      <c r="AI50" s="118"/>
      <c r="AJ50" s="118"/>
      <c r="AK50" s="118"/>
      <c r="AL50" s="118"/>
      <c r="AM50" s="118"/>
      <c r="AN50" s="118"/>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17"/>
      <c r="EC50" s="117"/>
      <c r="ED50" s="117"/>
      <c r="EE50" s="117"/>
      <c r="EF50" s="117"/>
      <c r="EG50" s="117"/>
      <c r="EH50" s="117"/>
      <c r="EI50" s="117"/>
    </row>
    <row r="51" spans="1:139">
      <c r="A51" s="117"/>
      <c r="B51" s="117"/>
      <c r="C51" s="117"/>
      <c r="D51" s="117"/>
      <c r="E51" s="117"/>
      <c r="F51" s="117"/>
      <c r="G51" s="118"/>
      <c r="H51" s="118"/>
      <c r="I51" s="118"/>
      <c r="J51" s="118"/>
      <c r="K51" s="118"/>
      <c r="L51" s="118"/>
      <c r="M51" s="251"/>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c r="ED51" s="117"/>
      <c r="EE51" s="117"/>
      <c r="EF51" s="117"/>
      <c r="EG51" s="117"/>
      <c r="EH51" s="117"/>
      <c r="EI51" s="117"/>
    </row>
    <row r="52" spans="1:139">
      <c r="A52" s="117"/>
      <c r="B52" s="117"/>
      <c r="C52" s="117"/>
      <c r="D52" s="117"/>
      <c r="E52" s="117"/>
      <c r="F52" s="117"/>
      <c r="G52" s="118"/>
      <c r="H52" s="253"/>
      <c r="I52" s="253"/>
      <c r="J52" s="253"/>
      <c r="K52" s="253"/>
      <c r="L52" s="253"/>
      <c r="M52" s="251"/>
      <c r="N52" s="253"/>
      <c r="O52" s="253"/>
      <c r="P52" s="253"/>
      <c r="Q52" s="253"/>
      <c r="R52" s="253"/>
      <c r="S52" s="253"/>
      <c r="T52" s="253"/>
      <c r="U52" s="253"/>
      <c r="V52" s="253"/>
      <c r="W52" s="253"/>
      <c r="X52" s="253"/>
      <c r="Y52" s="253"/>
      <c r="Z52" s="118"/>
      <c r="AA52" s="118"/>
      <c r="AB52" s="118"/>
      <c r="AC52" s="118"/>
      <c r="AD52" s="118"/>
      <c r="AE52" s="118"/>
      <c r="AF52" s="118"/>
      <c r="AG52" s="118"/>
      <c r="AH52" s="118"/>
      <c r="AI52" s="118"/>
      <c r="AJ52" s="118"/>
      <c r="AK52" s="118"/>
      <c r="AL52" s="118"/>
      <c r="AM52" s="118"/>
      <c r="AN52" s="118"/>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c r="ED52" s="117"/>
      <c r="EE52" s="117"/>
      <c r="EF52" s="117"/>
      <c r="EG52" s="117"/>
      <c r="EH52" s="117"/>
      <c r="EI52" s="117"/>
    </row>
    <row r="53" spans="1:139">
      <c r="A53" s="117"/>
      <c r="B53" s="117"/>
      <c r="C53" s="117"/>
      <c r="D53" s="117"/>
      <c r="E53" s="117"/>
      <c r="F53" s="117"/>
      <c r="G53" s="118"/>
      <c r="H53" s="254"/>
      <c r="I53" s="254"/>
      <c r="J53" s="254"/>
      <c r="K53" s="254"/>
      <c r="L53" s="254"/>
      <c r="M53" s="251"/>
      <c r="N53" s="254"/>
      <c r="O53" s="254"/>
      <c r="P53" s="254"/>
      <c r="Q53" s="254"/>
      <c r="R53" s="254"/>
      <c r="S53" s="254"/>
      <c r="T53" s="254"/>
      <c r="U53" s="254"/>
      <c r="V53" s="254"/>
      <c r="W53" s="254"/>
      <c r="X53" s="254"/>
      <c r="Y53" s="254"/>
      <c r="Z53" s="118"/>
      <c r="AA53" s="118"/>
      <c r="AB53" s="118"/>
      <c r="AC53" s="118"/>
      <c r="AD53" s="118"/>
      <c r="AE53" s="118"/>
      <c r="AF53" s="118"/>
      <c r="AG53" s="118"/>
      <c r="AH53" s="118"/>
      <c r="AI53" s="118"/>
      <c r="AJ53" s="118"/>
      <c r="AK53" s="118"/>
      <c r="AL53" s="118"/>
      <c r="AM53" s="118"/>
      <c r="AN53" s="118"/>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c r="EA53" s="117"/>
      <c r="EB53" s="117"/>
      <c r="EC53" s="117"/>
      <c r="ED53" s="117"/>
      <c r="EE53" s="117"/>
      <c r="EF53" s="117"/>
      <c r="EG53" s="117"/>
      <c r="EH53" s="117"/>
      <c r="EI53" s="117"/>
    </row>
    <row r="54" spans="1:139">
      <c r="A54" s="117"/>
      <c r="B54" s="117"/>
      <c r="C54" s="117"/>
      <c r="D54" s="117"/>
      <c r="E54" s="117"/>
      <c r="F54" s="117"/>
      <c r="G54" s="118"/>
      <c r="H54" s="254"/>
      <c r="I54" s="254"/>
      <c r="J54" s="254"/>
      <c r="K54" s="254"/>
      <c r="L54" s="254"/>
      <c r="M54" s="251"/>
      <c r="N54" s="254"/>
      <c r="O54" s="254"/>
      <c r="P54" s="254"/>
      <c r="Q54" s="254"/>
      <c r="R54" s="254"/>
      <c r="S54" s="254"/>
      <c r="T54" s="254"/>
      <c r="U54" s="254"/>
      <c r="V54" s="254"/>
      <c r="W54" s="254"/>
      <c r="X54" s="254"/>
      <c r="Y54" s="254"/>
      <c r="Z54" s="118"/>
      <c r="AA54" s="118"/>
      <c r="AB54" s="118"/>
      <c r="AC54" s="118"/>
      <c r="AD54" s="118"/>
      <c r="AE54" s="118"/>
      <c r="AF54" s="118"/>
      <c r="AG54" s="118"/>
      <c r="AH54" s="118"/>
      <c r="AI54" s="118"/>
      <c r="AJ54" s="118"/>
      <c r="AK54" s="118"/>
      <c r="AL54" s="118"/>
      <c r="AM54" s="118"/>
      <c r="AN54" s="118"/>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c r="EA54" s="117"/>
      <c r="EB54" s="117"/>
      <c r="EC54" s="117"/>
      <c r="ED54" s="117"/>
      <c r="EE54" s="117"/>
      <c r="EF54" s="117"/>
      <c r="EG54" s="117"/>
      <c r="EH54" s="117"/>
      <c r="EI54" s="117"/>
    </row>
    <row r="55" spans="1:139">
      <c r="A55" s="117"/>
      <c r="B55" s="117"/>
      <c r="C55" s="117"/>
      <c r="D55" s="117"/>
      <c r="E55" s="117"/>
      <c r="F55" s="117"/>
      <c r="G55" s="118"/>
      <c r="H55" s="254"/>
      <c r="I55" s="254"/>
      <c r="J55" s="254"/>
      <c r="K55" s="254"/>
      <c r="L55" s="254"/>
      <c r="M55" s="251"/>
      <c r="N55" s="254"/>
      <c r="O55" s="254"/>
      <c r="P55" s="254"/>
      <c r="Q55" s="254"/>
      <c r="R55" s="254"/>
      <c r="S55" s="254"/>
      <c r="T55" s="254"/>
      <c r="U55" s="254"/>
      <c r="V55" s="254"/>
      <c r="W55" s="254"/>
      <c r="X55" s="254"/>
      <c r="Y55" s="254"/>
      <c r="Z55" s="118"/>
      <c r="AA55" s="118"/>
      <c r="AB55" s="118"/>
      <c r="AC55" s="118"/>
      <c r="AD55" s="118"/>
      <c r="AE55" s="118"/>
      <c r="AF55" s="118"/>
      <c r="AG55" s="118"/>
      <c r="AH55" s="118"/>
      <c r="AI55" s="118"/>
      <c r="AJ55" s="118"/>
      <c r="AK55" s="118"/>
      <c r="AL55" s="118"/>
      <c r="AM55" s="118"/>
      <c r="AN55" s="118"/>
    </row>
    <row r="56" spans="1:139">
      <c r="A56" s="117"/>
      <c r="B56" s="117"/>
      <c r="C56" s="117"/>
      <c r="D56" s="117"/>
      <c r="E56" s="117"/>
      <c r="F56" s="117"/>
      <c r="G56" s="118"/>
      <c r="H56" s="254"/>
      <c r="I56" s="254"/>
      <c r="J56" s="254"/>
      <c r="K56" s="254"/>
      <c r="L56" s="254"/>
      <c r="M56" s="251"/>
      <c r="N56" s="254"/>
      <c r="O56" s="254"/>
      <c r="P56" s="254"/>
      <c r="Q56" s="254"/>
      <c r="R56" s="254"/>
      <c r="S56" s="254"/>
      <c r="T56" s="254"/>
      <c r="U56" s="254"/>
      <c r="V56" s="254"/>
      <c r="W56" s="254"/>
      <c r="X56" s="254"/>
      <c r="Y56" s="254"/>
      <c r="Z56" s="118"/>
      <c r="AA56" s="118"/>
      <c r="AB56" s="118"/>
      <c r="AC56" s="118"/>
      <c r="AD56" s="118"/>
      <c r="AE56" s="118"/>
      <c r="AF56" s="118"/>
      <c r="AG56" s="118"/>
      <c r="AH56" s="118"/>
      <c r="AI56" s="118"/>
      <c r="AJ56" s="118"/>
      <c r="AK56" s="118"/>
      <c r="AL56" s="118"/>
      <c r="AM56" s="118"/>
      <c r="AN56" s="118"/>
    </row>
    <row r="57" spans="1:139">
      <c r="A57" s="117"/>
      <c r="B57" s="117"/>
      <c r="C57" s="117"/>
      <c r="D57" s="117"/>
      <c r="E57" s="117"/>
      <c r="F57" s="117"/>
      <c r="G57" s="118"/>
      <c r="H57" s="118"/>
      <c r="I57" s="118"/>
      <c r="J57" s="118"/>
      <c r="K57" s="118"/>
      <c r="L57" s="118"/>
      <c r="M57" s="251"/>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row>
    <row r="58" spans="1:139">
      <c r="A58" s="117"/>
      <c r="B58" s="117"/>
      <c r="C58" s="117"/>
      <c r="D58" s="117"/>
      <c r="E58" s="117"/>
      <c r="F58" s="117"/>
      <c r="G58" s="118"/>
      <c r="H58" s="254"/>
      <c r="I58" s="254"/>
      <c r="J58" s="254"/>
      <c r="K58" s="254"/>
      <c r="L58" s="254"/>
      <c r="M58" s="251"/>
      <c r="N58" s="254"/>
      <c r="O58" s="254"/>
      <c r="P58" s="254"/>
      <c r="Q58" s="254"/>
      <c r="R58" s="254"/>
      <c r="S58" s="254"/>
      <c r="T58" s="254"/>
      <c r="U58" s="254"/>
      <c r="V58" s="254"/>
      <c r="W58" s="254"/>
      <c r="X58" s="254"/>
      <c r="Y58" s="254"/>
      <c r="Z58" s="118"/>
      <c r="AA58" s="118"/>
      <c r="AB58" s="118"/>
      <c r="AC58" s="118"/>
      <c r="AD58" s="118"/>
      <c r="AE58" s="118"/>
      <c r="AF58" s="118"/>
      <c r="AG58" s="118"/>
      <c r="AH58" s="118"/>
      <c r="AI58" s="118"/>
      <c r="AJ58" s="118"/>
      <c r="AK58" s="118"/>
      <c r="AL58" s="118"/>
      <c r="AM58" s="118"/>
      <c r="AN58" s="118"/>
    </row>
    <row r="59" spans="1:139">
      <c r="A59" s="117"/>
      <c r="B59" s="117"/>
      <c r="C59" s="117"/>
      <c r="D59" s="117"/>
      <c r="E59" s="117"/>
      <c r="F59" s="117"/>
      <c r="G59" s="118"/>
      <c r="H59" s="255"/>
      <c r="I59" s="255"/>
      <c r="J59" s="255"/>
      <c r="K59" s="255"/>
      <c r="L59" s="255"/>
      <c r="M59" s="251"/>
      <c r="N59" s="255"/>
      <c r="O59" s="255"/>
      <c r="P59" s="255"/>
      <c r="Q59" s="255"/>
      <c r="R59" s="255"/>
      <c r="S59" s="255"/>
      <c r="T59" s="255"/>
      <c r="U59" s="255"/>
      <c r="V59" s="255"/>
      <c r="W59" s="255"/>
      <c r="X59" s="255"/>
      <c r="Y59" s="255"/>
      <c r="Z59" s="118"/>
      <c r="AA59" s="118"/>
      <c r="AB59" s="118"/>
      <c r="AC59" s="118"/>
      <c r="AD59" s="118"/>
      <c r="AE59" s="118"/>
      <c r="AF59" s="118"/>
      <c r="AG59" s="118"/>
      <c r="AH59" s="118"/>
      <c r="AI59" s="118"/>
      <c r="AJ59" s="118"/>
      <c r="AK59" s="118"/>
      <c r="AL59" s="118"/>
      <c r="AM59" s="118"/>
      <c r="AN59" s="118"/>
    </row>
    <row r="60" spans="1:139">
      <c r="A60" s="117"/>
      <c r="B60" s="117"/>
      <c r="C60" s="117"/>
      <c r="D60" s="117"/>
      <c r="E60" s="117"/>
      <c r="F60" s="117"/>
      <c r="G60" s="118"/>
      <c r="H60" s="255"/>
      <c r="I60" s="255"/>
      <c r="J60" s="255"/>
      <c r="K60" s="255"/>
      <c r="L60" s="255"/>
      <c r="M60" s="251"/>
      <c r="N60" s="255"/>
      <c r="O60" s="255"/>
      <c r="P60" s="255"/>
      <c r="Q60" s="255"/>
      <c r="R60" s="255"/>
      <c r="S60" s="255"/>
      <c r="T60" s="255"/>
      <c r="U60" s="255"/>
      <c r="V60" s="255"/>
      <c r="W60" s="255"/>
      <c r="X60" s="255"/>
      <c r="Y60" s="255"/>
      <c r="Z60" s="118"/>
      <c r="AA60" s="118"/>
      <c r="AB60" s="118"/>
      <c r="AC60" s="118"/>
      <c r="AD60" s="118"/>
      <c r="AE60" s="118"/>
      <c r="AF60" s="118"/>
      <c r="AG60" s="118"/>
      <c r="AH60" s="118"/>
      <c r="AI60" s="118"/>
      <c r="AJ60" s="118"/>
      <c r="AK60" s="118"/>
      <c r="AL60" s="118"/>
      <c r="AM60" s="118"/>
      <c r="AN60" s="118"/>
    </row>
    <row r="61" spans="1:139">
      <c r="A61" s="117"/>
      <c r="B61" s="117"/>
      <c r="C61" s="117"/>
      <c r="D61" s="117"/>
      <c r="E61" s="117"/>
      <c r="F61" s="117"/>
      <c r="G61" s="118"/>
      <c r="H61" s="118"/>
      <c r="I61" s="118"/>
      <c r="J61" s="118"/>
      <c r="K61" s="118"/>
      <c r="L61" s="118"/>
      <c r="M61" s="251"/>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row>
    <row r="62" spans="1:139">
      <c r="A62" s="117"/>
      <c r="B62" s="117"/>
      <c r="C62" s="117"/>
      <c r="D62" s="117"/>
      <c r="E62" s="117"/>
      <c r="F62" s="117"/>
      <c r="G62" s="118"/>
      <c r="H62" s="254"/>
      <c r="I62" s="254"/>
      <c r="J62" s="254"/>
      <c r="K62" s="254"/>
      <c r="L62" s="254"/>
      <c r="M62" s="256"/>
      <c r="N62" s="254"/>
      <c r="O62" s="254"/>
      <c r="P62" s="254"/>
      <c r="Q62" s="254"/>
      <c r="R62" s="254"/>
      <c r="S62" s="254"/>
      <c r="T62" s="254"/>
      <c r="U62" s="254"/>
      <c r="V62" s="254"/>
      <c r="W62" s="254"/>
      <c r="X62" s="254"/>
      <c r="Y62" s="254"/>
      <c r="Z62" s="118"/>
      <c r="AA62" s="118"/>
      <c r="AB62" s="118"/>
      <c r="AC62" s="118"/>
      <c r="AD62" s="118"/>
      <c r="AE62" s="118"/>
      <c r="AF62" s="118"/>
      <c r="AG62" s="118"/>
      <c r="AH62" s="118"/>
      <c r="AI62" s="118"/>
      <c r="AJ62" s="118"/>
      <c r="AK62" s="118"/>
      <c r="AL62" s="118"/>
      <c r="AM62" s="118"/>
      <c r="AN62" s="118"/>
    </row>
    <row r="63" spans="1:139">
      <c r="A63" s="117"/>
      <c r="B63" s="117"/>
      <c r="C63" s="117"/>
      <c r="D63" s="117"/>
      <c r="E63" s="117"/>
      <c r="F63" s="117"/>
      <c r="G63" s="118"/>
      <c r="H63" s="254"/>
      <c r="I63" s="254"/>
      <c r="J63" s="254"/>
      <c r="K63" s="254"/>
      <c r="L63" s="254"/>
      <c r="M63" s="251"/>
      <c r="N63" s="254"/>
      <c r="O63" s="254"/>
      <c r="P63" s="254"/>
      <c r="Q63" s="254"/>
      <c r="R63" s="254"/>
      <c r="S63" s="254"/>
      <c r="T63" s="254"/>
      <c r="U63" s="254"/>
      <c r="V63" s="254"/>
      <c r="W63" s="254"/>
      <c r="X63" s="254"/>
      <c r="Y63" s="254"/>
      <c r="Z63" s="118"/>
      <c r="AA63" s="118"/>
      <c r="AB63" s="118"/>
      <c r="AC63" s="118"/>
      <c r="AD63" s="118"/>
      <c r="AE63" s="118"/>
      <c r="AF63" s="118"/>
      <c r="AG63" s="118"/>
      <c r="AH63" s="118"/>
      <c r="AI63" s="118"/>
      <c r="AJ63" s="118"/>
      <c r="AK63" s="118"/>
      <c r="AL63" s="118"/>
      <c r="AM63" s="118"/>
      <c r="AN63" s="118"/>
    </row>
    <row r="64" spans="1:139">
      <c r="A64" s="117"/>
      <c r="B64" s="117"/>
      <c r="C64" s="117"/>
      <c r="D64" s="117"/>
      <c r="E64" s="117"/>
      <c r="F64" s="117"/>
      <c r="G64" s="118"/>
      <c r="H64" s="118"/>
      <c r="I64" s="118"/>
      <c r="J64" s="118"/>
      <c r="K64" s="118"/>
      <c r="L64" s="118"/>
      <c r="M64" s="251"/>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row>
    <row r="65" spans="1:40">
      <c r="A65" s="117"/>
      <c r="B65" s="117"/>
      <c r="C65" s="117"/>
      <c r="D65" s="117"/>
      <c r="E65" s="117"/>
      <c r="F65" s="117"/>
      <c r="G65" s="118"/>
      <c r="H65" s="118"/>
      <c r="I65" s="118"/>
      <c r="J65" s="118"/>
      <c r="K65" s="118"/>
      <c r="L65" s="118"/>
      <c r="M65" s="251"/>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row>
    <row r="66" spans="1:40">
      <c r="A66" s="117"/>
      <c r="B66" s="117"/>
      <c r="C66" s="117"/>
      <c r="D66" s="117"/>
      <c r="E66" s="117"/>
      <c r="F66" s="117"/>
      <c r="G66" s="118"/>
      <c r="H66" s="118"/>
      <c r="I66" s="118"/>
      <c r="J66" s="118"/>
      <c r="K66" s="118"/>
      <c r="L66" s="118"/>
      <c r="M66" s="251"/>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row>
  </sheetData>
  <mergeCells count="7">
    <mergeCell ref="B7:M7"/>
    <mergeCell ref="N5:AA5"/>
    <mergeCell ref="B6:M6"/>
    <mergeCell ref="N3:AB3"/>
    <mergeCell ref="N4:AB4"/>
    <mergeCell ref="B5:M5"/>
    <mergeCell ref="N6:AA6"/>
  </mergeCells>
  <printOptions horizontalCentered="1"/>
  <pageMargins left="0" right="0" top="0.5" bottom="0.5" header="0.3" footer="0.3"/>
  <pageSetup scale="57" orientation="landscape" r:id="rId1"/>
  <headerFooter scaleWithDoc="0" alignWithMargins="0">
    <oddHeader>&amp;RDocket No. UG-17_____
Exhibit _____ (MPP-5)
Page 1 o f 1</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6"/>
  <sheetViews>
    <sheetView workbookViewId="0">
      <selection activeCell="A31" sqref="A31"/>
    </sheetView>
  </sheetViews>
  <sheetFormatPr defaultRowHeight="15.75"/>
  <cols>
    <col min="1" max="1" width="98.7109375" style="148" customWidth="1"/>
    <col min="2" max="2" width="29.42578125" style="148" customWidth="1"/>
    <col min="3" max="16384" width="9.140625" style="148"/>
  </cols>
  <sheetData>
    <row r="1" spans="1:7">
      <c r="A1" s="20" t="s">
        <v>1648</v>
      </c>
    </row>
    <row r="2" spans="1:7">
      <c r="A2" s="20" t="s">
        <v>1687</v>
      </c>
    </row>
    <row r="3" spans="1:7">
      <c r="A3" s="20" t="s">
        <v>1643</v>
      </c>
    </row>
    <row r="4" spans="1:7">
      <c r="A4" s="21"/>
    </row>
    <row r="5" spans="1:7">
      <c r="A5" s="22"/>
    </row>
    <row r="6" spans="1:7">
      <c r="A6" s="22"/>
    </row>
    <row r="7" spans="1:7">
      <c r="A7" s="22"/>
    </row>
    <row r="8" spans="1:7">
      <c r="A8" s="22" t="s">
        <v>1641</v>
      </c>
    </row>
    <row r="9" spans="1:7">
      <c r="A9" s="22"/>
    </row>
    <row r="10" spans="1:7">
      <c r="A10" s="22"/>
    </row>
    <row r="11" spans="1:7">
      <c r="A11" s="22"/>
      <c r="G11" s="149"/>
    </row>
    <row r="12" spans="1:7">
      <c r="A12" s="22"/>
    </row>
    <row r="13" spans="1:7">
      <c r="A13" s="22"/>
    </row>
    <row r="14" spans="1:7">
      <c r="A14" s="22"/>
    </row>
    <row r="15" spans="1:7">
      <c r="A15" s="22"/>
    </row>
    <row r="16" spans="1:7">
      <c r="A16" s="23"/>
    </row>
    <row r="17" spans="1:1">
      <c r="A17" s="23"/>
    </row>
    <row r="18" spans="1:1">
      <c r="A18" s="22"/>
    </row>
    <row r="19" spans="1:1">
      <c r="A19" s="23" t="s">
        <v>126</v>
      </c>
    </row>
    <row r="20" spans="1:1">
      <c r="A20" s="23"/>
    </row>
    <row r="21" spans="1:1">
      <c r="A21" s="23" t="s">
        <v>1644</v>
      </c>
    </row>
    <row r="22" spans="1:1">
      <c r="A22" s="23"/>
    </row>
    <row r="23" spans="1:1">
      <c r="A23" s="23"/>
    </row>
    <row r="24" spans="1:1">
      <c r="A24" s="24" t="s">
        <v>1684</v>
      </c>
    </row>
    <row r="25" spans="1:1">
      <c r="A25" s="23"/>
    </row>
    <row r="26" spans="1:1">
      <c r="A26" s="23"/>
    </row>
    <row r="27" spans="1:1">
      <c r="A27" s="23"/>
    </row>
    <row r="28" spans="1:1">
      <c r="A28" s="23"/>
    </row>
    <row r="29" spans="1:1">
      <c r="A29" s="23"/>
    </row>
    <row r="30" spans="1:1">
      <c r="A30" s="1011" t="s">
        <v>2167</v>
      </c>
    </row>
    <row r="31" spans="1:1">
      <c r="A31" s="150"/>
    </row>
    <row r="32" spans="1:1">
      <c r="A32" s="149"/>
    </row>
    <row r="33" spans="1:1">
      <c r="A33" s="149"/>
    </row>
    <row r="34" spans="1:1">
      <c r="A34" s="149"/>
    </row>
    <row r="35" spans="1:1">
      <c r="A35" s="149"/>
    </row>
    <row r="36" spans="1:1">
      <c r="A36" s="149"/>
    </row>
  </sheetData>
  <pageMargins left="0.7" right="0.7" top="0.75" bottom="0.75" header="0.3" footer="0.3"/>
  <pageSetup scale="91" firstPageNumber="0" fitToHeight="0" orientation="portrait" useFirstPageNumber="1" r:id="rId1"/>
  <headerFooter scaleWithDoc="0"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206095F44BB694BA20BDD0C7793D36E" ma:contentTypeVersion="92" ma:contentTypeDescription="" ma:contentTypeScope="" ma:versionID="f96814c37ae029d81a1e8c3d1b37a1d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2017-08-31T07:00:00+00:00</OpenedDate>
    <Date1 xmlns="dc463f71-b30c-4ab2-9473-d307f9d35888">2017-08-31T07:00:00+00:00</Date1>
    <IsDocumentOrder xmlns="dc463f71-b30c-4ab2-9473-d307f9d35888" xsi:nil="true"/>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170929</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82359BD3-9A7A-4E2A-8104-0F5ECA5F3FC1}"/>
</file>

<file path=customXml/itemProps2.xml><?xml version="1.0" encoding="utf-8"?>
<ds:datastoreItem xmlns:ds="http://schemas.openxmlformats.org/officeDocument/2006/customXml" ds:itemID="{103A9214-F7B5-4AC6-9970-5CF747B149E8}"/>
</file>

<file path=customXml/itemProps3.xml><?xml version="1.0" encoding="utf-8"?>
<ds:datastoreItem xmlns:ds="http://schemas.openxmlformats.org/officeDocument/2006/customXml" ds:itemID="{8AFCDB72-E2F2-4EF2-8BDB-E183E3FE89A2}"/>
</file>

<file path=customXml/itemProps4.xml><?xml version="1.0" encoding="utf-8"?>
<ds:datastoreItem xmlns:ds="http://schemas.openxmlformats.org/officeDocument/2006/customXml" ds:itemID="{C6C74119-D346-4138-9C68-2C33E9BC78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24</vt:i4>
      </vt:variant>
    </vt:vector>
  </HeadingPairs>
  <TitlesOfParts>
    <vt:vector size="60" baseType="lpstr">
      <vt:lpstr>Cover Page MPP-2</vt:lpstr>
      <vt:lpstr>Exh MPP-2 - ROO Summary Sheet</vt:lpstr>
      <vt:lpstr>Cover Page MPP-3</vt:lpstr>
      <vt:lpstr>Exh MPP-3 - Rev Req Calc</vt:lpstr>
      <vt:lpstr>Cover Page MPP-4</vt:lpstr>
      <vt:lpstr>Exh MPP-4 - Conversion Factor</vt:lpstr>
      <vt:lpstr>Cover Page MPP-5</vt:lpstr>
      <vt:lpstr>Exh MPP-5 - Summary of Adj</vt:lpstr>
      <vt:lpstr>Cover Page MPP-6</vt:lpstr>
      <vt:lpstr>MPP-6 - Plant Additions</vt:lpstr>
      <vt:lpstr>MPP-6 - Supporting Explanations</vt:lpstr>
      <vt:lpstr>Workpaper - Support Documents &gt;</vt:lpstr>
      <vt:lpstr>Index</vt:lpstr>
      <vt:lpstr>Operating Report</vt:lpstr>
      <vt:lpstr>Rate Base</vt:lpstr>
      <vt:lpstr>Plant in Serv &amp; Accum Depr</vt:lpstr>
      <vt:lpstr>Adv for Const. &amp; Def Tax</vt:lpstr>
      <vt:lpstr>Working Capital</vt:lpstr>
      <vt:lpstr>Capital Structure Calculation</vt:lpstr>
      <vt:lpstr>State Allocation Formulas</vt:lpstr>
      <vt:lpstr>Adjustment Workpapers---&gt;</vt:lpstr>
      <vt:lpstr>Weather Normalization</vt:lpstr>
      <vt:lpstr>Advertising Adj</vt:lpstr>
      <vt:lpstr>Restate Revenues</vt:lpstr>
      <vt:lpstr>Low-Income Bill Assistance</vt:lpstr>
      <vt:lpstr>Interest Coord. Adj.</vt:lpstr>
      <vt:lpstr>Pro Forma Wage Adjustment</vt:lpstr>
      <vt:lpstr>Pro Forma Plant Additions</vt:lpstr>
      <vt:lpstr>Rate Case Costs</vt:lpstr>
      <vt:lpstr>Pro Forma Compliance Department</vt:lpstr>
      <vt:lpstr>MAOP UG-160787 Deferral</vt:lpstr>
      <vt:lpstr>Miscellaneous Charges</vt:lpstr>
      <vt:lpstr>CRM Adjustment (a)</vt:lpstr>
      <vt:lpstr>CRM Adjustment (b)</vt:lpstr>
      <vt:lpstr>Revenue Adjustment</vt:lpstr>
      <vt:lpstr>Working Capital Work Paper</vt:lpstr>
      <vt:lpstr>'Capital Structure Calculation'!Print_Area</vt:lpstr>
      <vt:lpstr>'CRM Adjustment (a)'!Print_Area</vt:lpstr>
      <vt:lpstr>'Exh MPP-2 - ROO Summary Sheet'!Print_Area</vt:lpstr>
      <vt:lpstr>'Exh MPP-5 - Summary of Adj'!Print_Area</vt:lpstr>
      <vt:lpstr>Index!Print_Area</vt:lpstr>
      <vt:lpstr>'Miscellaneous Charges'!Print_Area</vt:lpstr>
      <vt:lpstr>'Operating Report'!Print_Area</vt:lpstr>
      <vt:lpstr>'Pro Forma Plant Additions'!Print_Area</vt:lpstr>
      <vt:lpstr>'Pro Forma Wage Adjustment'!Print_Area</vt:lpstr>
      <vt:lpstr>'Revenue Adjustment'!Print_Area</vt:lpstr>
      <vt:lpstr>'State Allocation Formulas'!Print_Area</vt:lpstr>
      <vt:lpstr>'Weather Normalization'!Print_Area</vt:lpstr>
      <vt:lpstr>'Working Capital Work Paper'!Print_Area</vt:lpstr>
      <vt:lpstr>'Workpaper - Support Documents &gt;'!Print_Area</vt:lpstr>
      <vt:lpstr>'Adv for Const. &amp; Def Tax'!Print_Titles</vt:lpstr>
      <vt:lpstr>'Advertising Adj'!Print_Titles</vt:lpstr>
      <vt:lpstr>'CRM Adjustment (b)'!Print_Titles</vt:lpstr>
      <vt:lpstr>'MPP-6 - Plant Additions'!Print_Titles</vt:lpstr>
      <vt:lpstr>'MPP-6 - Supporting Explanations'!Print_Titles</vt:lpstr>
      <vt:lpstr>'Operating Report'!Print_Titles</vt:lpstr>
      <vt:lpstr>'Plant in Serv &amp; Accum Depr'!Print_Titles</vt:lpstr>
      <vt:lpstr>'Pro Forma Wage Adjustment'!Print_Titles</vt:lpstr>
      <vt:lpstr>'Restate Revenues'!Print_Titles</vt:lpstr>
      <vt:lpstr>'Working Capital Work Paper'!Print_Titles</vt:lpstr>
    </vt:vector>
  </TitlesOfParts>
  <Company>MDU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Cascade Natural Gas</cp:lastModifiedBy>
  <cp:lastPrinted>2017-08-29T22:18:43Z</cp:lastPrinted>
  <dcterms:created xsi:type="dcterms:W3CDTF">2014-12-11T21:48:04Z</dcterms:created>
  <dcterms:modified xsi:type="dcterms:W3CDTF">2017-08-30T15:25:47Z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0x0101006E56B4D1795A2E4DB2F0B01679ED314A008206095F44BB694BA20BDD0C7793D36E</vt:lpwstr>
  </property>
  <property fmtid="{D5CDD505-2E9C-101B-9397-08002B2CF9AE}" pid="3" name="_docset_NoMedatataSyncRequired">
    <vt:lpwstr>False</vt:lpwstr>
  </property>
  <property fmtid="{D5CDD505-2E9C-101B-9397-08002B2CF9AE}" pid="4" name="IsEFSEC">
    <vt:bool>false</vt:bool>
  </property>
</Properties>
</file>