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0"/>
  </bookViews>
  <sheets>
    <sheet name="Sheet1" sheetId="1" r:id="rId1"/>
  </sheets>
  <externalReferences>
    <externalReference r:id="rId2"/>
  </externalReferences>
  <definedNames>
    <definedName name="_xlnm.Print_Titles" localSheetId="0">Sheet1!$A:$F,Sheet1!$1:$1</definedName>
    <definedName name="QB_COLUMN_16210" localSheetId="0" hidden="1">Sheet1!$W$1</definedName>
    <definedName name="QB_COLUMN_19210" localSheetId="0" hidden="1">Sheet1!$Y$1</definedName>
    <definedName name="QB_COLUMN_20210" localSheetId="0" hidden="1">Sheet1!$S$1</definedName>
    <definedName name="QB_COLUMN_21210" localSheetId="0" hidden="1">Sheet1!$G$1</definedName>
    <definedName name="QB_COLUMN_26210" localSheetId="0" hidden="1">Sheet1!$M$1</definedName>
    <definedName name="QB_COLUMN_28210" localSheetId="0" hidden="1">Sheet1!$K$1</definedName>
    <definedName name="QB_COLUMN_30210" localSheetId="0" hidden="1">Sheet1!$U$1</definedName>
    <definedName name="QB_COLUMN_32210" localSheetId="0" hidden="1">Sheet1!$O$1</definedName>
    <definedName name="QB_COLUMN_37210" localSheetId="0" hidden="1">Sheet1!$Q$1</definedName>
    <definedName name="QB_COLUMN_42301" localSheetId="0" hidden="1">Sheet1!$AA$1</definedName>
    <definedName name="QB_COLUMN_8210" localSheetId="0" hidden="1">Sheet1!$I$1</definedName>
    <definedName name="QB_DATA_0" localSheetId="0" hidden="1">Sheet1!$5:$5,Sheet1!$6:$6,Sheet1!$7:$7,Sheet1!$8:$8,Sheet1!$13:$13,Sheet1!$14:$14,Sheet1!$15:$15,Sheet1!$16:$16,Sheet1!$17:$17,Sheet1!$22:$22,Sheet1!$23:$23,Sheet1!$24:$24,Sheet1!$25:$25,Sheet1!$26:$26,Sheet1!$27:$27,Sheet1!$28:$28</definedName>
    <definedName name="QB_DATA_1" localSheetId="0" hidden="1">Sheet1!$29:$29,Sheet1!$30:$30,Sheet1!$31:$31,Sheet1!$32:$32,Sheet1!$34:$34,Sheet1!$35:$35,Sheet1!$36:$36,Sheet1!$38:$38,Sheet1!$40:$40,Sheet1!$41:$41,Sheet1!$42:$42,Sheet1!$43:$43,Sheet1!$45:$45,Sheet1!$50:$50</definedName>
    <definedName name="QB_FORMULA_0" localSheetId="0" hidden="1">Sheet1!$AA$5,Sheet1!$AA$6,Sheet1!$AA$7,Sheet1!$AA$8,Sheet1!$G$9,Sheet1!$I$9,Sheet1!$K$9,Sheet1!$M$9,Sheet1!$O$9,Sheet1!$Q$9,Sheet1!$S$9,Sheet1!$U$9,Sheet1!$W$9,Sheet1!$Y$9,Sheet1!$AA$9,Sheet1!$G$10</definedName>
    <definedName name="QB_FORMULA_1" localSheetId="0" hidden="1">Sheet1!$I$10,Sheet1!$K$10,Sheet1!$M$10,Sheet1!$O$10,Sheet1!$Q$10,Sheet1!$S$10,Sheet1!$U$10,Sheet1!$W$10,Sheet1!$Y$10,Sheet1!$AA$10,Sheet1!$AA$13,Sheet1!$AA$14,Sheet1!$AA$15,Sheet1!$AA$16,Sheet1!$AA$17,Sheet1!$G$18</definedName>
    <definedName name="QB_FORMULA_10" localSheetId="0" hidden="1">Sheet1!$Y$53,Sheet1!$AA$53</definedName>
    <definedName name="QB_FORMULA_2" localSheetId="0" hidden="1">Sheet1!$I$18,Sheet1!$K$18,Sheet1!$M$18,Sheet1!$O$18,Sheet1!$Q$18,Sheet1!$S$18,Sheet1!$U$18,Sheet1!$W$18,Sheet1!$Y$18,Sheet1!$AA$18,Sheet1!$G$19,Sheet1!$I$19,Sheet1!$K$19,Sheet1!$M$19,Sheet1!$O$19,Sheet1!$Q$19</definedName>
    <definedName name="QB_FORMULA_3" localSheetId="0" hidden="1">Sheet1!$S$19,Sheet1!$U$19,Sheet1!$W$19,Sheet1!$Y$19,Sheet1!$AA$19,Sheet1!$G$20,Sheet1!$I$20,Sheet1!$K$20,Sheet1!$M$20,Sheet1!$O$20,Sheet1!$Q$20,Sheet1!$S$20,Sheet1!$U$20,Sheet1!$W$20,Sheet1!$Y$20,Sheet1!$AA$20</definedName>
    <definedName name="QB_FORMULA_4" localSheetId="0" hidden="1">Sheet1!$AA$22,Sheet1!$AA$23,Sheet1!$AA$24,Sheet1!$AA$25,Sheet1!$AA$26,Sheet1!$AA$27,Sheet1!$AA$28,Sheet1!$AA$29,Sheet1!$AA$30,Sheet1!$AA$31,Sheet1!$AA$32,Sheet1!$AA$34,Sheet1!$AA$35,Sheet1!$AA$36,Sheet1!$G$37,Sheet1!$I$37</definedName>
    <definedName name="QB_FORMULA_5" localSheetId="0" hidden="1">Sheet1!$K$37,Sheet1!$M$37,Sheet1!$O$37,Sheet1!$Q$37,Sheet1!$S$37,Sheet1!$U$37,Sheet1!$W$37,Sheet1!$Y$37,Sheet1!$AA$37,Sheet1!$AA$38,Sheet1!$AA$40,Sheet1!$AA$41,Sheet1!$AA$42,Sheet1!$AA$43,Sheet1!$G$44,Sheet1!$I$44</definedName>
    <definedName name="QB_FORMULA_6" localSheetId="0" hidden="1">Sheet1!$K$44,Sheet1!$M$44,Sheet1!$O$44,Sheet1!$Q$44,Sheet1!$S$44,Sheet1!$U$44,Sheet1!$W$44,Sheet1!$Y$44,Sheet1!$AA$44,Sheet1!$AA$45,Sheet1!$G$46,Sheet1!$I$46,Sheet1!$K$46,Sheet1!$M$46,Sheet1!$O$46,Sheet1!$Q$46</definedName>
    <definedName name="QB_FORMULA_7" localSheetId="0" hidden="1">Sheet1!$S$46,Sheet1!$U$46,Sheet1!$W$46,Sheet1!$Y$46,Sheet1!$AA$46,Sheet1!$G$47,Sheet1!$I$47,Sheet1!$K$47,Sheet1!$M$47,Sheet1!$O$47,Sheet1!$Q$47,Sheet1!$S$47,Sheet1!$U$47,Sheet1!$W$47,Sheet1!$Y$47,Sheet1!$AA$47</definedName>
    <definedName name="QB_FORMULA_8" localSheetId="0" hidden="1">Sheet1!$AA$50,Sheet1!$G$51,Sheet1!$I$51,Sheet1!$K$51,Sheet1!$M$51,Sheet1!$O$51,Sheet1!$Q$51,Sheet1!$S$51,Sheet1!$U$51,Sheet1!$W$51,Sheet1!$Y$51,Sheet1!$AA$51,Sheet1!$G$52,Sheet1!$I$52,Sheet1!$K$52,Sheet1!$M$52</definedName>
    <definedName name="QB_FORMULA_9" localSheetId="0" hidden="1">Sheet1!$O$52,Sheet1!$Q$52,Sheet1!$S$52,Sheet1!$U$52,Sheet1!$W$52,Sheet1!$Y$52,Sheet1!$AA$52,Sheet1!$G$53,Sheet1!$I$53,Sheet1!$K$53,Sheet1!$M$53,Sheet1!$O$53,Sheet1!$Q$53,Sheet1!$S$53,Sheet1!$U$53,Sheet1!$W$53</definedName>
    <definedName name="QB_ROW_110250" localSheetId="0" hidden="1">Sheet1!$F$41</definedName>
    <definedName name="QB_ROW_111250" localSheetId="0" hidden="1">Sheet1!$F$35</definedName>
    <definedName name="QB_ROW_117230" localSheetId="0" hidden="1">Sheet1!$D$50</definedName>
    <definedName name="QB_ROW_119250" localSheetId="0" hidden="1">Sheet1!$F$6</definedName>
    <definedName name="QB_ROW_120250" localSheetId="0" hidden="1">Sheet1!$F$40</definedName>
    <definedName name="QB_ROW_121250" localSheetId="0" hidden="1">Sheet1!$F$8</definedName>
    <definedName name="QB_ROW_122250" localSheetId="0" hidden="1">Sheet1!$F$7</definedName>
    <definedName name="QB_ROW_124240" localSheetId="0" hidden="1">Sheet1!$E$24</definedName>
    <definedName name="QB_ROW_132240" localSheetId="0" hidden="1">Sheet1!$E$23</definedName>
    <definedName name="QB_ROW_136250" localSheetId="0" hidden="1">Sheet1!$F$5</definedName>
    <definedName name="QB_ROW_14240" localSheetId="0" hidden="1">Sheet1!$E$25</definedName>
    <definedName name="QB_ROW_15240" localSheetId="0" hidden="1">Sheet1!$E$26</definedName>
    <definedName name="QB_ROW_170240" localSheetId="0" hidden="1">Sheet1!$E$22</definedName>
    <definedName name="QB_ROW_17240" localSheetId="0" hidden="1">Sheet1!$E$27</definedName>
    <definedName name="QB_ROW_18240" localSheetId="0" hidden="1">Sheet1!$E$28</definedName>
    <definedName name="QB_ROW_18301" localSheetId="0" hidden="1">Sheet1!$A$53</definedName>
    <definedName name="QB_ROW_19011" localSheetId="0" hidden="1">Sheet1!$B$2</definedName>
    <definedName name="QB_ROW_19240" localSheetId="0" hidden="1">Sheet1!$E$29</definedName>
    <definedName name="QB_ROW_19311" localSheetId="0" hidden="1">Sheet1!$B$47</definedName>
    <definedName name="QB_ROW_20031" localSheetId="0" hidden="1">Sheet1!$D$3</definedName>
    <definedName name="QB_ROW_20331" localSheetId="0" hidden="1">Sheet1!$D$10</definedName>
    <definedName name="QB_ROW_21031" localSheetId="0" hidden="1">Sheet1!$D$21</definedName>
    <definedName name="QB_ROW_21240" localSheetId="0" hidden="1">Sheet1!$E$30</definedName>
    <definedName name="QB_ROW_21331" localSheetId="0" hidden="1">Sheet1!$D$46</definedName>
    <definedName name="QB_ROW_22011" localSheetId="0" hidden="1">Sheet1!$B$48</definedName>
    <definedName name="QB_ROW_22240" localSheetId="0" hidden="1">Sheet1!$E$32</definedName>
    <definedName name="QB_ROW_22311" localSheetId="0" hidden="1">Sheet1!$B$52</definedName>
    <definedName name="QB_ROW_23040" localSheetId="0" hidden="1">Sheet1!$E$33</definedName>
    <definedName name="QB_ROW_23340" localSheetId="0" hidden="1">Sheet1!$E$37</definedName>
    <definedName name="QB_ROW_24021" localSheetId="0" hidden="1">Sheet1!$C$49</definedName>
    <definedName name="QB_ROW_24321" localSheetId="0" hidden="1">Sheet1!$C$51</definedName>
    <definedName name="QB_ROW_26240" localSheetId="0" hidden="1">Sheet1!$E$45</definedName>
    <definedName name="QB_ROW_6040" localSheetId="0" hidden="1">Sheet1!$E$4</definedName>
    <definedName name="QB_ROW_61040" localSheetId="0" hidden="1">Sheet1!$E$12</definedName>
    <definedName name="QB_ROW_61340" localSheetId="0" hidden="1">Sheet1!$E$18</definedName>
    <definedName name="QB_ROW_62250" localSheetId="0" hidden="1">Sheet1!$F$15</definedName>
    <definedName name="QB_ROW_63250" localSheetId="0" hidden="1">Sheet1!$F$13</definedName>
    <definedName name="QB_ROW_6340" localSheetId="0" hidden="1">Sheet1!$E$9</definedName>
    <definedName name="QB_ROW_64250" localSheetId="0" hidden="1">Sheet1!$F$14</definedName>
    <definedName name="QB_ROW_65250" localSheetId="0" hidden="1">Sheet1!$F$17</definedName>
    <definedName name="QB_ROW_66250" localSheetId="0" hidden="1">Sheet1!$F$16</definedName>
    <definedName name="QB_ROW_68250" localSheetId="0" hidden="1">Sheet1!$F$34</definedName>
    <definedName name="QB_ROW_70250" localSheetId="0" hidden="1">Sheet1!$F$36</definedName>
    <definedName name="QB_ROW_71040" localSheetId="0" hidden="1">Sheet1!$E$39</definedName>
    <definedName name="QB_ROW_71340" localSheetId="0" hidden="1">Sheet1!$E$44</definedName>
    <definedName name="QB_ROW_72250" localSheetId="0" hidden="1">Sheet1!$F$42</definedName>
    <definedName name="QB_ROW_73250" localSheetId="0" hidden="1">Sheet1!$F$43</definedName>
    <definedName name="QB_ROW_81240" localSheetId="0" hidden="1">Sheet1!$E$31</definedName>
    <definedName name="QB_ROW_83240" localSheetId="0" hidden="1">Sheet1!$E$38</definedName>
    <definedName name="QB_ROW_86321" localSheetId="0" hidden="1">Sheet1!$C$20</definedName>
    <definedName name="QB_ROW_87031" localSheetId="0" hidden="1">Sheet1!$D$11</definedName>
    <definedName name="QB_ROW_87331" localSheetId="0" hidden="1">Sheet1!$D$19</definedName>
    <definedName name="QBCANSUPPORTUPDATE" localSheetId="0">TRUE</definedName>
    <definedName name="QBCOMPANYFILENAME" localSheetId="0">"C:\Users\Sara\Documents\Iliad Water Company LLC.qbw"</definedName>
    <definedName name="QBENDDATE" localSheetId="0">20160831</definedName>
    <definedName name="QBHEADERSONSCREEN" localSheetId="0">FALSE</definedName>
    <definedName name="QBMETADATASIZE" localSheetId="0">5932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"59e55aefb493447c90cedef54b61fe71"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6</definedName>
    <definedName name="QBSTARTDATE" localSheetId="0">20160101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W40" i="1"/>
  <c r="U40" i="1"/>
  <c r="S40" i="1"/>
  <c r="O40" i="1"/>
  <c r="M40" i="1"/>
  <c r="K40" i="1"/>
  <c r="I40" i="1"/>
  <c r="G40" i="1"/>
  <c r="Q32" i="1"/>
  <c r="Y28" i="1"/>
  <c r="W28" i="1"/>
  <c r="U28" i="1"/>
  <c r="S28" i="1"/>
  <c r="Q28" i="1"/>
  <c r="O28" i="1"/>
  <c r="M28" i="1"/>
  <c r="K28" i="1"/>
  <c r="I28" i="1"/>
  <c r="G28" i="1"/>
  <c r="S32" i="1" l="1"/>
  <c r="I32" i="1"/>
  <c r="Y32" i="1"/>
  <c r="W32" i="1"/>
  <c r="U32" i="1"/>
  <c r="O32" i="1"/>
  <c r="M32" i="1"/>
  <c r="K32" i="1"/>
  <c r="G32" i="1"/>
  <c r="Y13" i="1" l="1"/>
  <c r="W13" i="1"/>
  <c r="Y51" i="1" l="1"/>
  <c r="Y52" i="1" s="1"/>
  <c r="W51" i="1"/>
  <c r="W52" i="1" s="1"/>
  <c r="U51" i="1"/>
  <c r="U52" i="1" s="1"/>
  <c r="S51" i="1"/>
  <c r="S52" i="1" s="1"/>
  <c r="Q51" i="1"/>
  <c r="Q52" i="1" s="1"/>
  <c r="O51" i="1"/>
  <c r="O52" i="1" s="1"/>
  <c r="M51" i="1"/>
  <c r="M52" i="1" s="1"/>
  <c r="K51" i="1"/>
  <c r="K52" i="1" s="1"/>
  <c r="I51" i="1"/>
  <c r="I52" i="1" s="1"/>
  <c r="G51" i="1"/>
  <c r="G52" i="1" s="1"/>
  <c r="AA50" i="1"/>
  <c r="AA45" i="1"/>
  <c r="Y44" i="1"/>
  <c r="W44" i="1"/>
  <c r="U44" i="1"/>
  <c r="S44" i="1"/>
  <c r="Q44" i="1"/>
  <c r="O44" i="1"/>
  <c r="M44" i="1"/>
  <c r="K44" i="1"/>
  <c r="I44" i="1"/>
  <c r="G44" i="1"/>
  <c r="AA43" i="1"/>
  <c r="AA42" i="1"/>
  <c r="AA41" i="1"/>
  <c r="AA40" i="1"/>
  <c r="AA38" i="1"/>
  <c r="Y37" i="1"/>
  <c r="W37" i="1"/>
  <c r="U37" i="1"/>
  <c r="S37" i="1"/>
  <c r="Q37" i="1"/>
  <c r="Q46" i="1" s="1"/>
  <c r="Q47" i="1" s="1"/>
  <c r="Q53" i="1" s="1"/>
  <c r="O37" i="1"/>
  <c r="M37" i="1"/>
  <c r="K37" i="1"/>
  <c r="I37" i="1"/>
  <c r="G37" i="1"/>
  <c r="AA37" i="1" s="1"/>
  <c r="AA36" i="1"/>
  <c r="AA35" i="1"/>
  <c r="AA34" i="1"/>
  <c r="AA32" i="1"/>
  <c r="AA31" i="1"/>
  <c r="AA30" i="1"/>
  <c r="AA29" i="1"/>
  <c r="AA28" i="1"/>
  <c r="AA27" i="1"/>
  <c r="AA26" i="1"/>
  <c r="AA25" i="1"/>
  <c r="AA24" i="1"/>
  <c r="AA23" i="1"/>
  <c r="AA22" i="1"/>
  <c r="Y19" i="1"/>
  <c r="U19" i="1"/>
  <c r="O19" i="1"/>
  <c r="M19" i="1"/>
  <c r="G19" i="1"/>
  <c r="Y18" i="1"/>
  <c r="W18" i="1"/>
  <c r="U18" i="1"/>
  <c r="S18" i="1"/>
  <c r="S19" i="1" s="1"/>
  <c r="Q18" i="1"/>
  <c r="Q19" i="1" s="1"/>
  <c r="O18" i="1"/>
  <c r="M18" i="1"/>
  <c r="K18" i="1"/>
  <c r="K19" i="1" s="1"/>
  <c r="I18" i="1"/>
  <c r="I19" i="1" s="1"/>
  <c r="G18" i="1"/>
  <c r="AA17" i="1"/>
  <c r="AA16" i="1"/>
  <c r="AA15" i="1"/>
  <c r="AA14" i="1"/>
  <c r="AA13" i="1"/>
  <c r="S10" i="1"/>
  <c r="S20" i="1" s="1"/>
  <c r="K10" i="1"/>
  <c r="Y9" i="1"/>
  <c r="Y10" i="1" s="1"/>
  <c r="W9" i="1"/>
  <c r="W10" i="1" s="1"/>
  <c r="U9" i="1"/>
  <c r="U10" i="1" s="1"/>
  <c r="U20" i="1" s="1"/>
  <c r="S9" i="1"/>
  <c r="Q9" i="1"/>
  <c r="Q10" i="1" s="1"/>
  <c r="Q20" i="1" s="1"/>
  <c r="O9" i="1"/>
  <c r="O10" i="1" s="1"/>
  <c r="O20" i="1" s="1"/>
  <c r="M9" i="1"/>
  <c r="M10" i="1" s="1"/>
  <c r="M20" i="1" s="1"/>
  <c r="K9" i="1"/>
  <c r="I9" i="1"/>
  <c r="I10" i="1" s="1"/>
  <c r="I20" i="1" s="1"/>
  <c r="G9" i="1"/>
  <c r="AA9" i="1" s="1"/>
  <c r="AA8" i="1"/>
  <c r="AA7" i="1"/>
  <c r="AA6" i="1"/>
  <c r="AA5" i="1"/>
  <c r="AA52" i="1" l="1"/>
  <c r="K20" i="1"/>
  <c r="Y20" i="1"/>
  <c r="I46" i="1"/>
  <c r="I47" i="1" s="1"/>
  <c r="I53" i="1" s="1"/>
  <c r="G10" i="1"/>
  <c r="M46" i="1"/>
  <c r="M47" i="1" s="1"/>
  <c r="M53" i="1" s="1"/>
  <c r="U46" i="1"/>
  <c r="U47" i="1" s="1"/>
  <c r="U53" i="1" s="1"/>
  <c r="AA51" i="1"/>
  <c r="G46" i="1"/>
  <c r="O46" i="1"/>
  <c r="O47" i="1" s="1"/>
  <c r="O53" i="1" s="1"/>
  <c r="W46" i="1"/>
  <c r="Y46" i="1"/>
  <c r="Y47" i="1" s="1"/>
  <c r="Y53" i="1" s="1"/>
  <c r="K46" i="1"/>
  <c r="K47" i="1" s="1"/>
  <c r="K53" i="1" s="1"/>
  <c r="S46" i="1"/>
  <c r="S47" i="1" s="1"/>
  <c r="S53" i="1" s="1"/>
  <c r="AA44" i="1"/>
  <c r="AA18" i="1"/>
  <c r="W19" i="1"/>
  <c r="AA46" i="1" l="1"/>
  <c r="G20" i="1"/>
  <c r="G47" i="1" s="1"/>
  <c r="G53" i="1" s="1"/>
  <c r="AA10" i="1"/>
  <c r="W20" i="1"/>
  <c r="AA19" i="1"/>
  <c r="W47" i="1" l="1"/>
  <c r="AA20" i="1"/>
  <c r="W53" i="1" l="1"/>
  <c r="AA47" i="1"/>
  <c r="AA53" i="1" l="1"/>
</calcChain>
</file>

<file path=xl/sharedStrings.xml><?xml version="1.0" encoding="utf-8"?>
<sst xmlns="http://schemas.openxmlformats.org/spreadsheetml/2006/main" count="63" uniqueCount="62">
  <si>
    <t>Alderlake</t>
  </si>
  <si>
    <t>Cascade Crest</t>
  </si>
  <si>
    <t>Cherry Creek</t>
  </si>
  <si>
    <t>Fragaria</t>
  </si>
  <si>
    <t>Hunt I/II</t>
  </si>
  <si>
    <t>Lowper</t>
  </si>
  <si>
    <t>Marbello</t>
  </si>
  <si>
    <t>Northwest</t>
  </si>
  <si>
    <t>Stavis I</t>
  </si>
  <si>
    <t>Sunwood</t>
  </si>
  <si>
    <t>TOTAL</t>
  </si>
  <si>
    <t>Ordinary Income/Expense</t>
  </si>
  <si>
    <t>Income</t>
  </si>
  <si>
    <t>Sales</t>
  </si>
  <si>
    <t>Schedule 105</t>
  </si>
  <si>
    <t>FC &amp; Penalties</t>
  </si>
  <si>
    <t>Misc Revenue</t>
  </si>
  <si>
    <t>Water Revenue</t>
  </si>
  <si>
    <t>Total Sales</t>
  </si>
  <si>
    <t>Total Income</t>
  </si>
  <si>
    <t>Cost of Goods Sold</t>
  </si>
  <si>
    <t>Repairs &amp; Maintenance Labor</t>
  </si>
  <si>
    <t>Repairs &amp; Maintenance Materials</t>
  </si>
  <si>
    <t>Testing</t>
  </si>
  <si>
    <t>Utilties / PUD Fees</t>
  </si>
  <si>
    <t>Vehicle &amp; Travel</t>
  </si>
  <si>
    <t>Total Cost of Goods Sold</t>
  </si>
  <si>
    <t>Total COGS</t>
  </si>
  <si>
    <t>Gross Profit</t>
  </si>
  <si>
    <t>Expense</t>
  </si>
  <si>
    <t>Cash Over Short</t>
  </si>
  <si>
    <t>Licenses &amp; Permits</t>
  </si>
  <si>
    <t>Bad Debt Expense</t>
  </si>
  <si>
    <t>Bank Service Charges</t>
  </si>
  <si>
    <t>Computer and Internet Expenses</t>
  </si>
  <si>
    <t>Dues and Subscriptions</t>
  </si>
  <si>
    <t>Insurance Expense</t>
  </si>
  <si>
    <t>Interest Expense</t>
  </si>
  <si>
    <t>Office Supplies</t>
  </si>
  <si>
    <t>Penalties &amp; Late Fees</t>
  </si>
  <si>
    <t>Postage and Delivery</t>
  </si>
  <si>
    <t>Professional Fees</t>
  </si>
  <si>
    <t>Accounting</t>
  </si>
  <si>
    <t>Admin &amp; Billing Services</t>
  </si>
  <si>
    <t>Legal</t>
  </si>
  <si>
    <t>Total Professional Fees</t>
  </si>
  <si>
    <t>Suspense</t>
  </si>
  <si>
    <t>Taxes</t>
  </si>
  <si>
    <t>Utility Tax</t>
  </si>
  <si>
    <t>Property</t>
  </si>
  <si>
    <t>WA State B&amp;O Tax</t>
  </si>
  <si>
    <t>UTC Fees</t>
  </si>
  <si>
    <t>Total Taxes</t>
  </si>
  <si>
    <t>Telephone Expense</t>
  </si>
  <si>
    <t>Total Expense</t>
  </si>
  <si>
    <t>Net Ordinary Income</t>
  </si>
  <si>
    <t>Other Income/Expense</t>
  </si>
  <si>
    <t>Other Expense</t>
  </si>
  <si>
    <t>Corporate Taxes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</si>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</sst>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/>
    <xf numFmtId="164" fontId="1" fillId="0" borderId="5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OneDrive%20-%20Ceres%20(1)/Water%20Systems/Financial%20Review/WUTC%202016%20Files/Reg%20Water%20Co%200816%20Bal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Export Tips"/>
      <sheetName val="Sheet1"/>
      <sheetName val="Postage &amp; Telephone Allocation"/>
    </sheetNames>
    <sheetDataSet>
      <sheetData sheetId="0" refreshError="1"/>
      <sheetData sheetId="1" refreshError="1"/>
      <sheetData sheetId="2">
        <row r="6">
          <cell r="C6">
            <v>240.18568008705117</v>
          </cell>
        </row>
        <row r="7">
          <cell r="E7">
            <v>440.46789989118605</v>
          </cell>
        </row>
        <row r="8">
          <cell r="C8">
            <v>147.80657236126223</v>
          </cell>
          <cell r="E8">
            <v>234.91621327529924</v>
          </cell>
        </row>
        <row r="9">
          <cell r="D9">
            <v>142.96145810663768</v>
          </cell>
          <cell r="E9">
            <v>557.92600652883573</v>
          </cell>
        </row>
        <row r="11">
          <cell r="C11">
            <v>615.86071817192601</v>
          </cell>
          <cell r="E11">
            <v>978.81755531374688</v>
          </cell>
        </row>
        <row r="12">
          <cell r="C12">
            <v>190.91682263329707</v>
          </cell>
          <cell r="E12">
            <v>303.43344214726153</v>
          </cell>
        </row>
        <row r="14">
          <cell r="C14">
            <v>43.110250272034818</v>
          </cell>
          <cell r="E14">
            <v>68.517228871962274</v>
          </cell>
        </row>
        <row r="15">
          <cell r="C15">
            <v>603.54350380848746</v>
          </cell>
          <cell r="E15">
            <v>959.24120420747192</v>
          </cell>
        </row>
        <row r="16">
          <cell r="C16">
            <v>246.34428726877042</v>
          </cell>
          <cell r="E16">
            <v>391.52702212549877</v>
          </cell>
        </row>
        <row r="19">
          <cell r="C19">
            <v>92.379107725788913</v>
          </cell>
          <cell r="E19">
            <v>146.82263329706203</v>
          </cell>
        </row>
        <row r="25">
          <cell r="C25">
            <v>794.46032644178456</v>
          </cell>
          <cell r="E25">
            <v>1262.6746463547333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4"/>
  <sheetViews>
    <sheetView tabSelected="1" workbookViewId="0">
      <pane xSplit="6" ySplit="1" topLeftCell="H2" activePane="bottomRight" state="frozenSplit"/>
      <selection pane="topRight" activeCell="G1" sqref="G1"/>
      <selection pane="bottomLeft" activeCell="A2" sqref="A2"/>
      <selection pane="bottomRight" activeCell="AC46" sqref="AC46"/>
    </sheetView>
  </sheetViews>
  <sheetFormatPr defaultRowHeight="15" x14ac:dyDescent="0.25"/>
  <cols>
    <col min="1" max="5" width="2.85546875" style="14" customWidth="1"/>
    <col min="6" max="6" width="23" style="14" customWidth="1"/>
    <col min="7" max="7" width="7" style="15" bestFit="1" customWidth="1"/>
    <col min="8" max="8" width="2.140625" style="15" customWidth="1"/>
    <col min="9" max="9" width="10.5703125" style="15" bestFit="1" customWidth="1"/>
    <col min="10" max="10" width="2.140625" style="15" customWidth="1"/>
    <col min="11" max="11" width="9.7109375" style="15" bestFit="1" customWidth="1"/>
    <col min="12" max="12" width="2.140625" style="15" customWidth="1"/>
    <col min="13" max="13" width="8.42578125" style="15" bestFit="1" customWidth="1"/>
    <col min="14" max="14" width="2.140625" style="15" customWidth="1"/>
    <col min="15" max="15" width="7.85546875" style="15" bestFit="1" customWidth="1"/>
    <col min="16" max="16" width="2.140625" style="15" customWidth="1"/>
    <col min="17" max="17" width="7.140625" style="15" bestFit="1" customWidth="1"/>
    <col min="18" max="18" width="2.140625" style="15" customWidth="1"/>
    <col min="19" max="19" width="8.42578125" style="15" bestFit="1" customWidth="1"/>
    <col min="20" max="20" width="2.140625" style="15" customWidth="1"/>
    <col min="21" max="21" width="9.28515625" style="15" bestFit="1" customWidth="1"/>
    <col min="22" max="22" width="2.140625" style="15" customWidth="1"/>
    <col min="23" max="23" width="8.42578125" style="15" bestFit="1" customWidth="1"/>
    <col min="24" max="24" width="2.140625" style="15" customWidth="1"/>
    <col min="25" max="25" width="8.42578125" style="15" bestFit="1" customWidth="1"/>
    <col min="26" max="26" width="2.140625" style="15" customWidth="1"/>
    <col min="27" max="27" width="9.28515625" style="15" bestFit="1" customWidth="1"/>
  </cols>
  <sheetData>
    <row r="1" spans="1:27" s="13" customFormat="1" ht="15.75" thickBot="1" x14ac:dyDescent="0.3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  <c r="J1" s="12"/>
      <c r="K1" s="11" t="s">
        <v>2</v>
      </c>
      <c r="L1" s="12"/>
      <c r="M1" s="11" t="s">
        <v>3</v>
      </c>
      <c r="N1" s="12"/>
      <c r="O1" s="11" t="s">
        <v>4</v>
      </c>
      <c r="P1" s="12"/>
      <c r="Q1" s="11" t="s">
        <v>5</v>
      </c>
      <c r="R1" s="12"/>
      <c r="S1" s="11" t="s">
        <v>6</v>
      </c>
      <c r="T1" s="12"/>
      <c r="U1" s="11" t="s">
        <v>7</v>
      </c>
      <c r="V1" s="12"/>
      <c r="W1" s="11" t="s">
        <v>8</v>
      </c>
      <c r="X1" s="12"/>
      <c r="Y1" s="11" t="s">
        <v>9</v>
      </c>
      <c r="Z1" s="12"/>
      <c r="AA1" s="11" t="s">
        <v>10</v>
      </c>
    </row>
    <row r="2" spans="1:27" ht="15.75" thickTop="1" x14ac:dyDescent="0.25">
      <c r="A2" s="1"/>
      <c r="B2" s="1" t="s">
        <v>11</v>
      </c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</row>
    <row r="3" spans="1:27" x14ac:dyDescent="0.25">
      <c r="A3" s="1"/>
      <c r="B3" s="1"/>
      <c r="C3" s="1"/>
      <c r="D3" s="1" t="s">
        <v>12</v>
      </c>
      <c r="E3" s="1"/>
      <c r="F3" s="1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</row>
    <row r="4" spans="1:27" x14ac:dyDescent="0.25">
      <c r="A4" s="1"/>
      <c r="B4" s="1"/>
      <c r="C4" s="1"/>
      <c r="D4" s="1"/>
      <c r="E4" s="1" t="s">
        <v>13</v>
      </c>
      <c r="F4" s="1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</row>
    <row r="5" spans="1:27" x14ac:dyDescent="0.25">
      <c r="A5" s="1"/>
      <c r="B5" s="1"/>
      <c r="C5" s="1"/>
      <c r="D5" s="1"/>
      <c r="E5" s="1"/>
      <c r="F5" s="1" t="s">
        <v>14</v>
      </c>
      <c r="G5" s="2">
        <v>1121.8</v>
      </c>
      <c r="H5" s="3"/>
      <c r="I5" s="2">
        <v>675</v>
      </c>
      <c r="J5" s="3"/>
      <c r="K5" s="2">
        <v>1704.9</v>
      </c>
      <c r="L5" s="3"/>
      <c r="M5" s="2">
        <v>2763.28</v>
      </c>
      <c r="N5" s="3"/>
      <c r="O5" s="2">
        <v>882.68</v>
      </c>
      <c r="P5" s="3"/>
      <c r="Q5" s="2">
        <v>276</v>
      </c>
      <c r="R5" s="3"/>
      <c r="S5" s="2">
        <v>2877.48</v>
      </c>
      <c r="T5" s="3"/>
      <c r="U5" s="2">
        <v>0</v>
      </c>
      <c r="V5" s="3"/>
      <c r="W5" s="2">
        <v>0</v>
      </c>
      <c r="X5" s="3"/>
      <c r="Y5" s="2">
        <v>0</v>
      </c>
      <c r="Z5" s="3"/>
      <c r="AA5" s="2">
        <f t="shared" ref="AA5:AA10" si="0">ROUND(SUM(G5:Y5),5)</f>
        <v>10301.14</v>
      </c>
    </row>
    <row r="6" spans="1:27" x14ac:dyDescent="0.25">
      <c r="A6" s="1"/>
      <c r="B6" s="1"/>
      <c r="C6" s="1"/>
      <c r="D6" s="1"/>
      <c r="E6" s="1"/>
      <c r="F6" s="1" t="s">
        <v>15</v>
      </c>
      <c r="G6" s="2">
        <v>3604.14</v>
      </c>
      <c r="H6" s="3"/>
      <c r="I6" s="2">
        <v>124.8</v>
      </c>
      <c r="J6" s="3"/>
      <c r="K6" s="2">
        <v>181.95</v>
      </c>
      <c r="L6" s="3"/>
      <c r="M6" s="2">
        <v>700.75</v>
      </c>
      <c r="N6" s="3"/>
      <c r="O6" s="2">
        <v>116.55</v>
      </c>
      <c r="P6" s="3"/>
      <c r="Q6" s="2">
        <v>46.97</v>
      </c>
      <c r="R6" s="3"/>
      <c r="S6" s="2">
        <v>782.09</v>
      </c>
      <c r="T6" s="3"/>
      <c r="U6" s="2">
        <v>407.63</v>
      </c>
      <c r="V6" s="3"/>
      <c r="W6" s="2">
        <v>1304.1400000000001</v>
      </c>
      <c r="X6" s="3"/>
      <c r="Y6" s="2">
        <v>568.55999999999995</v>
      </c>
      <c r="Z6" s="3"/>
      <c r="AA6" s="2">
        <f t="shared" si="0"/>
        <v>7837.58</v>
      </c>
    </row>
    <row r="7" spans="1:27" x14ac:dyDescent="0.25">
      <c r="A7" s="1"/>
      <c r="B7" s="1"/>
      <c r="C7" s="1"/>
      <c r="D7" s="1"/>
      <c r="E7" s="1"/>
      <c r="F7" s="1" t="s">
        <v>16</v>
      </c>
      <c r="G7" s="2">
        <v>399.39</v>
      </c>
      <c r="H7" s="3"/>
      <c r="I7" s="2">
        <v>81</v>
      </c>
      <c r="J7" s="3"/>
      <c r="K7" s="2">
        <v>28.01</v>
      </c>
      <c r="L7" s="3"/>
      <c r="M7" s="2">
        <v>157.46</v>
      </c>
      <c r="N7" s="3"/>
      <c r="O7" s="2">
        <v>121.97</v>
      </c>
      <c r="P7" s="3"/>
      <c r="Q7" s="2">
        <v>174</v>
      </c>
      <c r="R7" s="3"/>
      <c r="S7" s="2">
        <v>224.48</v>
      </c>
      <c r="T7" s="3"/>
      <c r="U7" s="2">
        <v>26.07</v>
      </c>
      <c r="V7" s="3"/>
      <c r="W7" s="2">
        <v>57.04</v>
      </c>
      <c r="X7" s="3"/>
      <c r="Y7" s="2">
        <v>417.5</v>
      </c>
      <c r="Z7" s="3"/>
      <c r="AA7" s="2">
        <f t="shared" si="0"/>
        <v>1686.92</v>
      </c>
    </row>
    <row r="8" spans="1:27" ht="15.75" thickBot="1" x14ac:dyDescent="0.3">
      <c r="A8" s="1"/>
      <c r="B8" s="1"/>
      <c r="C8" s="1"/>
      <c r="D8" s="1"/>
      <c r="E8" s="1"/>
      <c r="F8" s="1" t="s">
        <v>17</v>
      </c>
      <c r="G8" s="4">
        <v>12384.6</v>
      </c>
      <c r="H8" s="3"/>
      <c r="I8" s="4">
        <v>11268.51</v>
      </c>
      <c r="J8" s="3"/>
      <c r="K8" s="4">
        <v>18379.41</v>
      </c>
      <c r="L8" s="3"/>
      <c r="M8" s="4">
        <v>36486.74</v>
      </c>
      <c r="N8" s="3"/>
      <c r="O8" s="4">
        <v>12391.82</v>
      </c>
      <c r="P8" s="3"/>
      <c r="Q8" s="4">
        <v>6025.95</v>
      </c>
      <c r="R8" s="3"/>
      <c r="S8" s="4">
        <v>48780.28</v>
      </c>
      <c r="T8" s="3"/>
      <c r="U8" s="4">
        <v>18632</v>
      </c>
      <c r="V8" s="3"/>
      <c r="W8" s="4">
        <v>4554.75</v>
      </c>
      <c r="X8" s="3"/>
      <c r="Y8" s="4">
        <v>30216.77</v>
      </c>
      <c r="Z8" s="3"/>
      <c r="AA8" s="4">
        <f t="shared" si="0"/>
        <v>199120.83</v>
      </c>
    </row>
    <row r="9" spans="1:27" ht="15.75" thickBot="1" x14ac:dyDescent="0.3">
      <c r="A9" s="1"/>
      <c r="B9" s="1"/>
      <c r="C9" s="1"/>
      <c r="D9" s="1"/>
      <c r="E9" s="1" t="s">
        <v>18</v>
      </c>
      <c r="F9" s="1"/>
      <c r="G9" s="5">
        <f>ROUND(SUM(G4:G8),5)</f>
        <v>17509.93</v>
      </c>
      <c r="H9" s="3"/>
      <c r="I9" s="5">
        <f>ROUND(SUM(I4:I8),5)</f>
        <v>12149.31</v>
      </c>
      <c r="J9" s="3"/>
      <c r="K9" s="5">
        <f>ROUND(SUM(K4:K8),5)</f>
        <v>20294.27</v>
      </c>
      <c r="L9" s="3"/>
      <c r="M9" s="5">
        <f>ROUND(SUM(M4:M8),5)</f>
        <v>40108.230000000003</v>
      </c>
      <c r="N9" s="3"/>
      <c r="O9" s="5">
        <f>ROUND(SUM(O4:O8),5)</f>
        <v>13513.02</v>
      </c>
      <c r="P9" s="3"/>
      <c r="Q9" s="5">
        <f>ROUND(SUM(Q4:Q8),5)</f>
        <v>6522.92</v>
      </c>
      <c r="R9" s="3"/>
      <c r="S9" s="5">
        <f>ROUND(SUM(S4:S8),5)</f>
        <v>52664.33</v>
      </c>
      <c r="T9" s="3"/>
      <c r="U9" s="5">
        <f>ROUND(SUM(U4:U8),5)</f>
        <v>19065.7</v>
      </c>
      <c r="V9" s="3"/>
      <c r="W9" s="5">
        <f>ROUND(SUM(W4:W8),5)</f>
        <v>5915.93</v>
      </c>
      <c r="X9" s="3"/>
      <c r="Y9" s="5">
        <f>ROUND(SUM(Y4:Y8),5)</f>
        <v>31202.83</v>
      </c>
      <c r="Z9" s="3"/>
      <c r="AA9" s="5">
        <f t="shared" si="0"/>
        <v>218946.47</v>
      </c>
    </row>
    <row r="10" spans="1:27" x14ac:dyDescent="0.25">
      <c r="A10" s="1"/>
      <c r="B10" s="1"/>
      <c r="C10" s="1"/>
      <c r="D10" s="1" t="s">
        <v>19</v>
      </c>
      <c r="E10" s="1"/>
      <c r="F10" s="1"/>
      <c r="G10" s="2">
        <f>ROUND(G3+G9,5)</f>
        <v>17509.93</v>
      </c>
      <c r="H10" s="3"/>
      <c r="I10" s="2">
        <f>ROUND(I3+I9,5)</f>
        <v>12149.31</v>
      </c>
      <c r="J10" s="3"/>
      <c r="K10" s="2">
        <f>ROUND(K3+K9,5)</f>
        <v>20294.27</v>
      </c>
      <c r="L10" s="3"/>
      <c r="M10" s="2">
        <f>ROUND(M3+M9,5)</f>
        <v>40108.230000000003</v>
      </c>
      <c r="N10" s="3"/>
      <c r="O10" s="2">
        <f>ROUND(O3+O9,5)</f>
        <v>13513.02</v>
      </c>
      <c r="P10" s="3"/>
      <c r="Q10" s="2">
        <f>ROUND(Q3+Q9,5)</f>
        <v>6522.92</v>
      </c>
      <c r="R10" s="3"/>
      <c r="S10" s="2">
        <f>ROUND(S3+S9,5)</f>
        <v>52664.33</v>
      </c>
      <c r="T10" s="3"/>
      <c r="U10" s="2">
        <f>ROUND(U3+U9,5)</f>
        <v>19065.7</v>
      </c>
      <c r="V10" s="3"/>
      <c r="W10" s="2">
        <f>ROUND(W3+W9,5)</f>
        <v>5915.93</v>
      </c>
      <c r="X10" s="3"/>
      <c r="Y10" s="2">
        <f>ROUND(Y3+Y9,5)</f>
        <v>31202.83</v>
      </c>
      <c r="Z10" s="3"/>
      <c r="AA10" s="2">
        <f t="shared" si="0"/>
        <v>218946.47</v>
      </c>
    </row>
    <row r="11" spans="1:27" x14ac:dyDescent="0.25">
      <c r="A11" s="1"/>
      <c r="B11" s="1"/>
      <c r="C11" s="1"/>
      <c r="D11" s="1" t="s">
        <v>20</v>
      </c>
      <c r="E11" s="1"/>
      <c r="F11" s="1"/>
      <c r="G11" s="2"/>
      <c r="H11" s="3"/>
      <c r="I11" s="2"/>
      <c r="J11" s="3"/>
      <c r="K11" s="2"/>
      <c r="L11" s="3"/>
      <c r="M11" s="2"/>
      <c r="N11" s="3"/>
      <c r="O11" s="2"/>
      <c r="P11" s="3"/>
      <c r="Q11" s="2"/>
      <c r="R11" s="3"/>
      <c r="S11" s="2"/>
      <c r="T11" s="3"/>
      <c r="U11" s="2"/>
      <c r="V11" s="3"/>
      <c r="W11" s="2"/>
      <c r="X11" s="3"/>
      <c r="Y11" s="2"/>
      <c r="Z11" s="3"/>
      <c r="AA11" s="2"/>
    </row>
    <row r="12" spans="1:27" x14ac:dyDescent="0.25">
      <c r="A12" s="1"/>
      <c r="B12" s="1"/>
      <c r="C12" s="1"/>
      <c r="D12" s="1"/>
      <c r="E12" s="1" t="s">
        <v>20</v>
      </c>
      <c r="F12" s="1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</row>
    <row r="13" spans="1:27" x14ac:dyDescent="0.25">
      <c r="A13" s="1"/>
      <c r="B13" s="1"/>
      <c r="C13" s="1"/>
      <c r="D13" s="1"/>
      <c r="E13" s="1"/>
      <c r="F13" s="1" t="s">
        <v>21</v>
      </c>
      <c r="G13" s="2">
        <v>12148.96</v>
      </c>
      <c r="H13" s="3"/>
      <c r="I13" s="2">
        <v>10932.38</v>
      </c>
      <c r="J13" s="3"/>
      <c r="K13" s="2">
        <v>28749.75</v>
      </c>
      <c r="L13" s="3"/>
      <c r="M13" s="2">
        <v>31774.26</v>
      </c>
      <c r="N13" s="3"/>
      <c r="O13" s="2">
        <v>5176.6400000000003</v>
      </c>
      <c r="P13" s="3"/>
      <c r="Q13" s="2">
        <v>864.43</v>
      </c>
      <c r="R13" s="3"/>
      <c r="S13" s="2">
        <v>14064.54</v>
      </c>
      <c r="T13" s="3"/>
      <c r="U13" s="2">
        <v>14473.97</v>
      </c>
      <c r="V13" s="3"/>
      <c r="W13" s="2">
        <f>8947.81-2297.77</f>
        <v>6650.0399999999991</v>
      </c>
      <c r="X13" s="3"/>
      <c r="Y13" s="2">
        <f>20329.21-1971.18</f>
        <v>18358.03</v>
      </c>
      <c r="Z13" s="3"/>
      <c r="AA13" s="16">
        <f t="shared" ref="AA13:AA20" si="1">ROUND(SUM(G13:Y13),5)</f>
        <v>143193</v>
      </c>
    </row>
    <row r="14" spans="1:27" x14ac:dyDescent="0.25">
      <c r="A14" s="1"/>
      <c r="B14" s="1"/>
      <c r="C14" s="1"/>
      <c r="D14" s="1"/>
      <c r="E14" s="1"/>
      <c r="F14" s="1" t="s">
        <v>22</v>
      </c>
      <c r="G14" s="2">
        <v>1114.98</v>
      </c>
      <c r="H14" s="3"/>
      <c r="I14" s="2">
        <v>1626.65</v>
      </c>
      <c r="J14" s="3"/>
      <c r="K14" s="2">
        <v>1263.8</v>
      </c>
      <c r="L14" s="3"/>
      <c r="M14" s="2">
        <v>3202.74</v>
      </c>
      <c r="N14" s="3"/>
      <c r="O14" s="2">
        <v>0</v>
      </c>
      <c r="P14" s="3"/>
      <c r="Q14" s="2">
        <v>0</v>
      </c>
      <c r="R14" s="3"/>
      <c r="S14" s="2">
        <v>0</v>
      </c>
      <c r="T14" s="3"/>
      <c r="U14" s="2">
        <v>1211.54</v>
      </c>
      <c r="V14" s="3"/>
      <c r="W14" s="2">
        <v>1995.58</v>
      </c>
      <c r="X14" s="3"/>
      <c r="Y14" s="2">
        <v>1863.6</v>
      </c>
      <c r="Z14" s="3"/>
      <c r="AA14" s="16">
        <f t="shared" si="1"/>
        <v>12278.89</v>
      </c>
    </row>
    <row r="15" spans="1:27" x14ac:dyDescent="0.25">
      <c r="A15" s="1"/>
      <c r="B15" s="1"/>
      <c r="C15" s="1"/>
      <c r="D15" s="1"/>
      <c r="E15" s="1"/>
      <c r="F15" s="1" t="s">
        <v>23</v>
      </c>
      <c r="G15" s="2">
        <v>1289.3699999999999</v>
      </c>
      <c r="H15" s="3"/>
      <c r="I15" s="2">
        <v>952.66</v>
      </c>
      <c r="J15" s="3"/>
      <c r="K15" s="2">
        <v>360.83</v>
      </c>
      <c r="L15" s="3"/>
      <c r="M15" s="2">
        <v>233.94</v>
      </c>
      <c r="N15" s="3"/>
      <c r="O15" s="2">
        <v>1103.8</v>
      </c>
      <c r="P15" s="3"/>
      <c r="Q15" s="2">
        <v>22.77</v>
      </c>
      <c r="R15" s="3"/>
      <c r="S15" s="2">
        <v>795.91</v>
      </c>
      <c r="T15" s="3"/>
      <c r="U15" s="2">
        <v>757.6</v>
      </c>
      <c r="V15" s="3"/>
      <c r="W15" s="2">
        <v>414.12</v>
      </c>
      <c r="X15" s="3"/>
      <c r="Y15" s="2">
        <v>205.52</v>
      </c>
      <c r="Z15" s="3"/>
      <c r="AA15" s="16">
        <f t="shared" si="1"/>
        <v>6136.52</v>
      </c>
    </row>
    <row r="16" spans="1:27" x14ac:dyDescent="0.25">
      <c r="A16" s="1"/>
      <c r="B16" s="1"/>
      <c r="C16" s="1"/>
      <c r="D16" s="1"/>
      <c r="E16" s="1"/>
      <c r="F16" s="1" t="s">
        <v>24</v>
      </c>
      <c r="G16" s="2">
        <v>269.61</v>
      </c>
      <c r="H16" s="3"/>
      <c r="I16" s="2">
        <v>798.41</v>
      </c>
      <c r="J16" s="3"/>
      <c r="K16" s="2">
        <v>1875.69</v>
      </c>
      <c r="L16" s="3"/>
      <c r="M16" s="2">
        <v>2398.08</v>
      </c>
      <c r="N16" s="3"/>
      <c r="O16" s="2">
        <v>957.39</v>
      </c>
      <c r="P16" s="3"/>
      <c r="Q16" s="2">
        <v>2882.79</v>
      </c>
      <c r="R16" s="3"/>
      <c r="S16" s="2">
        <v>51595.040000000001</v>
      </c>
      <c r="T16" s="3"/>
      <c r="U16" s="2">
        <v>6886.19</v>
      </c>
      <c r="V16" s="3"/>
      <c r="W16" s="2">
        <v>487.33</v>
      </c>
      <c r="X16" s="3"/>
      <c r="Y16" s="2">
        <v>2316.14</v>
      </c>
      <c r="Z16" s="3"/>
      <c r="AA16" s="16">
        <f t="shared" si="1"/>
        <v>70466.67</v>
      </c>
    </row>
    <row r="17" spans="1:27" ht="15.75" thickBot="1" x14ac:dyDescent="0.3">
      <c r="A17" s="1"/>
      <c r="B17" s="1"/>
      <c r="C17" s="1"/>
      <c r="D17" s="1"/>
      <c r="E17" s="1"/>
      <c r="F17" s="1" t="s">
        <v>25</v>
      </c>
      <c r="G17" s="4">
        <v>0</v>
      </c>
      <c r="H17" s="3"/>
      <c r="I17" s="4">
        <v>0</v>
      </c>
      <c r="J17" s="3"/>
      <c r="K17" s="4">
        <v>0</v>
      </c>
      <c r="L17" s="3"/>
      <c r="M17" s="4">
        <v>10.87</v>
      </c>
      <c r="N17" s="3"/>
      <c r="O17" s="4">
        <v>0</v>
      </c>
      <c r="P17" s="3"/>
      <c r="Q17" s="4">
        <v>0</v>
      </c>
      <c r="R17" s="3"/>
      <c r="S17" s="4">
        <v>0</v>
      </c>
      <c r="T17" s="3"/>
      <c r="U17" s="4">
        <v>0</v>
      </c>
      <c r="V17" s="3"/>
      <c r="W17" s="4">
        <v>0</v>
      </c>
      <c r="X17" s="3"/>
      <c r="Y17" s="4">
        <v>0</v>
      </c>
      <c r="Z17" s="3"/>
      <c r="AA17" s="18">
        <f t="shared" si="1"/>
        <v>10.87</v>
      </c>
    </row>
    <row r="18" spans="1:27" ht="15.75" thickBot="1" x14ac:dyDescent="0.3">
      <c r="A18" s="1"/>
      <c r="B18" s="1"/>
      <c r="C18" s="1"/>
      <c r="D18" s="1"/>
      <c r="E18" s="1" t="s">
        <v>26</v>
      </c>
      <c r="F18" s="1"/>
      <c r="G18" s="6">
        <f>ROUND(SUM(G12:G17),5)</f>
        <v>14822.92</v>
      </c>
      <c r="H18" s="3"/>
      <c r="I18" s="6">
        <f>ROUND(SUM(I12:I17),5)</f>
        <v>14310.1</v>
      </c>
      <c r="J18" s="3"/>
      <c r="K18" s="6">
        <f>ROUND(SUM(K12:K17),5)</f>
        <v>32250.07</v>
      </c>
      <c r="L18" s="3"/>
      <c r="M18" s="6">
        <f>ROUND(SUM(M12:M17),5)</f>
        <v>37619.89</v>
      </c>
      <c r="N18" s="3"/>
      <c r="O18" s="6">
        <f>ROUND(SUM(O12:O17),5)</f>
        <v>7237.83</v>
      </c>
      <c r="P18" s="3"/>
      <c r="Q18" s="6">
        <f>ROUND(SUM(Q12:Q17),5)</f>
        <v>3769.99</v>
      </c>
      <c r="R18" s="3"/>
      <c r="S18" s="6">
        <f>ROUND(SUM(S12:S17),5)</f>
        <v>66455.490000000005</v>
      </c>
      <c r="T18" s="3"/>
      <c r="U18" s="6">
        <f>ROUND(SUM(U12:U17),5)</f>
        <v>23329.3</v>
      </c>
      <c r="V18" s="3"/>
      <c r="W18" s="6">
        <f>ROUND(SUM(W12:W17),5)</f>
        <v>9547.07</v>
      </c>
      <c r="X18" s="3"/>
      <c r="Y18" s="6">
        <f>ROUND(SUM(Y12:Y17),5)</f>
        <v>22743.29</v>
      </c>
      <c r="Z18" s="3"/>
      <c r="AA18" s="21">
        <f t="shared" si="1"/>
        <v>232085.95</v>
      </c>
    </row>
    <row r="19" spans="1:27" ht="15.75" thickBot="1" x14ac:dyDescent="0.3">
      <c r="A19" s="1"/>
      <c r="B19" s="1"/>
      <c r="C19" s="1"/>
      <c r="D19" s="1" t="s">
        <v>27</v>
      </c>
      <c r="E19" s="1"/>
      <c r="F19" s="1"/>
      <c r="G19" s="5">
        <f>ROUND(G11+G18,5)</f>
        <v>14822.92</v>
      </c>
      <c r="H19" s="3"/>
      <c r="I19" s="5">
        <f>ROUND(I11+I18,5)</f>
        <v>14310.1</v>
      </c>
      <c r="J19" s="3"/>
      <c r="K19" s="5">
        <f>ROUND(K11+K18,5)</f>
        <v>32250.07</v>
      </c>
      <c r="L19" s="3"/>
      <c r="M19" s="5">
        <f>ROUND(M11+M18,5)</f>
        <v>37619.89</v>
      </c>
      <c r="N19" s="3"/>
      <c r="O19" s="5">
        <f>ROUND(O11+O18,5)</f>
        <v>7237.83</v>
      </c>
      <c r="P19" s="3"/>
      <c r="Q19" s="5">
        <f>ROUND(Q11+Q18,5)</f>
        <v>3769.99</v>
      </c>
      <c r="R19" s="3"/>
      <c r="S19" s="5">
        <f>ROUND(S11+S18,5)</f>
        <v>66455.490000000005</v>
      </c>
      <c r="T19" s="3"/>
      <c r="U19" s="5">
        <f>ROUND(U11+U18,5)</f>
        <v>23329.3</v>
      </c>
      <c r="V19" s="3"/>
      <c r="W19" s="5">
        <f>ROUND(W11+W18,5)</f>
        <v>9547.07</v>
      </c>
      <c r="X19" s="3"/>
      <c r="Y19" s="5">
        <f>ROUND(Y11+Y18,5)</f>
        <v>22743.29</v>
      </c>
      <c r="Z19" s="3"/>
      <c r="AA19" s="22">
        <f t="shared" si="1"/>
        <v>232085.95</v>
      </c>
    </row>
    <row r="20" spans="1:27" x14ac:dyDescent="0.25">
      <c r="A20" s="1"/>
      <c r="B20" s="1"/>
      <c r="C20" s="1" t="s">
        <v>28</v>
      </c>
      <c r="D20" s="1"/>
      <c r="E20" s="1"/>
      <c r="F20" s="1"/>
      <c r="G20" s="2">
        <f>ROUND(G10-G19,5)</f>
        <v>2687.01</v>
      </c>
      <c r="H20" s="3"/>
      <c r="I20" s="2">
        <f>ROUND(I10-I19,5)</f>
        <v>-2160.79</v>
      </c>
      <c r="J20" s="3"/>
      <c r="K20" s="2">
        <f>ROUND(K10-K19,5)</f>
        <v>-11955.8</v>
      </c>
      <c r="L20" s="3"/>
      <c r="M20" s="2">
        <f>ROUND(M10-M19,5)</f>
        <v>2488.34</v>
      </c>
      <c r="N20" s="3"/>
      <c r="O20" s="2">
        <f>ROUND(O10-O19,5)</f>
        <v>6275.19</v>
      </c>
      <c r="P20" s="3"/>
      <c r="Q20" s="2">
        <f>ROUND(Q10-Q19,5)</f>
        <v>2752.93</v>
      </c>
      <c r="R20" s="3"/>
      <c r="S20" s="2">
        <f>ROUND(S10-S19,5)</f>
        <v>-13791.16</v>
      </c>
      <c r="T20" s="3"/>
      <c r="U20" s="2">
        <f>ROUND(U10-U19,5)</f>
        <v>-4263.6000000000004</v>
      </c>
      <c r="V20" s="3"/>
      <c r="W20" s="2">
        <f>ROUND(W10-W19,5)</f>
        <v>-3631.14</v>
      </c>
      <c r="X20" s="3"/>
      <c r="Y20" s="2">
        <f>ROUND(Y10-Y19,5)</f>
        <v>8459.5400000000009</v>
      </c>
      <c r="Z20" s="3"/>
      <c r="AA20" s="19">
        <f t="shared" si="1"/>
        <v>-13139.48</v>
      </c>
    </row>
    <row r="21" spans="1:27" x14ac:dyDescent="0.25">
      <c r="A21" s="1"/>
      <c r="B21" s="1"/>
      <c r="C21" s="1"/>
      <c r="D21" s="1" t="s">
        <v>29</v>
      </c>
      <c r="E21" s="1"/>
      <c r="F21" s="1"/>
      <c r="G21" s="2"/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2"/>
      <c r="V21" s="3"/>
      <c r="W21" s="2"/>
      <c r="X21" s="3"/>
      <c r="Y21" s="2"/>
      <c r="Z21" s="3"/>
      <c r="AA21" s="19"/>
    </row>
    <row r="22" spans="1:27" x14ac:dyDescent="0.25">
      <c r="A22" s="1"/>
      <c r="B22" s="1"/>
      <c r="C22" s="1"/>
      <c r="D22" s="1"/>
      <c r="E22" s="1" t="s">
        <v>30</v>
      </c>
      <c r="F22" s="1"/>
      <c r="G22" s="2">
        <v>0</v>
      </c>
      <c r="H22" s="3"/>
      <c r="I22" s="2">
        <v>0</v>
      </c>
      <c r="J22" s="3"/>
      <c r="K22" s="2">
        <v>0</v>
      </c>
      <c r="L22" s="3"/>
      <c r="M22" s="2">
        <v>-92.4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0</v>
      </c>
      <c r="V22" s="3"/>
      <c r="W22" s="2">
        <v>0</v>
      </c>
      <c r="X22" s="3"/>
      <c r="Y22" s="2">
        <v>0</v>
      </c>
      <c r="Z22" s="3"/>
      <c r="AA22" s="19">
        <f t="shared" ref="AA22:AA32" si="2">ROUND(SUM(G22:Y22),5)</f>
        <v>-92.4</v>
      </c>
    </row>
    <row r="23" spans="1:27" x14ac:dyDescent="0.25">
      <c r="A23" s="1"/>
      <c r="B23" s="1"/>
      <c r="C23" s="1"/>
      <c r="D23" s="1"/>
      <c r="E23" s="1" t="s">
        <v>31</v>
      </c>
      <c r="F23" s="1"/>
      <c r="G23" s="2">
        <v>325.75</v>
      </c>
      <c r="H23" s="3"/>
      <c r="I23" s="2">
        <v>319.5</v>
      </c>
      <c r="J23" s="3"/>
      <c r="K23" s="2">
        <v>0</v>
      </c>
      <c r="L23" s="3"/>
      <c r="M23" s="2">
        <v>398.25</v>
      </c>
      <c r="N23" s="3"/>
      <c r="O23" s="2">
        <v>262</v>
      </c>
      <c r="P23" s="3"/>
      <c r="Q23" s="2">
        <v>0</v>
      </c>
      <c r="R23" s="3"/>
      <c r="S23" s="2">
        <v>413.25</v>
      </c>
      <c r="T23" s="3"/>
      <c r="U23" s="2">
        <v>350</v>
      </c>
      <c r="V23" s="3"/>
      <c r="W23" s="2">
        <v>0</v>
      </c>
      <c r="X23" s="3"/>
      <c r="Y23" s="2">
        <v>0</v>
      </c>
      <c r="Z23" s="3"/>
      <c r="AA23" s="19">
        <f t="shared" si="2"/>
        <v>2068.75</v>
      </c>
    </row>
    <row r="24" spans="1:27" x14ac:dyDescent="0.25">
      <c r="A24" s="1"/>
      <c r="B24" s="1"/>
      <c r="C24" s="1"/>
      <c r="D24" s="1"/>
      <c r="E24" s="1" t="s">
        <v>32</v>
      </c>
      <c r="F24" s="1"/>
      <c r="G24" s="2">
        <v>91.28</v>
      </c>
      <c r="H24" s="3"/>
      <c r="I24" s="2">
        <v>0</v>
      </c>
      <c r="J24" s="3"/>
      <c r="K24" s="2">
        <v>0</v>
      </c>
      <c r="L24" s="3"/>
      <c r="M24" s="2">
        <v>390.96</v>
      </c>
      <c r="N24" s="3"/>
      <c r="O24" s="2">
        <v>5169.38</v>
      </c>
      <c r="P24" s="3"/>
      <c r="Q24" s="2">
        <v>0</v>
      </c>
      <c r="R24" s="3"/>
      <c r="S24" s="2">
        <v>4624.5</v>
      </c>
      <c r="T24" s="3"/>
      <c r="U24" s="2">
        <v>1.23</v>
      </c>
      <c r="V24" s="3"/>
      <c r="W24" s="2">
        <v>3988.67</v>
      </c>
      <c r="X24" s="3"/>
      <c r="Y24" s="2">
        <v>0</v>
      </c>
      <c r="Z24" s="3"/>
      <c r="AA24" s="19">
        <f t="shared" si="2"/>
        <v>14266.02</v>
      </c>
    </row>
    <row r="25" spans="1:27" x14ac:dyDescent="0.25">
      <c r="A25" s="1"/>
      <c r="B25" s="1"/>
      <c r="C25" s="1"/>
      <c r="D25" s="1"/>
      <c r="E25" s="1" t="s">
        <v>33</v>
      </c>
      <c r="F25" s="1"/>
      <c r="G25" s="2">
        <v>13.73</v>
      </c>
      <c r="H25" s="3"/>
      <c r="I25" s="2">
        <v>10.3</v>
      </c>
      <c r="J25" s="3"/>
      <c r="K25" s="2">
        <v>20.59</v>
      </c>
      <c r="L25" s="3"/>
      <c r="M25" s="2">
        <v>34.32</v>
      </c>
      <c r="N25" s="3"/>
      <c r="O25" s="2">
        <v>10.3</v>
      </c>
      <c r="P25" s="3"/>
      <c r="Q25" s="2">
        <v>3.4</v>
      </c>
      <c r="R25" s="3"/>
      <c r="S25" s="2">
        <v>41.18</v>
      </c>
      <c r="T25" s="3"/>
      <c r="U25" s="2">
        <v>17.149999999999999</v>
      </c>
      <c r="V25" s="3"/>
      <c r="W25" s="2">
        <v>3.43</v>
      </c>
      <c r="X25" s="3"/>
      <c r="Y25" s="2">
        <v>54.9</v>
      </c>
      <c r="Z25" s="3"/>
      <c r="AA25" s="19">
        <f t="shared" si="2"/>
        <v>209.3</v>
      </c>
    </row>
    <row r="26" spans="1:27" x14ac:dyDescent="0.25">
      <c r="A26" s="1"/>
      <c r="B26" s="1"/>
      <c r="C26" s="1"/>
      <c r="D26" s="1"/>
      <c r="E26" s="1" t="s">
        <v>34</v>
      </c>
      <c r="F26" s="1"/>
      <c r="G26" s="2">
        <v>239.94</v>
      </c>
      <c r="H26" s="3"/>
      <c r="I26" s="2">
        <v>183.71</v>
      </c>
      <c r="J26" s="3"/>
      <c r="K26" s="2">
        <v>367.41</v>
      </c>
      <c r="L26" s="3"/>
      <c r="M26" s="2">
        <v>577.36</v>
      </c>
      <c r="N26" s="3"/>
      <c r="O26" s="2">
        <v>183.71</v>
      </c>
      <c r="P26" s="3"/>
      <c r="Q26" s="2">
        <v>631.20000000000005</v>
      </c>
      <c r="R26" s="3"/>
      <c r="S26" s="2">
        <v>689.83</v>
      </c>
      <c r="T26" s="3"/>
      <c r="U26" s="2">
        <v>281.18</v>
      </c>
      <c r="V26" s="3"/>
      <c r="W26" s="2">
        <v>56.24</v>
      </c>
      <c r="X26" s="3"/>
      <c r="Y26" s="2">
        <v>899.77</v>
      </c>
      <c r="Z26" s="3"/>
      <c r="AA26" s="19">
        <f t="shared" si="2"/>
        <v>4110.3500000000004</v>
      </c>
    </row>
    <row r="27" spans="1:27" x14ac:dyDescent="0.25">
      <c r="A27" s="1"/>
      <c r="B27" s="1"/>
      <c r="C27" s="1"/>
      <c r="D27" s="1"/>
      <c r="E27" s="1" t="s">
        <v>35</v>
      </c>
      <c r="F27" s="1"/>
      <c r="G27" s="2">
        <v>48</v>
      </c>
      <c r="H27" s="3"/>
      <c r="I27" s="2">
        <v>36</v>
      </c>
      <c r="J27" s="3"/>
      <c r="K27" s="2">
        <v>72</v>
      </c>
      <c r="L27" s="3"/>
      <c r="M27" s="2">
        <v>120</v>
      </c>
      <c r="N27" s="3"/>
      <c r="O27" s="2">
        <v>36</v>
      </c>
      <c r="P27" s="3"/>
      <c r="Q27" s="2">
        <v>12</v>
      </c>
      <c r="R27" s="3"/>
      <c r="S27" s="2">
        <v>144</v>
      </c>
      <c r="T27" s="3"/>
      <c r="U27" s="2">
        <v>60</v>
      </c>
      <c r="V27" s="3"/>
      <c r="W27" s="2">
        <v>12</v>
      </c>
      <c r="X27" s="3"/>
      <c r="Y27" s="2">
        <v>192</v>
      </c>
      <c r="Z27" s="3"/>
      <c r="AA27" s="19">
        <f t="shared" si="2"/>
        <v>732</v>
      </c>
    </row>
    <row r="28" spans="1:27" x14ac:dyDescent="0.25">
      <c r="A28" s="1"/>
      <c r="B28" s="1"/>
      <c r="C28" s="1"/>
      <c r="D28" s="1"/>
      <c r="E28" s="1" t="s">
        <v>36</v>
      </c>
      <c r="F28" s="1"/>
      <c r="G28" s="2">
        <f>'[1]Postage &amp; Telephone Allocation'!$E$7</f>
        <v>440.46789989118605</v>
      </c>
      <c r="H28" s="3"/>
      <c r="I28" s="2">
        <f>'[1]Postage &amp; Telephone Allocation'!$E$8</f>
        <v>234.91621327529924</v>
      </c>
      <c r="J28" s="3"/>
      <c r="K28" s="2">
        <f>'[1]Postage &amp; Telephone Allocation'!$E$9</f>
        <v>557.92600652883573</v>
      </c>
      <c r="L28" s="3"/>
      <c r="M28" s="2">
        <f>'[1]Postage &amp; Telephone Allocation'!$E$11</f>
        <v>978.81755531374688</v>
      </c>
      <c r="N28" s="3"/>
      <c r="O28" s="2">
        <f>'[1]Postage &amp; Telephone Allocation'!$E$12</f>
        <v>303.43344214726153</v>
      </c>
      <c r="P28" s="3"/>
      <c r="Q28" s="2">
        <f>'[1]Postage &amp; Telephone Allocation'!$E$14</f>
        <v>68.517228871962274</v>
      </c>
      <c r="R28" s="3"/>
      <c r="S28" s="2">
        <f>'[1]Postage &amp; Telephone Allocation'!$E$15</f>
        <v>959.24120420747192</v>
      </c>
      <c r="T28" s="3"/>
      <c r="U28" s="2">
        <f>'[1]Postage &amp; Telephone Allocation'!$E$16</f>
        <v>391.52702212549877</v>
      </c>
      <c r="V28" s="3"/>
      <c r="W28" s="2">
        <f>'[1]Postage &amp; Telephone Allocation'!$E$19</f>
        <v>146.82263329706203</v>
      </c>
      <c r="X28" s="3"/>
      <c r="Y28" s="2">
        <f>'[1]Postage &amp; Telephone Allocation'!$E$25</f>
        <v>1262.6746463547333</v>
      </c>
      <c r="Z28" s="3"/>
      <c r="AA28" s="16">
        <f t="shared" si="2"/>
        <v>5344.3438500000002</v>
      </c>
    </row>
    <row r="29" spans="1:27" x14ac:dyDescent="0.25">
      <c r="A29" s="1"/>
      <c r="B29" s="1"/>
      <c r="C29" s="1"/>
      <c r="D29" s="1"/>
      <c r="E29" s="1" t="s">
        <v>37</v>
      </c>
      <c r="F29" s="1"/>
      <c r="G29" s="2">
        <v>3.27</v>
      </c>
      <c r="H29" s="3"/>
      <c r="I29" s="2">
        <v>2.1800000000000002</v>
      </c>
      <c r="J29" s="3"/>
      <c r="K29" s="2">
        <v>5.26</v>
      </c>
      <c r="L29" s="3"/>
      <c r="M29" s="2">
        <v>8.73</v>
      </c>
      <c r="N29" s="3"/>
      <c r="O29" s="2">
        <v>2.98</v>
      </c>
      <c r="P29" s="3"/>
      <c r="Q29" s="2">
        <v>0.69</v>
      </c>
      <c r="R29" s="3"/>
      <c r="S29" s="2">
        <v>9.6300000000000008</v>
      </c>
      <c r="T29" s="3"/>
      <c r="U29" s="2">
        <v>3.98</v>
      </c>
      <c r="V29" s="3"/>
      <c r="W29" s="2">
        <v>1.19</v>
      </c>
      <c r="X29" s="3"/>
      <c r="Y29" s="2">
        <v>0</v>
      </c>
      <c r="Z29" s="3"/>
      <c r="AA29" s="19">
        <f t="shared" si="2"/>
        <v>37.909999999999997</v>
      </c>
    </row>
    <row r="30" spans="1:27" x14ac:dyDescent="0.25">
      <c r="A30" s="1"/>
      <c r="B30" s="1"/>
      <c r="C30" s="1"/>
      <c r="D30" s="1"/>
      <c r="E30" s="1" t="s">
        <v>38</v>
      </c>
      <c r="F30" s="1"/>
      <c r="G30" s="2">
        <v>151.32</v>
      </c>
      <c r="H30" s="3"/>
      <c r="I30" s="2">
        <v>113.5</v>
      </c>
      <c r="J30" s="3"/>
      <c r="K30" s="2">
        <v>226.99</v>
      </c>
      <c r="L30" s="3"/>
      <c r="M30" s="2">
        <v>378.32</v>
      </c>
      <c r="N30" s="3"/>
      <c r="O30" s="2">
        <v>113.48</v>
      </c>
      <c r="P30" s="3"/>
      <c r="Q30" s="2">
        <v>30.3</v>
      </c>
      <c r="R30" s="3"/>
      <c r="S30" s="2">
        <v>453.98</v>
      </c>
      <c r="T30" s="3"/>
      <c r="U30" s="2">
        <v>189.16</v>
      </c>
      <c r="V30" s="3"/>
      <c r="W30" s="2">
        <v>37.83</v>
      </c>
      <c r="X30" s="3"/>
      <c r="Y30" s="2">
        <v>605.29999999999995</v>
      </c>
      <c r="Z30" s="3"/>
      <c r="AA30" s="19">
        <f t="shared" si="2"/>
        <v>2300.1799999999998</v>
      </c>
    </row>
    <row r="31" spans="1:27" x14ac:dyDescent="0.25">
      <c r="A31" s="1"/>
      <c r="B31" s="1"/>
      <c r="C31" s="1"/>
      <c r="D31" s="1"/>
      <c r="E31" s="1" t="s">
        <v>39</v>
      </c>
      <c r="F31" s="1"/>
      <c r="G31" s="2">
        <v>5.19</v>
      </c>
      <c r="H31" s="3"/>
      <c r="I31" s="2">
        <v>3.45</v>
      </c>
      <c r="J31" s="3"/>
      <c r="K31" s="2">
        <v>28.31</v>
      </c>
      <c r="L31" s="3"/>
      <c r="M31" s="2">
        <v>179.41</v>
      </c>
      <c r="N31" s="3"/>
      <c r="O31" s="2">
        <v>4.71</v>
      </c>
      <c r="P31" s="3"/>
      <c r="Q31" s="2">
        <v>1.1100000000000001</v>
      </c>
      <c r="R31" s="3"/>
      <c r="S31" s="2">
        <v>1087.83</v>
      </c>
      <c r="T31" s="3"/>
      <c r="U31" s="2">
        <v>31.27</v>
      </c>
      <c r="V31" s="3"/>
      <c r="W31" s="2">
        <v>1.89</v>
      </c>
      <c r="X31" s="3"/>
      <c r="Y31" s="2">
        <v>60</v>
      </c>
      <c r="Z31" s="3"/>
      <c r="AA31" s="19">
        <f t="shared" si="2"/>
        <v>1403.17</v>
      </c>
    </row>
    <row r="32" spans="1:27" x14ac:dyDescent="0.25">
      <c r="A32" s="1"/>
      <c r="B32" s="1"/>
      <c r="C32" s="1"/>
      <c r="D32" s="1"/>
      <c r="E32" s="1" t="s">
        <v>40</v>
      </c>
      <c r="F32" s="1"/>
      <c r="G32" s="2">
        <f>-10.2+'[1]Postage &amp; Telephone Allocation'!$C$6</f>
        <v>229.98568008705118</v>
      </c>
      <c r="H32" s="3"/>
      <c r="I32" s="2">
        <f>-7.65+'[1]Postage &amp; Telephone Allocation'!$C$8</f>
        <v>140.15657236126222</v>
      </c>
      <c r="J32" s="3"/>
      <c r="K32" s="2">
        <f>-15.3+'[1]Postage &amp; Telephone Allocation'!$D$9</f>
        <v>127.66145810663768</v>
      </c>
      <c r="L32" s="3"/>
      <c r="M32" s="2">
        <f>-25.5+'[1]Postage &amp; Telephone Allocation'!$C$11</f>
        <v>590.36071817192601</v>
      </c>
      <c r="N32" s="3"/>
      <c r="O32" s="2">
        <f>-7.65+'[1]Postage &amp; Telephone Allocation'!$C$12</f>
        <v>183.26682263329707</v>
      </c>
      <c r="P32" s="3"/>
      <c r="Q32" s="2">
        <f>-2.55+'[1]Postage &amp; Telephone Allocation'!$C$14</f>
        <v>40.560250272034821</v>
      </c>
      <c r="R32" s="3"/>
      <c r="S32" s="2">
        <f>-30.6+'[1]Postage &amp; Telephone Allocation'!$C$15</f>
        <v>572.94350380848743</v>
      </c>
      <c r="T32" s="3"/>
      <c r="U32" s="2">
        <f>-12.75+'[1]Postage &amp; Telephone Allocation'!$C$16</f>
        <v>233.59428726877042</v>
      </c>
      <c r="V32" s="3"/>
      <c r="W32" s="2">
        <f>-2.55+'[1]Postage &amp; Telephone Allocation'!$C$19</f>
        <v>89.829107725788916</v>
      </c>
      <c r="X32" s="3"/>
      <c r="Y32" s="2">
        <f>-40.8+'[1]Postage &amp; Telephone Allocation'!$C$25</f>
        <v>753.6603264417846</v>
      </c>
      <c r="Z32" s="3"/>
      <c r="AA32" s="19">
        <f t="shared" si="2"/>
        <v>2962.0187299999998</v>
      </c>
    </row>
    <row r="33" spans="1:27" x14ac:dyDescent="0.25">
      <c r="A33" s="1"/>
      <c r="B33" s="1"/>
      <c r="C33" s="1"/>
      <c r="D33" s="1"/>
      <c r="E33" s="1" t="s">
        <v>41</v>
      </c>
      <c r="F33" s="1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19"/>
    </row>
    <row r="34" spans="1:27" x14ac:dyDescent="0.25">
      <c r="A34" s="1"/>
      <c r="B34" s="1"/>
      <c r="C34" s="1"/>
      <c r="D34" s="1"/>
      <c r="E34" s="1"/>
      <c r="F34" s="1" t="s">
        <v>42</v>
      </c>
      <c r="G34" s="2">
        <v>185.73</v>
      </c>
      <c r="H34" s="3"/>
      <c r="I34" s="2">
        <v>123.82</v>
      </c>
      <c r="J34" s="3"/>
      <c r="K34" s="2">
        <v>1248.3</v>
      </c>
      <c r="L34" s="3"/>
      <c r="M34" s="2">
        <v>1495.29</v>
      </c>
      <c r="N34" s="3"/>
      <c r="O34" s="2">
        <v>168.85</v>
      </c>
      <c r="P34" s="3"/>
      <c r="Q34" s="2">
        <v>389.4</v>
      </c>
      <c r="R34" s="3"/>
      <c r="S34" s="2">
        <v>1495.94</v>
      </c>
      <c r="T34" s="3"/>
      <c r="U34" s="2">
        <v>725.13</v>
      </c>
      <c r="V34" s="3"/>
      <c r="W34" s="2">
        <v>67.540000000000006</v>
      </c>
      <c r="X34" s="3"/>
      <c r="Y34" s="2">
        <v>600</v>
      </c>
      <c r="Z34" s="3"/>
      <c r="AA34" s="16">
        <f>ROUND(SUM(G34:Y34),5)</f>
        <v>6500</v>
      </c>
    </row>
    <row r="35" spans="1:27" x14ac:dyDescent="0.25">
      <c r="A35" s="1"/>
      <c r="B35" s="1"/>
      <c r="C35" s="1"/>
      <c r="D35" s="1"/>
      <c r="E35" s="1"/>
      <c r="F35" s="1" t="s">
        <v>43</v>
      </c>
      <c r="G35" s="2">
        <v>6855.4</v>
      </c>
      <c r="H35" s="3"/>
      <c r="I35" s="2">
        <v>5745.3</v>
      </c>
      <c r="J35" s="3"/>
      <c r="K35" s="2">
        <v>10864.88</v>
      </c>
      <c r="L35" s="3"/>
      <c r="M35" s="2">
        <v>21031.13</v>
      </c>
      <c r="N35" s="3"/>
      <c r="O35" s="2">
        <v>4962.38</v>
      </c>
      <c r="P35" s="3"/>
      <c r="Q35" s="2">
        <v>1636.63</v>
      </c>
      <c r="R35" s="3"/>
      <c r="S35" s="2">
        <v>24612.71</v>
      </c>
      <c r="T35" s="3"/>
      <c r="U35" s="2">
        <v>10491.25</v>
      </c>
      <c r="V35" s="3"/>
      <c r="W35" s="2">
        <v>4524.13</v>
      </c>
      <c r="X35" s="3"/>
      <c r="Y35" s="2">
        <v>32940.04</v>
      </c>
      <c r="Z35" s="3"/>
      <c r="AA35" s="16">
        <f>ROUND(SUM(G35:Y35),5)</f>
        <v>123663.85</v>
      </c>
    </row>
    <row r="36" spans="1:27" ht="15.75" thickBot="1" x14ac:dyDescent="0.3">
      <c r="A36" s="1"/>
      <c r="B36" s="1"/>
      <c r="C36" s="1"/>
      <c r="D36" s="1"/>
      <c r="E36" s="1"/>
      <c r="F36" s="1" t="s">
        <v>44</v>
      </c>
      <c r="G36" s="7">
        <v>235.97</v>
      </c>
      <c r="H36" s="3"/>
      <c r="I36" s="7">
        <v>159.65</v>
      </c>
      <c r="J36" s="3"/>
      <c r="K36" s="7">
        <v>375.98</v>
      </c>
      <c r="L36" s="3"/>
      <c r="M36" s="7">
        <v>3063.67</v>
      </c>
      <c r="N36" s="3"/>
      <c r="O36" s="7">
        <v>210.02</v>
      </c>
      <c r="P36" s="3"/>
      <c r="Q36" s="7">
        <v>47.42</v>
      </c>
      <c r="R36" s="3"/>
      <c r="S36" s="7">
        <v>2403.3000000000002</v>
      </c>
      <c r="T36" s="3"/>
      <c r="U36" s="7">
        <v>287.08999999999997</v>
      </c>
      <c r="V36" s="3"/>
      <c r="W36" s="7">
        <v>82.6</v>
      </c>
      <c r="X36" s="3"/>
      <c r="Y36" s="7">
        <v>112.8</v>
      </c>
      <c r="Z36" s="3"/>
      <c r="AA36" s="17">
        <f>ROUND(SUM(G36:Y36),5)</f>
        <v>6978.5</v>
      </c>
    </row>
    <row r="37" spans="1:27" x14ac:dyDescent="0.25">
      <c r="A37" s="1"/>
      <c r="B37" s="1"/>
      <c r="C37" s="1"/>
      <c r="D37" s="1"/>
      <c r="E37" s="1" t="s">
        <v>45</v>
      </c>
      <c r="F37" s="1"/>
      <c r="G37" s="2">
        <f>ROUND(SUM(G33:G36),5)</f>
        <v>7277.1</v>
      </c>
      <c r="H37" s="3"/>
      <c r="I37" s="2">
        <f>ROUND(SUM(I33:I36),5)</f>
        <v>6028.77</v>
      </c>
      <c r="J37" s="3"/>
      <c r="K37" s="2">
        <f>ROUND(SUM(K33:K36),5)</f>
        <v>12489.16</v>
      </c>
      <c r="L37" s="3"/>
      <c r="M37" s="2">
        <f>ROUND(SUM(M33:M36),5)</f>
        <v>25590.09</v>
      </c>
      <c r="N37" s="3"/>
      <c r="O37" s="2">
        <f>ROUND(SUM(O33:O36),5)</f>
        <v>5341.25</v>
      </c>
      <c r="P37" s="3"/>
      <c r="Q37" s="2">
        <f>ROUND(SUM(Q33:Q36),5)</f>
        <v>2073.4499999999998</v>
      </c>
      <c r="R37" s="3"/>
      <c r="S37" s="2">
        <f>ROUND(SUM(S33:S36),5)</f>
        <v>28511.95</v>
      </c>
      <c r="T37" s="3"/>
      <c r="U37" s="2">
        <f>ROUND(SUM(U33:U36),5)</f>
        <v>11503.47</v>
      </c>
      <c r="V37" s="3"/>
      <c r="W37" s="2">
        <f>ROUND(SUM(W33:W36),5)</f>
        <v>4674.2700000000004</v>
      </c>
      <c r="X37" s="3"/>
      <c r="Y37" s="2">
        <f>ROUND(SUM(Y33:Y36),5)</f>
        <v>33652.839999999997</v>
      </c>
      <c r="Z37" s="3"/>
      <c r="AA37" s="19">
        <f>ROUND(SUM(G37:Y37),5)</f>
        <v>137142.35</v>
      </c>
    </row>
    <row r="38" spans="1:27" x14ac:dyDescent="0.25">
      <c r="A38" s="1"/>
      <c r="B38" s="1"/>
      <c r="C38" s="1"/>
      <c r="D38" s="1"/>
      <c r="E38" s="1" t="s">
        <v>46</v>
      </c>
      <c r="F38" s="1"/>
      <c r="G38" s="2">
        <v>-3322.55</v>
      </c>
      <c r="H38" s="3"/>
      <c r="I38" s="2">
        <v>0</v>
      </c>
      <c r="J38" s="3"/>
      <c r="K38" s="2">
        <v>0</v>
      </c>
      <c r="L38" s="3"/>
      <c r="M38" s="2">
        <v>0</v>
      </c>
      <c r="N38" s="3"/>
      <c r="O38" s="2">
        <v>0</v>
      </c>
      <c r="P38" s="3"/>
      <c r="Q38" s="2">
        <v>0</v>
      </c>
      <c r="R38" s="3"/>
      <c r="S38" s="2">
        <v>0</v>
      </c>
      <c r="T38" s="3"/>
      <c r="U38" s="2">
        <v>-17.399999999999999</v>
      </c>
      <c r="V38" s="3"/>
      <c r="W38" s="2">
        <v>0</v>
      </c>
      <c r="X38" s="3"/>
      <c r="Y38" s="2">
        <v>0</v>
      </c>
      <c r="Z38" s="3"/>
      <c r="AA38" s="19">
        <f>ROUND(SUM(G38:Y38),5)</f>
        <v>-3339.95</v>
      </c>
    </row>
    <row r="39" spans="1:27" x14ac:dyDescent="0.25">
      <c r="A39" s="1"/>
      <c r="B39" s="1"/>
      <c r="C39" s="1"/>
      <c r="D39" s="1"/>
      <c r="E39" s="1" t="s">
        <v>47</v>
      </c>
      <c r="F39" s="1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19"/>
    </row>
    <row r="40" spans="1:27" x14ac:dyDescent="0.25">
      <c r="A40" s="1"/>
      <c r="B40" s="1"/>
      <c r="C40" s="1"/>
      <c r="D40" s="1"/>
      <c r="E40" s="1"/>
      <c r="F40" s="1" t="s">
        <v>48</v>
      </c>
      <c r="G40" s="2">
        <f>-623.29+G8*0.05029</f>
        <v>-0.46846599999992122</v>
      </c>
      <c r="H40" s="3"/>
      <c r="I40" s="2">
        <f>-566.77+I8*0.05029</f>
        <v>-7.6632099999983438E-2</v>
      </c>
      <c r="J40" s="3"/>
      <c r="K40" s="2">
        <f>-923.83+K8*0.05029</f>
        <v>0.4705288999999766</v>
      </c>
      <c r="L40" s="3"/>
      <c r="M40" s="2">
        <f>-1832.09+M8*0.05029</f>
        <v>2.8281546000000617</v>
      </c>
      <c r="N40" s="3"/>
      <c r="O40" s="2">
        <f>188.57+O8*0.05029</f>
        <v>811.75462779999998</v>
      </c>
      <c r="P40" s="3"/>
      <c r="Q40" s="2">
        <v>0</v>
      </c>
      <c r="R40" s="3"/>
      <c r="S40" s="2">
        <f>-2451.8+S8*0.05029</f>
        <v>1.3602811999999176</v>
      </c>
      <c r="T40" s="3"/>
      <c r="U40" s="2">
        <f>-910.06+U8*0.05029</f>
        <v>26.943280000000073</v>
      </c>
      <c r="V40" s="3"/>
      <c r="W40" s="2">
        <f>-228.75+W8*0.05029</f>
        <v>0.30837750000000597</v>
      </c>
      <c r="X40" s="3"/>
      <c r="Y40" s="2">
        <f>-1520.89+Y8*0.05029</f>
        <v>-1.2886367000000973</v>
      </c>
      <c r="Z40" s="3"/>
      <c r="AA40" s="19">
        <f t="shared" ref="AA40:AA47" si="3">ROUND(SUM(G40:Y40),5)</f>
        <v>841.83151999999995</v>
      </c>
    </row>
    <row r="41" spans="1:27" x14ac:dyDescent="0.25">
      <c r="A41" s="1"/>
      <c r="B41" s="1"/>
      <c r="C41" s="1"/>
      <c r="D41" s="1"/>
      <c r="E41" s="1"/>
      <c r="F41" s="1" t="s">
        <v>49</v>
      </c>
      <c r="G41" s="2">
        <v>0</v>
      </c>
      <c r="H41" s="3"/>
      <c r="I41" s="2">
        <v>0</v>
      </c>
      <c r="J41" s="3"/>
      <c r="K41" s="2">
        <v>196.2</v>
      </c>
      <c r="L41" s="3"/>
      <c r="M41" s="2">
        <v>464.16</v>
      </c>
      <c r="N41" s="3"/>
      <c r="O41" s="2">
        <v>0</v>
      </c>
      <c r="P41" s="3"/>
      <c r="Q41" s="2">
        <v>0</v>
      </c>
      <c r="R41" s="3"/>
      <c r="S41" s="2">
        <v>0</v>
      </c>
      <c r="T41" s="3"/>
      <c r="U41" s="2">
        <v>0</v>
      </c>
      <c r="V41" s="3"/>
      <c r="W41" s="2">
        <v>0</v>
      </c>
      <c r="X41" s="3"/>
      <c r="Y41" s="2">
        <v>192.05</v>
      </c>
      <c r="Z41" s="3"/>
      <c r="AA41" s="19">
        <f t="shared" si="3"/>
        <v>852.41</v>
      </c>
    </row>
    <row r="42" spans="1:27" x14ac:dyDescent="0.25">
      <c r="A42" s="1"/>
      <c r="B42" s="1"/>
      <c r="C42" s="1"/>
      <c r="D42" s="1"/>
      <c r="E42" s="1"/>
      <c r="F42" s="1" t="s">
        <v>50</v>
      </c>
      <c r="G42" s="2">
        <v>0</v>
      </c>
      <c r="H42" s="3"/>
      <c r="I42" s="2">
        <v>0</v>
      </c>
      <c r="J42" s="3"/>
      <c r="K42" s="2">
        <v>0</v>
      </c>
      <c r="L42" s="3"/>
      <c r="M42" s="2">
        <v>506.52</v>
      </c>
      <c r="N42" s="3"/>
      <c r="O42" s="2">
        <v>0</v>
      </c>
      <c r="P42" s="3"/>
      <c r="Q42" s="2">
        <v>0</v>
      </c>
      <c r="R42" s="3"/>
      <c r="S42" s="2">
        <v>0</v>
      </c>
      <c r="T42" s="3"/>
      <c r="U42" s="2">
        <v>0</v>
      </c>
      <c r="V42" s="3"/>
      <c r="W42" s="2">
        <v>0</v>
      </c>
      <c r="X42" s="3"/>
      <c r="Y42" s="2">
        <v>0</v>
      </c>
      <c r="Z42" s="3"/>
      <c r="AA42" s="19">
        <f t="shared" si="3"/>
        <v>506.52</v>
      </c>
    </row>
    <row r="43" spans="1:27" ht="15.75" thickBot="1" x14ac:dyDescent="0.3">
      <c r="A43" s="1"/>
      <c r="B43" s="1"/>
      <c r="C43" s="1"/>
      <c r="D43" s="1"/>
      <c r="E43" s="1"/>
      <c r="F43" s="1" t="s">
        <v>51</v>
      </c>
      <c r="G43" s="7">
        <v>17.36</v>
      </c>
      <c r="H43" s="3"/>
      <c r="I43" s="7">
        <v>11.57</v>
      </c>
      <c r="J43" s="3"/>
      <c r="K43" s="7">
        <v>27.87</v>
      </c>
      <c r="L43" s="3"/>
      <c r="M43" s="7">
        <v>83.65</v>
      </c>
      <c r="N43" s="3"/>
      <c r="O43" s="7">
        <v>15.78</v>
      </c>
      <c r="P43" s="3"/>
      <c r="Q43" s="7">
        <v>3.68</v>
      </c>
      <c r="R43" s="3"/>
      <c r="S43" s="7">
        <v>87.1</v>
      </c>
      <c r="T43" s="3"/>
      <c r="U43" s="7">
        <v>52.09</v>
      </c>
      <c r="V43" s="3"/>
      <c r="W43" s="7">
        <v>6.31</v>
      </c>
      <c r="X43" s="3"/>
      <c r="Y43" s="7">
        <v>0</v>
      </c>
      <c r="Z43" s="3"/>
      <c r="AA43" s="23">
        <f t="shared" si="3"/>
        <v>305.41000000000003</v>
      </c>
    </row>
    <row r="44" spans="1:27" x14ac:dyDescent="0.25">
      <c r="A44" s="1"/>
      <c r="B44" s="1"/>
      <c r="C44" s="1"/>
      <c r="D44" s="1"/>
      <c r="E44" s="1" t="s">
        <v>52</v>
      </c>
      <c r="F44" s="1"/>
      <c r="G44" s="2">
        <f>ROUND(SUM(G39:G43),5)</f>
        <v>16.891529999999999</v>
      </c>
      <c r="H44" s="3"/>
      <c r="I44" s="2">
        <f>ROUND(SUM(I39:I43),5)</f>
        <v>11.493370000000001</v>
      </c>
      <c r="J44" s="3"/>
      <c r="K44" s="2">
        <f>ROUND(SUM(K39:K43),5)</f>
        <v>224.54052999999999</v>
      </c>
      <c r="L44" s="3"/>
      <c r="M44" s="2">
        <f>ROUND(SUM(M39:M43),5)</f>
        <v>1057.15815</v>
      </c>
      <c r="N44" s="3"/>
      <c r="O44" s="2">
        <f>ROUND(SUM(O39:O43),5)</f>
        <v>827.53462999999999</v>
      </c>
      <c r="P44" s="3"/>
      <c r="Q44" s="2">
        <f>ROUND(SUM(Q39:Q43),5)</f>
        <v>3.68</v>
      </c>
      <c r="R44" s="3"/>
      <c r="S44" s="2">
        <f>ROUND(SUM(S39:S43),5)</f>
        <v>88.460279999999997</v>
      </c>
      <c r="T44" s="3"/>
      <c r="U44" s="2">
        <f>ROUND(SUM(U39:U43),5)</f>
        <v>79.033280000000005</v>
      </c>
      <c r="V44" s="3"/>
      <c r="W44" s="2">
        <f>ROUND(SUM(W39:W43),5)</f>
        <v>6.6183800000000002</v>
      </c>
      <c r="X44" s="3"/>
      <c r="Y44" s="2">
        <f>ROUND(SUM(Y39:Y43),5)</f>
        <v>190.76136</v>
      </c>
      <c r="Z44" s="3"/>
      <c r="AA44" s="19">
        <f t="shared" si="3"/>
        <v>2506.1715100000001</v>
      </c>
    </row>
    <row r="45" spans="1:27" ht="15.75" thickBot="1" x14ac:dyDescent="0.3">
      <c r="A45" s="1"/>
      <c r="B45" s="1"/>
      <c r="C45" s="1"/>
      <c r="D45" s="1"/>
      <c r="E45" s="1" t="s">
        <v>53</v>
      </c>
      <c r="F45" s="1"/>
      <c r="G45" s="4">
        <v>101.87</v>
      </c>
      <c r="H45" s="3"/>
      <c r="I45" s="4">
        <v>76.41</v>
      </c>
      <c r="J45" s="3"/>
      <c r="K45" s="4">
        <v>152.79</v>
      </c>
      <c r="L45" s="3"/>
      <c r="M45" s="4">
        <v>254.64</v>
      </c>
      <c r="N45" s="3"/>
      <c r="O45" s="4">
        <v>76.41</v>
      </c>
      <c r="P45" s="3"/>
      <c r="Q45" s="4">
        <v>25.29</v>
      </c>
      <c r="R45" s="3"/>
      <c r="S45" s="4">
        <v>305.60000000000002</v>
      </c>
      <c r="T45" s="3"/>
      <c r="U45" s="4">
        <v>127.33</v>
      </c>
      <c r="V45" s="3"/>
      <c r="W45" s="4">
        <v>25.48</v>
      </c>
      <c r="X45" s="3"/>
      <c r="Y45" s="4">
        <v>913.07</v>
      </c>
      <c r="Z45" s="3"/>
      <c r="AA45" s="20">
        <f t="shared" si="3"/>
        <v>2058.89</v>
      </c>
    </row>
    <row r="46" spans="1:27" ht="15.75" thickBot="1" x14ac:dyDescent="0.3">
      <c r="A46" s="1"/>
      <c r="B46" s="1"/>
      <c r="C46" s="1"/>
      <c r="D46" s="1" t="s">
        <v>54</v>
      </c>
      <c r="E46" s="1"/>
      <c r="F46" s="1"/>
      <c r="G46" s="5">
        <f>ROUND(SUM(G21:G32)+SUM(G37:G38)+SUM(G44:G45),5)</f>
        <v>5622.2451099999998</v>
      </c>
      <c r="H46" s="3"/>
      <c r="I46" s="5">
        <f>ROUND(SUM(I21:I32)+SUM(I37:I38)+SUM(I44:I45),5)</f>
        <v>7160.38616</v>
      </c>
      <c r="J46" s="3"/>
      <c r="K46" s="5">
        <f>ROUND(SUM(K21:K32)+SUM(K37:K38)+SUM(K44:K45),5)</f>
        <v>14272.637989999999</v>
      </c>
      <c r="L46" s="3"/>
      <c r="M46" s="5">
        <f>ROUND(SUM(M21:M32)+SUM(M37:M38)+SUM(M44:M45),5)</f>
        <v>30466.01642</v>
      </c>
      <c r="N46" s="3"/>
      <c r="O46" s="5">
        <f>ROUND(SUM(O21:O32)+SUM(O37:O38)+SUM(O44:O45),5)</f>
        <v>12514.454890000001</v>
      </c>
      <c r="P46" s="3"/>
      <c r="Q46" s="5">
        <f>ROUND(SUM(Q21:Q32)+SUM(Q37:Q38)+SUM(Q44:Q45),5)</f>
        <v>2890.1974799999998</v>
      </c>
      <c r="R46" s="3"/>
      <c r="S46" s="5">
        <f>ROUND(SUM(S21:S32)+SUM(S37:S38)+SUM(S44:S45),5)</f>
        <v>37902.394990000001</v>
      </c>
      <c r="T46" s="3"/>
      <c r="U46" s="5">
        <f>ROUND(SUM(U21:U32)+SUM(U37:U38)+SUM(U44:U45),5)</f>
        <v>13251.524590000001</v>
      </c>
      <c r="V46" s="3"/>
      <c r="W46" s="5">
        <f>ROUND(SUM(W21:W32)+SUM(W37:W38)+SUM(W44:W45),5)</f>
        <v>9044.2701199999992</v>
      </c>
      <c r="X46" s="3"/>
      <c r="Y46" s="5">
        <f>ROUND(SUM(Y21:Y32)+SUM(Y37:Y38)+SUM(Y44:Y45),5)</f>
        <v>38584.976329999998</v>
      </c>
      <c r="Z46" s="3"/>
      <c r="AA46" s="22">
        <f t="shared" si="3"/>
        <v>171709.10407999999</v>
      </c>
    </row>
    <row r="47" spans="1:27" x14ac:dyDescent="0.25">
      <c r="A47" s="1"/>
      <c r="B47" s="1" t="s">
        <v>55</v>
      </c>
      <c r="C47" s="1"/>
      <c r="D47" s="1"/>
      <c r="E47" s="1"/>
      <c r="F47" s="1"/>
      <c r="G47" s="2">
        <f>ROUND(G2+G20-G46,5)</f>
        <v>-2935.2351100000001</v>
      </c>
      <c r="H47" s="3"/>
      <c r="I47" s="2">
        <f>ROUND(I2+I20-I46,5)</f>
        <v>-9321.1761600000009</v>
      </c>
      <c r="J47" s="3"/>
      <c r="K47" s="2">
        <f>ROUND(K2+K20-K46,5)</f>
        <v>-26228.437989999999</v>
      </c>
      <c r="L47" s="3"/>
      <c r="M47" s="2">
        <f>ROUND(M2+M20-M46,5)</f>
        <v>-27977.67642</v>
      </c>
      <c r="N47" s="3"/>
      <c r="O47" s="2">
        <f>ROUND(O2+O20-O46,5)</f>
        <v>-6239.2648900000004</v>
      </c>
      <c r="P47" s="3"/>
      <c r="Q47" s="2">
        <f>ROUND(Q2+Q20-Q46,5)</f>
        <v>-137.26748000000001</v>
      </c>
      <c r="R47" s="3"/>
      <c r="S47" s="2">
        <f>ROUND(S2+S20-S46,5)</f>
        <v>-51693.554989999997</v>
      </c>
      <c r="T47" s="3"/>
      <c r="U47" s="2">
        <f>ROUND(U2+U20-U46,5)</f>
        <v>-17515.124589999999</v>
      </c>
      <c r="V47" s="3"/>
      <c r="W47" s="2">
        <f>ROUND(W2+W20-W46,5)</f>
        <v>-12675.41012</v>
      </c>
      <c r="X47" s="3"/>
      <c r="Y47" s="2">
        <f>ROUND(Y2+Y20-Y46,5)</f>
        <v>-30125.43633</v>
      </c>
      <c r="Z47" s="3"/>
      <c r="AA47" s="19">
        <f t="shared" si="3"/>
        <v>-184848.58408</v>
      </c>
    </row>
    <row r="48" spans="1:27" x14ac:dyDescent="0.25">
      <c r="A48" s="1"/>
      <c r="B48" s="1" t="s">
        <v>56</v>
      </c>
      <c r="C48" s="1"/>
      <c r="D48" s="1"/>
      <c r="E48" s="1"/>
      <c r="F48" s="1"/>
      <c r="G48" s="2"/>
      <c r="H48" s="3"/>
      <c r="I48" s="2"/>
      <c r="J48" s="3"/>
      <c r="K48" s="2"/>
      <c r="L48" s="3"/>
      <c r="M48" s="2"/>
      <c r="N48" s="3"/>
      <c r="O48" s="2"/>
      <c r="P48" s="3"/>
      <c r="Q48" s="2"/>
      <c r="R48" s="3"/>
      <c r="S48" s="2"/>
      <c r="T48" s="3"/>
      <c r="U48" s="2"/>
      <c r="V48" s="3"/>
      <c r="W48" s="2"/>
      <c r="X48" s="3"/>
      <c r="Y48" s="2"/>
      <c r="Z48" s="3"/>
      <c r="AA48" s="19"/>
    </row>
    <row r="49" spans="1:27" x14ac:dyDescent="0.25">
      <c r="A49" s="1"/>
      <c r="B49" s="1"/>
      <c r="C49" s="1" t="s">
        <v>57</v>
      </c>
      <c r="D49" s="1"/>
      <c r="E49" s="1"/>
      <c r="F49" s="1"/>
      <c r="G49" s="2"/>
      <c r="H49" s="3"/>
      <c r="I49" s="2"/>
      <c r="J49" s="3"/>
      <c r="K49" s="2"/>
      <c r="L49" s="3"/>
      <c r="M49" s="2"/>
      <c r="N49" s="3"/>
      <c r="O49" s="2"/>
      <c r="P49" s="3"/>
      <c r="Q49" s="2"/>
      <c r="R49" s="3"/>
      <c r="S49" s="2"/>
      <c r="T49" s="3"/>
      <c r="U49" s="2"/>
      <c r="V49" s="3"/>
      <c r="W49" s="2"/>
      <c r="X49" s="3"/>
      <c r="Y49" s="2"/>
      <c r="Z49" s="3"/>
      <c r="AA49" s="19"/>
    </row>
    <row r="50" spans="1:27" ht="15.75" thickBot="1" x14ac:dyDescent="0.3">
      <c r="A50" s="1"/>
      <c r="B50" s="1"/>
      <c r="C50" s="1"/>
      <c r="D50" s="1" t="s">
        <v>58</v>
      </c>
      <c r="E50" s="1"/>
      <c r="F50" s="1"/>
      <c r="G50" s="4">
        <v>0</v>
      </c>
      <c r="H50" s="3"/>
      <c r="I50" s="4">
        <v>0</v>
      </c>
      <c r="J50" s="3"/>
      <c r="K50" s="4">
        <v>0</v>
      </c>
      <c r="L50" s="3"/>
      <c r="M50" s="4">
        <v>4434</v>
      </c>
      <c r="N50" s="3"/>
      <c r="O50" s="4">
        <v>0</v>
      </c>
      <c r="P50" s="3"/>
      <c r="Q50" s="4">
        <v>0</v>
      </c>
      <c r="R50" s="3"/>
      <c r="S50" s="4">
        <v>0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20">
        <f>ROUND(SUM(G50:Y50),5)</f>
        <v>4434</v>
      </c>
    </row>
    <row r="51" spans="1:27" ht="15.75" thickBot="1" x14ac:dyDescent="0.3">
      <c r="A51" s="1"/>
      <c r="B51" s="1"/>
      <c r="C51" s="1" t="s">
        <v>59</v>
      </c>
      <c r="D51" s="1"/>
      <c r="E51" s="1"/>
      <c r="F51" s="1"/>
      <c r="G51" s="6">
        <f>ROUND(SUM(G49:G50),5)</f>
        <v>0</v>
      </c>
      <c r="H51" s="3"/>
      <c r="I51" s="6">
        <f>ROUND(SUM(I49:I50),5)</f>
        <v>0</v>
      </c>
      <c r="J51" s="3"/>
      <c r="K51" s="6">
        <f>ROUND(SUM(K49:K50),5)</f>
        <v>0</v>
      </c>
      <c r="L51" s="3"/>
      <c r="M51" s="6">
        <f>ROUND(SUM(M49:M50),5)</f>
        <v>4434</v>
      </c>
      <c r="N51" s="3"/>
      <c r="O51" s="6">
        <f>ROUND(SUM(O49:O50),5)</f>
        <v>0</v>
      </c>
      <c r="P51" s="3"/>
      <c r="Q51" s="6">
        <f>ROUND(SUM(Q49:Q50),5)</f>
        <v>0</v>
      </c>
      <c r="R51" s="3"/>
      <c r="S51" s="6">
        <f>ROUND(SUM(S49:S50),5)</f>
        <v>0</v>
      </c>
      <c r="T51" s="3"/>
      <c r="U51" s="6">
        <f>ROUND(SUM(U49:U50),5)</f>
        <v>0</v>
      </c>
      <c r="V51" s="3"/>
      <c r="W51" s="6">
        <f>ROUND(SUM(W49:W50),5)</f>
        <v>0</v>
      </c>
      <c r="X51" s="3"/>
      <c r="Y51" s="6">
        <f>ROUND(SUM(Y49:Y50),5)</f>
        <v>0</v>
      </c>
      <c r="Z51" s="3"/>
      <c r="AA51" s="21">
        <f>ROUND(SUM(G51:Y51),5)</f>
        <v>4434</v>
      </c>
    </row>
    <row r="52" spans="1:27" ht="15.75" thickBot="1" x14ac:dyDescent="0.3">
      <c r="A52" s="1"/>
      <c r="B52" s="1" t="s">
        <v>60</v>
      </c>
      <c r="C52" s="1"/>
      <c r="D52" s="1"/>
      <c r="E52" s="1"/>
      <c r="F52" s="1"/>
      <c r="G52" s="6">
        <f>ROUND(G48-G51,5)</f>
        <v>0</v>
      </c>
      <c r="H52" s="3"/>
      <c r="I52" s="6">
        <f>ROUND(I48-I51,5)</f>
        <v>0</v>
      </c>
      <c r="J52" s="3"/>
      <c r="K52" s="6">
        <f>ROUND(K48-K51,5)</f>
        <v>0</v>
      </c>
      <c r="L52" s="3"/>
      <c r="M52" s="6">
        <f>ROUND(M48-M51,5)</f>
        <v>-4434</v>
      </c>
      <c r="N52" s="3"/>
      <c r="O52" s="6">
        <f>ROUND(O48-O51,5)</f>
        <v>0</v>
      </c>
      <c r="P52" s="3"/>
      <c r="Q52" s="6">
        <f>ROUND(Q48-Q51,5)</f>
        <v>0</v>
      </c>
      <c r="R52" s="3"/>
      <c r="S52" s="6">
        <f>ROUND(S48-S51,5)</f>
        <v>0</v>
      </c>
      <c r="T52" s="3"/>
      <c r="U52" s="6">
        <f>ROUND(U48-U51,5)</f>
        <v>0</v>
      </c>
      <c r="V52" s="3"/>
      <c r="W52" s="6">
        <f>ROUND(W48-W51,5)</f>
        <v>0</v>
      </c>
      <c r="X52" s="3"/>
      <c r="Y52" s="6">
        <f>ROUND(Y48-Y51,5)</f>
        <v>0</v>
      </c>
      <c r="Z52" s="3"/>
      <c r="AA52" s="21">
        <f>ROUND(SUM(G52:Y52),5)</f>
        <v>-4434</v>
      </c>
    </row>
    <row r="53" spans="1:27" s="9" customFormat="1" ht="12" thickBot="1" x14ac:dyDescent="0.25">
      <c r="A53" s="1" t="s">
        <v>61</v>
      </c>
      <c r="B53" s="1"/>
      <c r="C53" s="1"/>
      <c r="D53" s="1"/>
      <c r="E53" s="1"/>
      <c r="F53" s="1"/>
      <c r="G53" s="8">
        <f>ROUND(G47+G52,5)</f>
        <v>-2935.2351100000001</v>
      </c>
      <c r="H53" s="1"/>
      <c r="I53" s="8">
        <f>ROUND(I47+I52,5)</f>
        <v>-9321.1761600000009</v>
      </c>
      <c r="J53" s="1"/>
      <c r="K53" s="8">
        <f>ROUND(K47+K52,5)</f>
        <v>-26228.437989999999</v>
      </c>
      <c r="L53" s="1"/>
      <c r="M53" s="8">
        <f>ROUND(M47+M52,5)</f>
        <v>-32411.67642</v>
      </c>
      <c r="N53" s="1"/>
      <c r="O53" s="8">
        <f>ROUND(O47+O52,5)</f>
        <v>-6239.2648900000004</v>
      </c>
      <c r="P53" s="1"/>
      <c r="Q53" s="8">
        <f>ROUND(Q47+Q52,5)</f>
        <v>-137.26748000000001</v>
      </c>
      <c r="R53" s="1"/>
      <c r="S53" s="8">
        <f>ROUND(S47+S52,5)</f>
        <v>-51693.554989999997</v>
      </c>
      <c r="T53" s="1"/>
      <c r="U53" s="8">
        <f>ROUND(U47+U52,5)</f>
        <v>-17515.124589999999</v>
      </c>
      <c r="V53" s="1"/>
      <c r="W53" s="8">
        <f>ROUND(W47+W52,5)</f>
        <v>-12675.41012</v>
      </c>
      <c r="X53" s="1"/>
      <c r="Y53" s="8">
        <f>ROUND(Y47+Y52,5)</f>
        <v>-30125.43633</v>
      </c>
      <c r="Z53" s="1"/>
      <c r="AA53" s="24">
        <f>ROUND(SUM(G53:Y53),5)</f>
        <v>-189282.58408</v>
      </c>
    </row>
    <row r="54" spans="1:27" ht="15.75" thickTop="1" x14ac:dyDescent="0.25"/>
  </sheetData>
  <pageMargins left="0.7" right="0.7" top="0.75" bottom="0.75" header="0.1" footer="0.3"/>
  <pageSetup orientation="landscape" r:id="rId1"/>
  <headerFooter>
    <oddHeader>&amp;L&amp;"Arial,Bold"&amp;8 10:57 AM
&amp;"Arial,Bold"&amp;8 09/27/16
&amp;"Arial,Bold"&amp;8 Accrual Basis&amp;C&amp;"Arial,Bold"&amp;12 Iliad Water Company LLC
&amp;"Arial,Bold"&amp;14 Profit &amp;&amp; Loss by Class
&amp;"Arial,Bold"&amp;10 January through August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B986683-0592-4597-A0D1-051C2F6384CD}"/>
</file>

<file path=customXml/itemProps2.xml><?xml version="1.0" encoding="utf-8"?>
<ds:datastoreItem xmlns:ds="http://schemas.openxmlformats.org/officeDocument/2006/customXml" ds:itemID="{E1EBD1D7-8E84-4EBC-93A3-1F9CB6D5B88C}"/>
</file>

<file path=customXml/itemProps3.xml><?xml version="1.0" encoding="utf-8"?>
<ds:datastoreItem xmlns:ds="http://schemas.openxmlformats.org/officeDocument/2006/customXml" ds:itemID="{714A711E-09A0-4587-B979-40DE69FF4AC1}"/>
</file>

<file path=customXml/itemProps4.xml><?xml version="1.0" encoding="utf-8"?>
<ds:datastoreItem xmlns:ds="http://schemas.openxmlformats.org/officeDocument/2006/customXml" ds:itemID="{4E300B92-B494-4176-A2A6-D75A161E8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Candace Shofstall</cp:lastModifiedBy>
  <cp:lastPrinted>2016-10-17T17:22:42Z</cp:lastPrinted>
  <dcterms:created xsi:type="dcterms:W3CDTF">2016-09-27T17:57:57Z</dcterms:created>
  <dcterms:modified xsi:type="dcterms:W3CDTF">2016-10-17T19:37:59Z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